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936" firstSheet="1" activeTab="4"/>
  </bookViews>
  <sheets>
    <sheet name="Summary" sheetId="1" r:id="rId1"/>
    <sheet name="Anx-A" sheetId="2" r:id="rId2"/>
    <sheet name="Anx-B" sheetId="3" r:id="rId3"/>
    <sheet name="Anx-C" sheetId="4" r:id="rId4"/>
    <sheet name="Anx-D" sheetId="5" r:id="rId5"/>
    <sheet name="Escalation Cost" sheetId="22" r:id="rId6"/>
    <sheet name="Anx-E" sheetId="7" r:id="rId7"/>
    <sheet name="Anx-F" sheetId="23" r:id="rId8"/>
    <sheet name="Anx-G" sheetId="9" r:id="rId9"/>
    <sheet name="JMF" sheetId="10" r:id="rId10"/>
    <sheet name="Anx-H" sheetId="11" r:id="rId11"/>
    <sheet name="Anx-J" sheetId="24" r:id="rId12"/>
    <sheet name="Anx-K" sheetId="13" r:id="rId13"/>
    <sheet name="Anx-L" sheetId="14" r:id="rId14"/>
    <sheet name="Anx-M" sheetId="15" r:id="rId15"/>
    <sheet name="Anx-N" sheetId="16" r:id="rId16"/>
    <sheet name="Anx-O" sheetId="17" r:id="rId17"/>
    <sheet name="Anx-Q" sheetId="18" r:id="rId18"/>
    <sheet name="Anx-R" sheetId="19" r:id="rId19"/>
    <sheet name="Appendix" sheetId="21" r:id="rId20"/>
    <sheet name="S Curve" sheetId="20" r:id="rId21"/>
  </sheets>
  <externalReferences>
    <externalReference r:id="rId22"/>
    <externalReference r:id="rId23"/>
    <externalReference r:id="rId24"/>
  </externalReferences>
  <definedNames>
    <definedName name="assets" localSheetId="11">#REF!</definedName>
    <definedName name="assets">#REF!</definedName>
    <definedName name="bal">[1]tb!$A$1:$D$1257</definedName>
    <definedName name="dpr">#REF!</definedName>
    <definedName name="knb">#REF!</definedName>
    <definedName name="_xlnm.Print_Area" localSheetId="1">'Anx-A'!$A$1:$H$59</definedName>
    <definedName name="_xlnm.Print_Area" localSheetId="2">'Anx-B'!$A$1:$H$52</definedName>
    <definedName name="_xlnm.Print_Area" localSheetId="3">'Anx-C'!$A$1:$M$73</definedName>
    <definedName name="_xlnm.Print_Area" localSheetId="4">'Anx-D'!$A$1:$E$75</definedName>
    <definedName name="_xlnm.Print_Area" localSheetId="6">'Anx-E'!$A$1:$V$68</definedName>
    <definedName name="_xlnm.Print_Area" localSheetId="8">'Anx-G'!$A$1:$X$92</definedName>
    <definedName name="_xlnm.Print_Area" localSheetId="11">'Anx-J'!$A$1:$V$33</definedName>
  </definedNames>
  <calcPr calcId="162913"/>
</workbook>
</file>

<file path=xl/calcChain.xml><?xml version="1.0" encoding="utf-8"?>
<calcChain xmlns="http://schemas.openxmlformats.org/spreadsheetml/2006/main">
  <c r="C24" i="5" l="1"/>
  <c r="D16" i="17" l="1"/>
  <c r="J70" i="4" l="1"/>
  <c r="K70" i="4"/>
  <c r="H58" i="2"/>
  <c r="G58" i="2"/>
  <c r="W7" i="20" l="1"/>
  <c r="V7" i="20"/>
  <c r="H36" i="2"/>
  <c r="E12" i="3"/>
  <c r="H88" i="14" l="1"/>
  <c r="F87" i="14"/>
  <c r="G87" i="14" s="1"/>
  <c r="E88" i="14"/>
  <c r="I86" i="14"/>
  <c r="J86" i="14" s="1"/>
  <c r="I85" i="14"/>
  <c r="J85" i="14" s="1"/>
  <c r="I84" i="14"/>
  <c r="J84" i="14" s="1"/>
  <c r="I83" i="14"/>
  <c r="J83" i="14" s="1"/>
  <c r="I82" i="14"/>
  <c r="J82" i="14" s="1"/>
  <c r="I81" i="14"/>
  <c r="J81" i="14" s="1"/>
  <c r="I80" i="14"/>
  <c r="J80" i="14" s="1"/>
  <c r="I79" i="14"/>
  <c r="J79" i="14" s="1"/>
  <c r="I78" i="14"/>
  <c r="J78" i="14" s="1"/>
  <c r="I77" i="14"/>
  <c r="J77" i="14" s="1"/>
  <c r="I76" i="14"/>
  <c r="J76" i="14" s="1"/>
  <c r="I75" i="14"/>
  <c r="J75" i="14" s="1"/>
  <c r="I74" i="14"/>
  <c r="J74" i="14" s="1"/>
  <c r="I73" i="14"/>
  <c r="J73" i="14" s="1"/>
  <c r="I72" i="14"/>
  <c r="J72" i="14" s="1"/>
  <c r="I71" i="14"/>
  <c r="J71" i="14" s="1"/>
  <c r="I70" i="14"/>
  <c r="J70" i="14" s="1"/>
  <c r="I69" i="14"/>
  <c r="J69" i="14" s="1"/>
  <c r="I68" i="14"/>
  <c r="J68" i="14" s="1"/>
  <c r="I67" i="14"/>
  <c r="J67" i="14" s="1"/>
  <c r="I66" i="14"/>
  <c r="J66" i="14" s="1"/>
  <c r="I65" i="14"/>
  <c r="J65" i="14" s="1"/>
  <c r="I64" i="14"/>
  <c r="J64" i="14" s="1"/>
  <c r="I63" i="14"/>
  <c r="J63" i="14" s="1"/>
  <c r="I62" i="14"/>
  <c r="J62" i="14" s="1"/>
  <c r="I61" i="14"/>
  <c r="J61" i="14" s="1"/>
  <c r="I60" i="14"/>
  <c r="J60" i="14" s="1"/>
  <c r="I59" i="14"/>
  <c r="J59" i="14" s="1"/>
  <c r="I58" i="14"/>
  <c r="J58" i="14" s="1"/>
  <c r="I57" i="14"/>
  <c r="J57" i="14" s="1"/>
  <c r="I56" i="14"/>
  <c r="J56" i="14" s="1"/>
  <c r="I55" i="14"/>
  <c r="J55" i="14" s="1"/>
  <c r="I54" i="14"/>
  <c r="J54" i="14" s="1"/>
  <c r="I53" i="14"/>
  <c r="J53" i="14" s="1"/>
  <c r="I52" i="14"/>
  <c r="J52" i="14" s="1"/>
  <c r="I51" i="14"/>
  <c r="J51" i="14" s="1"/>
  <c r="I50" i="14"/>
  <c r="J50" i="14" s="1"/>
  <c r="I49" i="14"/>
  <c r="J49" i="14" s="1"/>
  <c r="I48" i="14"/>
  <c r="J48" i="14" s="1"/>
  <c r="I47" i="14"/>
  <c r="J47" i="14" s="1"/>
  <c r="I46" i="14"/>
  <c r="J46" i="14" s="1"/>
  <c r="I45" i="14"/>
  <c r="J45" i="14" s="1"/>
  <c r="I44" i="14"/>
  <c r="J44" i="14" s="1"/>
  <c r="I43" i="14"/>
  <c r="J43" i="14" s="1"/>
  <c r="I42" i="14"/>
  <c r="J42" i="14" s="1"/>
  <c r="I41" i="14"/>
  <c r="J41" i="14" s="1"/>
  <c r="I40" i="14"/>
  <c r="J40" i="14" s="1"/>
  <c r="I39" i="14"/>
  <c r="J39" i="14" s="1"/>
  <c r="I38" i="14"/>
  <c r="J38" i="14" s="1"/>
  <c r="I37" i="14"/>
  <c r="J37" i="14" s="1"/>
  <c r="I36" i="14"/>
  <c r="J36" i="14" s="1"/>
  <c r="I35" i="14"/>
  <c r="J35" i="14" s="1"/>
  <c r="I34" i="14"/>
  <c r="J34" i="14" s="1"/>
  <c r="I33" i="14"/>
  <c r="J33" i="14" s="1"/>
  <c r="I32" i="14"/>
  <c r="J32" i="14" s="1"/>
  <c r="I31" i="14"/>
  <c r="J31" i="14" s="1"/>
  <c r="I30" i="14"/>
  <c r="J30" i="14" s="1"/>
  <c r="I29" i="14"/>
  <c r="J29" i="14" s="1"/>
  <c r="I28" i="14"/>
  <c r="J28" i="14" s="1"/>
  <c r="I27" i="14"/>
  <c r="J27" i="14" s="1"/>
  <c r="I26" i="14"/>
  <c r="J26" i="14" s="1"/>
  <c r="I25" i="14"/>
  <c r="J25" i="14" s="1"/>
  <c r="I24" i="14"/>
  <c r="J24" i="14" s="1"/>
  <c r="I23" i="14"/>
  <c r="J23" i="14" s="1"/>
  <c r="I22" i="14"/>
  <c r="J22" i="14" s="1"/>
  <c r="I21" i="14"/>
  <c r="J21" i="14" s="1"/>
  <c r="I20" i="14"/>
  <c r="J20" i="14" s="1"/>
  <c r="I19" i="14"/>
  <c r="J19" i="14" s="1"/>
  <c r="I18" i="14"/>
  <c r="J18" i="14" s="1"/>
  <c r="I17" i="14"/>
  <c r="J17" i="14" s="1"/>
  <c r="I16" i="14"/>
  <c r="J16" i="14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I6" i="14"/>
  <c r="J6" i="14" s="1"/>
  <c r="G39" i="14"/>
  <c r="G35" i="14"/>
  <c r="G27" i="14"/>
  <c r="G23" i="14"/>
  <c r="F86" i="14"/>
  <c r="G86" i="14" s="1"/>
  <c r="F85" i="14"/>
  <c r="G85" i="14" s="1"/>
  <c r="F84" i="14"/>
  <c r="G84" i="14" s="1"/>
  <c r="F83" i="14"/>
  <c r="G83" i="14" s="1"/>
  <c r="F82" i="14"/>
  <c r="G82" i="14" s="1"/>
  <c r="F81" i="14"/>
  <c r="G81" i="14" s="1"/>
  <c r="F80" i="14"/>
  <c r="G80" i="14" s="1"/>
  <c r="F79" i="14"/>
  <c r="G79" i="14" s="1"/>
  <c r="F78" i="14"/>
  <c r="G78" i="14" s="1"/>
  <c r="F77" i="14"/>
  <c r="G77" i="14" s="1"/>
  <c r="F76" i="14"/>
  <c r="G76" i="14" s="1"/>
  <c r="F75" i="14"/>
  <c r="G75" i="14" s="1"/>
  <c r="F74" i="14"/>
  <c r="G74" i="14" s="1"/>
  <c r="F73" i="14"/>
  <c r="G73" i="14" s="1"/>
  <c r="F72" i="14"/>
  <c r="G72" i="14" s="1"/>
  <c r="F71" i="14"/>
  <c r="F70" i="14"/>
  <c r="G70" i="14" s="1"/>
  <c r="F69" i="14"/>
  <c r="G69" i="14" s="1"/>
  <c r="F68" i="14"/>
  <c r="G68" i="14" s="1"/>
  <c r="F67" i="14"/>
  <c r="G67" i="14" s="1"/>
  <c r="F66" i="14"/>
  <c r="G66" i="14" s="1"/>
  <c r="F65" i="14"/>
  <c r="G65" i="14" s="1"/>
  <c r="F64" i="14"/>
  <c r="G64" i="14" s="1"/>
  <c r="F63" i="14"/>
  <c r="G63" i="14" s="1"/>
  <c r="F62" i="14"/>
  <c r="G62" i="14" s="1"/>
  <c r="F61" i="14"/>
  <c r="G61" i="14" s="1"/>
  <c r="F60" i="14"/>
  <c r="G60" i="14" s="1"/>
  <c r="F59" i="14"/>
  <c r="G59" i="14" s="1"/>
  <c r="F58" i="14"/>
  <c r="G58" i="14" s="1"/>
  <c r="F57" i="14"/>
  <c r="G57" i="14" s="1"/>
  <c r="F56" i="14"/>
  <c r="G56" i="14" s="1"/>
  <c r="F55" i="14"/>
  <c r="G55" i="14" s="1"/>
  <c r="F54" i="14"/>
  <c r="G54" i="14" s="1"/>
  <c r="F53" i="14"/>
  <c r="G53" i="14" s="1"/>
  <c r="F52" i="14"/>
  <c r="G52" i="14" s="1"/>
  <c r="F51" i="14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F41" i="14"/>
  <c r="G41" i="14" s="1"/>
  <c r="F40" i="14"/>
  <c r="G40" i="14" s="1"/>
  <c r="F39" i="14"/>
  <c r="F38" i="14"/>
  <c r="G38" i="14" s="1"/>
  <c r="F37" i="14"/>
  <c r="G37" i="14" s="1"/>
  <c r="F36" i="14"/>
  <c r="G36" i="14" s="1"/>
  <c r="F35" i="14"/>
  <c r="F34" i="14"/>
  <c r="G34" i="14" s="1"/>
  <c r="F33" i="14"/>
  <c r="G33" i="14" s="1"/>
  <c r="F32" i="14"/>
  <c r="G32" i="14" s="1"/>
  <c r="F31" i="14"/>
  <c r="G31" i="14" s="1"/>
  <c r="F30" i="14"/>
  <c r="G30" i="14" s="1"/>
  <c r="F29" i="14"/>
  <c r="G29" i="14" s="1"/>
  <c r="F28" i="14"/>
  <c r="G28" i="14" s="1"/>
  <c r="F27" i="14"/>
  <c r="F26" i="14"/>
  <c r="G26" i="14" s="1"/>
  <c r="F25" i="14"/>
  <c r="G25" i="14" s="1"/>
  <c r="F24" i="14"/>
  <c r="G24" i="14" s="1"/>
  <c r="F23" i="14"/>
  <c r="F22" i="14"/>
  <c r="G22" i="14" s="1"/>
  <c r="F21" i="14"/>
  <c r="G21" i="14" s="1"/>
  <c r="F20" i="14"/>
  <c r="G20" i="14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P31" i="24"/>
  <c r="J8" i="13"/>
  <c r="K8" i="13" s="1"/>
  <c r="J7" i="13"/>
  <c r="K7" i="13" s="1"/>
  <c r="G35" i="24"/>
  <c r="Q33" i="24"/>
  <c r="P33" i="24"/>
  <c r="A43" i="5" s="1"/>
  <c r="N33" i="24"/>
  <c r="M33" i="24"/>
  <c r="K33" i="24"/>
  <c r="J33" i="24"/>
  <c r="G33" i="24"/>
  <c r="F33" i="24"/>
  <c r="P32" i="24"/>
  <c r="E32" i="24"/>
  <c r="E33" i="24" s="1"/>
  <c r="E35" i="24" s="1"/>
  <c r="O31" i="24"/>
  <c r="S30" i="24"/>
  <c r="T30" i="24" s="1"/>
  <c r="S29" i="24"/>
  <c r="T29" i="24" s="1"/>
  <c r="H29" i="24"/>
  <c r="V29" i="24" s="1"/>
  <c r="S28" i="24"/>
  <c r="T28" i="24" s="1"/>
  <c r="H28" i="24"/>
  <c r="V28" i="24" s="1"/>
  <c r="V27" i="24"/>
  <c r="T27" i="24"/>
  <c r="S27" i="24"/>
  <c r="H27" i="24"/>
  <c r="S26" i="24"/>
  <c r="T26" i="24" s="1"/>
  <c r="H26" i="24"/>
  <c r="V26" i="24" s="1"/>
  <c r="U25" i="24"/>
  <c r="S25" i="24"/>
  <c r="P24" i="24"/>
  <c r="L24" i="24"/>
  <c r="L33" i="24" s="1"/>
  <c r="S23" i="24"/>
  <c r="T23" i="24" s="1"/>
  <c r="S22" i="24"/>
  <c r="T22" i="24" s="1"/>
  <c r="S21" i="24"/>
  <c r="T21" i="24" s="1"/>
  <c r="S20" i="24"/>
  <c r="T20" i="24" s="1"/>
  <c r="U19" i="24"/>
  <c r="S19" i="24"/>
  <c r="T19" i="24" s="1"/>
  <c r="U18" i="24"/>
  <c r="S18" i="24"/>
  <c r="V18" i="24" s="1"/>
  <c r="U17" i="24"/>
  <c r="U33" i="24" s="1"/>
  <c r="H17" i="2" s="1"/>
  <c r="R17" i="24"/>
  <c r="S17" i="24" s="1"/>
  <c r="V16" i="24"/>
  <c r="S16" i="24"/>
  <c r="T16" i="24" s="1"/>
  <c r="V15" i="24"/>
  <c r="S15" i="24"/>
  <c r="T15" i="24" s="1"/>
  <c r="V14" i="24"/>
  <c r="S14" i="24"/>
  <c r="T14" i="24" s="1"/>
  <c r="S13" i="24"/>
  <c r="T13" i="24" s="1"/>
  <c r="S12" i="24"/>
  <c r="T12" i="24" s="1"/>
  <c r="V11" i="24"/>
  <c r="S11" i="24"/>
  <c r="T11" i="24" s="1"/>
  <c r="V10" i="24"/>
  <c r="S10" i="24"/>
  <c r="T10" i="24" s="1"/>
  <c r="A10" i="24"/>
  <c r="A7" i="24" s="1"/>
  <c r="A11" i="24" s="1"/>
  <c r="A12" i="24" s="1"/>
  <c r="A13" i="24" s="1"/>
  <c r="A14" i="24" s="1"/>
  <c r="A15" i="24" s="1"/>
  <c r="A16" i="24" s="1"/>
  <c r="A8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V9" i="24"/>
  <c r="T9" i="24"/>
  <c r="S8" i="24"/>
  <c r="V8" i="24" s="1"/>
  <c r="I8" i="24"/>
  <c r="S7" i="24"/>
  <c r="V7" i="24" s="1"/>
  <c r="V6" i="24"/>
  <c r="S6" i="24"/>
  <c r="I6" i="24"/>
  <c r="T6" i="24" s="1"/>
  <c r="A2" i="24"/>
  <c r="V12" i="24" l="1"/>
  <c r="T7" i="24"/>
  <c r="V13" i="24"/>
  <c r="S24" i="24"/>
  <c r="V24" i="24" s="1"/>
  <c r="V19" i="24"/>
  <c r="V25" i="24"/>
  <c r="H33" i="24"/>
  <c r="I33" i="24"/>
  <c r="V20" i="24"/>
  <c r="V21" i="24"/>
  <c r="V23" i="24"/>
  <c r="V22" i="24"/>
  <c r="V30" i="24"/>
  <c r="F88" i="14"/>
  <c r="I88" i="14"/>
  <c r="G6" i="14"/>
  <c r="G88" i="14" s="1"/>
  <c r="G71" i="14"/>
  <c r="J7" i="14"/>
  <c r="J88" i="14" s="1"/>
  <c r="V17" i="24"/>
  <c r="T17" i="24"/>
  <c r="T8" i="24"/>
  <c r="T18" i="24"/>
  <c r="T24" i="24"/>
  <c r="T25" i="24"/>
  <c r="O32" i="24"/>
  <c r="S32" i="24" s="1"/>
  <c r="T32" i="24" s="1"/>
  <c r="S31" i="24"/>
  <c r="T31" i="24" s="1"/>
  <c r="R33" i="24"/>
  <c r="E36" i="2" s="1"/>
  <c r="J47" i="9"/>
  <c r="H47" i="9"/>
  <c r="R47" i="9"/>
  <c r="P47" i="9"/>
  <c r="M47" i="9"/>
  <c r="E47" i="9"/>
  <c r="V33" i="24" l="1"/>
  <c r="O47" i="9"/>
  <c r="T47" i="9" s="1"/>
  <c r="G36" i="2"/>
  <c r="E57" i="2"/>
  <c r="T33" i="24"/>
  <c r="O33" i="24"/>
  <c r="S33" i="24"/>
  <c r="S47" i="9"/>
  <c r="J42" i="4"/>
  <c r="D49" i="5"/>
  <c r="D24" i="5" l="1"/>
  <c r="R48" i="9" l="1"/>
  <c r="P48" i="9"/>
  <c r="J48" i="9"/>
  <c r="H48" i="9"/>
  <c r="E48" i="9"/>
  <c r="K47" i="9"/>
  <c r="M72" i="9"/>
  <c r="O72" i="9" s="1"/>
  <c r="P72" i="9"/>
  <c r="D11" i="17"/>
  <c r="C11" i="17"/>
  <c r="C17" i="17" s="1"/>
  <c r="D31" i="5"/>
  <c r="R84" i="9"/>
  <c r="P84" i="9"/>
  <c r="M84" i="9"/>
  <c r="R81" i="9"/>
  <c r="P81" i="9"/>
  <c r="M81" i="9"/>
  <c r="R73" i="9"/>
  <c r="P73" i="9"/>
  <c r="R72" i="9"/>
  <c r="R69" i="9"/>
  <c r="P69" i="9"/>
  <c r="M69" i="9"/>
  <c r="O69" i="9" s="1"/>
  <c r="R54" i="9"/>
  <c r="P54" i="9"/>
  <c r="R44" i="9"/>
  <c r="P44" i="9"/>
  <c r="M44" i="9"/>
  <c r="O44" i="9" s="1"/>
  <c r="R42" i="9"/>
  <c r="P42" i="9"/>
  <c r="M42" i="9"/>
  <c r="R38" i="9"/>
  <c r="P38" i="9"/>
  <c r="J38" i="9"/>
  <c r="X38" i="9" s="1"/>
  <c r="Y48" i="9" l="1"/>
  <c r="Z48" i="9" s="1"/>
  <c r="Y47" i="9"/>
  <c r="Z47" i="9" s="1"/>
  <c r="H58" i="3" l="1"/>
  <c r="O65" i="7"/>
  <c r="N65" i="7"/>
  <c r="M65" i="7"/>
  <c r="Q65" i="7" s="1"/>
  <c r="I70" i="4"/>
  <c r="J67" i="4"/>
  <c r="I67" i="4"/>
  <c r="J58" i="4"/>
  <c r="I58" i="4"/>
  <c r="I42" i="4"/>
  <c r="J38" i="4"/>
  <c r="I38" i="4"/>
  <c r="I43" i="4" s="1"/>
  <c r="I73" i="4" s="1"/>
  <c r="D48" i="3"/>
  <c r="D65" i="5" l="1"/>
  <c r="C65" i="5"/>
  <c r="D28" i="5"/>
  <c r="C28" i="5"/>
  <c r="D48" i="5"/>
  <c r="C48" i="5"/>
  <c r="D62" i="5"/>
  <c r="C62" i="5"/>
  <c r="D21" i="5"/>
  <c r="D66" i="5"/>
  <c r="C66" i="5"/>
  <c r="D53" i="5"/>
  <c r="D35" i="5"/>
  <c r="C74" i="5" l="1"/>
  <c r="H38" i="9"/>
  <c r="S65" i="7" l="1"/>
  <c r="T65" i="7" s="1"/>
  <c r="D15" i="17" l="1"/>
  <c r="D10" i="17"/>
  <c r="J51" i="4"/>
  <c r="E38" i="3"/>
  <c r="H54" i="2" l="1"/>
  <c r="G54" i="2"/>
  <c r="G52" i="2"/>
  <c r="H48" i="2"/>
  <c r="G48" i="2"/>
  <c r="H47" i="2"/>
  <c r="G47" i="2"/>
  <c r="F53" i="2"/>
  <c r="E53" i="2"/>
  <c r="D53" i="2"/>
  <c r="D48" i="2"/>
  <c r="G49" i="2" l="1"/>
  <c r="G51" i="2" s="1"/>
  <c r="G53" i="2" s="1"/>
  <c r="H49" i="2"/>
  <c r="H51" i="2" s="1"/>
  <c r="H53" i="2" s="1"/>
  <c r="P26" i="9"/>
  <c r="Y26" i="9" s="1"/>
  <c r="H28" i="9"/>
  <c r="H27" i="9"/>
  <c r="H26" i="9"/>
  <c r="H25" i="9"/>
  <c r="H24" i="9"/>
  <c r="H23" i="9"/>
  <c r="Z28" i="9"/>
  <c r="Z27" i="9"/>
  <c r="Z26" i="9"/>
  <c r="Z25" i="9"/>
  <c r="Z24" i="9"/>
  <c r="Z23" i="9"/>
  <c r="M375" i="23"/>
  <c r="M377" i="23" s="1"/>
  <c r="H377" i="23"/>
  <c r="G377" i="23"/>
  <c r="E377" i="23"/>
  <c r="C377" i="23"/>
  <c r="D376" i="23"/>
  <c r="D375" i="23"/>
  <c r="F375" i="23" s="1"/>
  <c r="I375" i="23" s="1"/>
  <c r="D374" i="23"/>
  <c r="F374" i="23" s="1"/>
  <c r="B377" i="23"/>
  <c r="F372" i="23"/>
  <c r="I372" i="23" s="1"/>
  <c r="J372" i="23" s="1"/>
  <c r="D371" i="23"/>
  <c r="F371" i="23" s="1"/>
  <c r="I371" i="23" s="1"/>
  <c r="J371" i="23" s="1"/>
  <c r="D370" i="23"/>
  <c r="F370" i="23" s="1"/>
  <c r="I370" i="23" s="1"/>
  <c r="J370" i="23" s="1"/>
  <c r="M373" i="23"/>
  <c r="H373" i="23"/>
  <c r="G373" i="23"/>
  <c r="E373" i="23"/>
  <c r="C373" i="23"/>
  <c r="B373" i="23"/>
  <c r="F362" i="23"/>
  <c r="I362" i="23" s="1"/>
  <c r="D362" i="23"/>
  <c r="M361" i="23"/>
  <c r="F361" i="23"/>
  <c r="I361" i="23" s="1"/>
  <c r="D361" i="23"/>
  <c r="F359" i="23"/>
  <c r="I359" i="23" s="1"/>
  <c r="J359" i="23" s="1"/>
  <c r="D359" i="23"/>
  <c r="F358" i="23"/>
  <c r="D358" i="23"/>
  <c r="M357" i="23"/>
  <c r="F357" i="23"/>
  <c r="I357" i="23" s="1"/>
  <c r="D357" i="23"/>
  <c r="O364" i="23"/>
  <c r="H364" i="23"/>
  <c r="G364" i="23"/>
  <c r="E364" i="23"/>
  <c r="C364" i="23"/>
  <c r="B364" i="23"/>
  <c r="F355" i="23"/>
  <c r="I355" i="23" s="1"/>
  <c r="D355" i="23"/>
  <c r="H356" i="23"/>
  <c r="G356" i="23"/>
  <c r="E356" i="23"/>
  <c r="C356" i="23"/>
  <c r="B356" i="23"/>
  <c r="H350" i="23"/>
  <c r="G350" i="23"/>
  <c r="E350" i="23"/>
  <c r="C350" i="23"/>
  <c r="F347" i="23"/>
  <c r="I347" i="23" s="1"/>
  <c r="D347" i="23"/>
  <c r="F346" i="23"/>
  <c r="I346" i="23" s="1"/>
  <c r="D346" i="23"/>
  <c r="M345" i="23"/>
  <c r="F345" i="23"/>
  <c r="I345" i="23" s="1"/>
  <c r="D345" i="23"/>
  <c r="M344" i="23"/>
  <c r="F344" i="23"/>
  <c r="I344" i="23" s="1"/>
  <c r="D344" i="23"/>
  <c r="N348" i="23"/>
  <c r="B350" i="23"/>
  <c r="M340" i="23"/>
  <c r="H340" i="23"/>
  <c r="E340" i="23"/>
  <c r="C340" i="23"/>
  <c r="B340" i="23"/>
  <c r="F339" i="23"/>
  <c r="I339" i="23" s="1"/>
  <c r="I340" i="23" s="1"/>
  <c r="D339" i="23"/>
  <c r="H338" i="23"/>
  <c r="G338" i="23"/>
  <c r="E338" i="23"/>
  <c r="C338" i="23"/>
  <c r="B338" i="23"/>
  <c r="F337" i="23"/>
  <c r="I337" i="23" s="1"/>
  <c r="D337" i="23"/>
  <c r="M336" i="23"/>
  <c r="M338" i="23" s="1"/>
  <c r="F336" i="23"/>
  <c r="D336" i="23"/>
  <c r="H335" i="23"/>
  <c r="G335" i="23"/>
  <c r="E335" i="23"/>
  <c r="B335" i="23"/>
  <c r="F334" i="23"/>
  <c r="I334" i="23" s="1"/>
  <c r="D334" i="23"/>
  <c r="M333" i="23"/>
  <c r="M335" i="23" s="1"/>
  <c r="F333" i="23"/>
  <c r="D333" i="23"/>
  <c r="M332" i="23"/>
  <c r="H332" i="23"/>
  <c r="G332" i="23"/>
  <c r="E332" i="23"/>
  <c r="C332" i="23"/>
  <c r="B332" i="23"/>
  <c r="F331" i="23"/>
  <c r="I331" i="23" s="1"/>
  <c r="D331" i="23"/>
  <c r="H329" i="23"/>
  <c r="G329" i="23"/>
  <c r="E329" i="23"/>
  <c r="C329" i="23"/>
  <c r="B329" i="23"/>
  <c r="M328" i="23"/>
  <c r="M329" i="23" s="1"/>
  <c r="F328" i="23"/>
  <c r="I328" i="23" s="1"/>
  <c r="D328" i="23"/>
  <c r="F325" i="23"/>
  <c r="I325" i="23" s="1"/>
  <c r="D325" i="23"/>
  <c r="M326" i="23"/>
  <c r="H326" i="23"/>
  <c r="G326" i="23"/>
  <c r="E326" i="23"/>
  <c r="C326" i="23"/>
  <c r="B326" i="23"/>
  <c r="D322" i="23"/>
  <c r="F322" i="23"/>
  <c r="I322" i="23" s="1"/>
  <c r="M323" i="23"/>
  <c r="H323" i="23"/>
  <c r="G323" i="23"/>
  <c r="E323" i="23"/>
  <c r="C323" i="23"/>
  <c r="B323" i="23"/>
  <c r="M318" i="23"/>
  <c r="M319" i="23" s="1"/>
  <c r="F318" i="23"/>
  <c r="I318" i="23" s="1"/>
  <c r="D318" i="23"/>
  <c r="H319" i="23"/>
  <c r="G319" i="23"/>
  <c r="E319" i="23"/>
  <c r="C319" i="23"/>
  <c r="B319" i="23"/>
  <c r="M315" i="23"/>
  <c r="H315" i="23"/>
  <c r="G315" i="23"/>
  <c r="E315" i="23"/>
  <c r="C315" i="23"/>
  <c r="B315" i="23"/>
  <c r="F314" i="23"/>
  <c r="I314" i="23" s="1"/>
  <c r="D314" i="23"/>
  <c r="F313" i="23"/>
  <c r="I313" i="23" s="1"/>
  <c r="D313" i="23"/>
  <c r="F312" i="23"/>
  <c r="I312" i="23" s="1"/>
  <c r="D312" i="23"/>
  <c r="F308" i="23"/>
  <c r="D308" i="23"/>
  <c r="F310" i="23"/>
  <c r="I310" i="23" s="1"/>
  <c r="F309" i="23"/>
  <c r="I309" i="23" s="1"/>
  <c r="D310" i="23"/>
  <c r="D309" i="23"/>
  <c r="M311" i="23"/>
  <c r="H311" i="23"/>
  <c r="G311" i="23"/>
  <c r="E311" i="23"/>
  <c r="C311" i="23"/>
  <c r="B311" i="23"/>
  <c r="F305" i="23"/>
  <c r="I305" i="23" s="1"/>
  <c r="D305" i="23"/>
  <c r="M306" i="23"/>
  <c r="H306" i="23"/>
  <c r="G306" i="23"/>
  <c r="E306" i="23"/>
  <c r="C306" i="23"/>
  <c r="B306" i="23"/>
  <c r="D301" i="23"/>
  <c r="F301" i="23" s="1"/>
  <c r="I301" i="23" s="1"/>
  <c r="D300" i="23"/>
  <c r="F300" i="23" s="1"/>
  <c r="I300" i="23" s="1"/>
  <c r="D299" i="23"/>
  <c r="F299" i="23" s="1"/>
  <c r="I299" i="23" s="1"/>
  <c r="J299" i="23" s="1"/>
  <c r="D298" i="23"/>
  <c r="F298" i="23" s="1"/>
  <c r="I298" i="23" s="1"/>
  <c r="J298" i="23" s="1"/>
  <c r="D297" i="23"/>
  <c r="F297" i="23" s="1"/>
  <c r="I297" i="23" s="1"/>
  <c r="D296" i="23"/>
  <c r="F296" i="23" s="1"/>
  <c r="M298" i="23"/>
  <c r="M302" i="23" s="1"/>
  <c r="E302" i="23"/>
  <c r="G302" i="23"/>
  <c r="H302" i="23"/>
  <c r="C302" i="23"/>
  <c r="B302" i="23"/>
  <c r="D291" i="23"/>
  <c r="F291" i="23" s="1"/>
  <c r="I291" i="23" s="1"/>
  <c r="M292" i="23"/>
  <c r="H292" i="23"/>
  <c r="G292" i="23"/>
  <c r="E292" i="23"/>
  <c r="C292" i="23"/>
  <c r="B292" i="23"/>
  <c r="I282" i="23"/>
  <c r="D282" i="23"/>
  <c r="M284" i="23"/>
  <c r="H284" i="23"/>
  <c r="G284" i="23"/>
  <c r="E284" i="23"/>
  <c r="C284" i="23"/>
  <c r="B284" i="23"/>
  <c r="F274" i="23"/>
  <c r="I274" i="23" s="1"/>
  <c r="F273" i="23"/>
  <c r="I273" i="23" s="1"/>
  <c r="D274" i="23"/>
  <c r="D273" i="23"/>
  <c r="M275" i="23"/>
  <c r="H275" i="23"/>
  <c r="G275" i="23"/>
  <c r="E275" i="23"/>
  <c r="C275" i="23"/>
  <c r="B275" i="23"/>
  <c r="F263" i="23"/>
  <c r="I263" i="23" s="1"/>
  <c r="F262" i="23"/>
  <c r="I262" i="23" s="1"/>
  <c r="D263" i="23"/>
  <c r="D262" i="23"/>
  <c r="B264" i="23"/>
  <c r="M242" i="23"/>
  <c r="H242" i="23"/>
  <c r="G242" i="23"/>
  <c r="E242" i="23"/>
  <c r="C242" i="23"/>
  <c r="B242" i="23"/>
  <c r="D241" i="23"/>
  <c r="F241" i="23" s="1"/>
  <c r="I241" i="23" s="1"/>
  <c r="F240" i="23"/>
  <c r="I240" i="23" s="1"/>
  <c r="D240" i="23"/>
  <c r="D238" i="23"/>
  <c r="F238" i="23" s="1"/>
  <c r="I238" i="23" s="1"/>
  <c r="J238" i="23" s="1"/>
  <c r="M239" i="23"/>
  <c r="H239" i="23"/>
  <c r="G239" i="23"/>
  <c r="E239" i="23"/>
  <c r="C239" i="23"/>
  <c r="B239" i="23"/>
  <c r="D235" i="23"/>
  <c r="F235" i="23" s="1"/>
  <c r="I235" i="23" s="1"/>
  <c r="J235" i="23" s="1"/>
  <c r="D234" i="23"/>
  <c r="F234" i="23" s="1"/>
  <c r="I234" i="23" s="1"/>
  <c r="J234" i="23" s="1"/>
  <c r="K234" i="23" s="1"/>
  <c r="L234" i="23" s="1"/>
  <c r="N234" i="23" s="1"/>
  <c r="D233" i="23"/>
  <c r="F233" i="23" s="1"/>
  <c r="I233" i="23" s="1"/>
  <c r="J233" i="23" s="1"/>
  <c r="M236" i="23"/>
  <c r="H236" i="23"/>
  <c r="G236" i="23"/>
  <c r="E236" i="23"/>
  <c r="C236" i="23"/>
  <c r="B236" i="23"/>
  <c r="I225" i="23"/>
  <c r="D225" i="23"/>
  <c r="D224" i="23"/>
  <c r="F224" i="23" s="1"/>
  <c r="I224" i="23" s="1"/>
  <c r="J224" i="23" s="1"/>
  <c r="D223" i="23"/>
  <c r="M226" i="23"/>
  <c r="H226" i="23"/>
  <c r="G226" i="23"/>
  <c r="E226" i="23"/>
  <c r="C226" i="23"/>
  <c r="B226" i="23"/>
  <c r="D213" i="23"/>
  <c r="F213" i="23" s="1"/>
  <c r="D212" i="23"/>
  <c r="H214" i="23"/>
  <c r="G214" i="23"/>
  <c r="E214" i="23"/>
  <c r="C214" i="23"/>
  <c r="B214" i="23"/>
  <c r="D190" i="23"/>
  <c r="F190" i="23" s="1"/>
  <c r="I190" i="23" s="1"/>
  <c r="J190" i="23" s="1"/>
  <c r="K190" i="23" s="1"/>
  <c r="D189" i="23"/>
  <c r="F189" i="23" s="1"/>
  <c r="I189" i="23" s="1"/>
  <c r="D188" i="23"/>
  <c r="M191" i="23"/>
  <c r="H191" i="23"/>
  <c r="G191" i="23"/>
  <c r="E191" i="23"/>
  <c r="C191" i="23"/>
  <c r="B191" i="23"/>
  <c r="D182" i="23"/>
  <c r="F182" i="23" s="1"/>
  <c r="I182" i="23" s="1"/>
  <c r="J182" i="23" s="1"/>
  <c r="H183" i="23"/>
  <c r="G183" i="23"/>
  <c r="E183" i="23"/>
  <c r="C183" i="23"/>
  <c r="B183" i="23"/>
  <c r="D171" i="23"/>
  <c r="F171" i="23" s="1"/>
  <c r="I171" i="23" s="1"/>
  <c r="J171" i="23" s="1"/>
  <c r="H172" i="23"/>
  <c r="G172" i="23"/>
  <c r="E172" i="23"/>
  <c r="C172" i="23"/>
  <c r="B172" i="23"/>
  <c r="M149" i="23"/>
  <c r="H149" i="23"/>
  <c r="G149" i="23"/>
  <c r="E149" i="23"/>
  <c r="C149" i="23"/>
  <c r="B149" i="23"/>
  <c r="F148" i="23"/>
  <c r="F149" i="23" s="1"/>
  <c r="D148" i="23"/>
  <c r="D149" i="23" s="1"/>
  <c r="D119" i="23"/>
  <c r="F119" i="23"/>
  <c r="I119" i="23" s="1"/>
  <c r="F118" i="23"/>
  <c r="F117" i="23"/>
  <c r="F116" i="23"/>
  <c r="H120" i="23"/>
  <c r="G120" i="23"/>
  <c r="E120" i="23"/>
  <c r="C120" i="23"/>
  <c r="B120" i="23"/>
  <c r="F106" i="23"/>
  <c r="I106" i="23" s="1"/>
  <c r="F105" i="23"/>
  <c r="I105" i="23" s="1"/>
  <c r="D106" i="23"/>
  <c r="D105" i="23"/>
  <c r="M107" i="23"/>
  <c r="G107" i="23"/>
  <c r="C107" i="23"/>
  <c r="B107" i="23"/>
  <c r="F73" i="23"/>
  <c r="I73" i="23" s="1"/>
  <c r="D73" i="23"/>
  <c r="G74" i="23"/>
  <c r="E74" i="23"/>
  <c r="C74" i="23"/>
  <c r="B74" i="23"/>
  <c r="F40" i="23"/>
  <c r="I40" i="23" s="1"/>
  <c r="D40" i="23"/>
  <c r="M41" i="23"/>
  <c r="G41" i="23"/>
  <c r="C41" i="23"/>
  <c r="B41" i="23"/>
  <c r="F31" i="23"/>
  <c r="F30" i="23"/>
  <c r="G32" i="23"/>
  <c r="C32" i="23"/>
  <c r="B32" i="23"/>
  <c r="H21" i="23"/>
  <c r="G21" i="23"/>
  <c r="E21" i="23"/>
  <c r="C21" i="23"/>
  <c r="B21" i="23"/>
  <c r="D20" i="23"/>
  <c r="F20" i="23" s="1"/>
  <c r="I20" i="23" s="1"/>
  <c r="J20" i="23" s="1"/>
  <c r="D19" i="23"/>
  <c r="F19" i="23" s="1"/>
  <c r="I19" i="23" s="1"/>
  <c r="J19" i="23" s="1"/>
  <c r="A1" i="20"/>
  <c r="I22" i="15"/>
  <c r="G22" i="15" s="1"/>
  <c r="L12" i="3"/>
  <c r="M12" i="3" s="1"/>
  <c r="K12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1" i="3"/>
  <c r="K11" i="3"/>
  <c r="L10" i="3"/>
  <c r="K10" i="3"/>
  <c r="D350" i="23" l="1"/>
  <c r="AA26" i="9"/>
  <c r="F338" i="23"/>
  <c r="D338" i="23"/>
  <c r="J314" i="23"/>
  <c r="J347" i="23"/>
  <c r="K347" i="23" s="1"/>
  <c r="L347" i="23" s="1"/>
  <c r="N347" i="23" s="1"/>
  <c r="J325" i="23"/>
  <c r="J362" i="23"/>
  <c r="I350" i="23"/>
  <c r="M364" i="23"/>
  <c r="D377" i="23"/>
  <c r="J375" i="23"/>
  <c r="K375" i="23" s="1"/>
  <c r="L375" i="23" s="1"/>
  <c r="N375" i="23" s="1"/>
  <c r="F335" i="23"/>
  <c r="F376" i="23"/>
  <c r="I376" i="23" s="1"/>
  <c r="J376" i="23" s="1"/>
  <c r="K376" i="23" s="1"/>
  <c r="L376" i="23" s="1"/>
  <c r="N376" i="23" s="1"/>
  <c r="J310" i="23"/>
  <c r="K310" i="23" s="1"/>
  <c r="L310" i="23" s="1"/>
  <c r="N310" i="23" s="1"/>
  <c r="M350" i="23"/>
  <c r="J73" i="23"/>
  <c r="K73" i="23" s="1"/>
  <c r="L73" i="23" s="1"/>
  <c r="F350" i="23"/>
  <c r="J313" i="23"/>
  <c r="K313" i="23" s="1"/>
  <c r="L313" i="23" s="1"/>
  <c r="N313" i="23" s="1"/>
  <c r="D364" i="23"/>
  <c r="I374" i="23"/>
  <c r="F364" i="23"/>
  <c r="J374" i="23"/>
  <c r="J357" i="23"/>
  <c r="K357" i="23" s="1"/>
  <c r="K372" i="23"/>
  <c r="L372" i="23" s="1"/>
  <c r="N372" i="23" s="1"/>
  <c r="K370" i="23"/>
  <c r="L370" i="23" s="1"/>
  <c r="N370" i="23" s="1"/>
  <c r="K371" i="23"/>
  <c r="L371" i="23" s="1"/>
  <c r="N371" i="23" s="1"/>
  <c r="K362" i="23"/>
  <c r="L362" i="23" s="1"/>
  <c r="N362" i="23" s="1"/>
  <c r="K359" i="23"/>
  <c r="L359" i="23" s="1"/>
  <c r="N359" i="23" s="1"/>
  <c r="J361" i="23"/>
  <c r="I358" i="23"/>
  <c r="I364" i="23" s="1"/>
  <c r="J355" i="23"/>
  <c r="J305" i="23"/>
  <c r="K305" i="23" s="1"/>
  <c r="F315" i="23"/>
  <c r="I333" i="23"/>
  <c r="I335" i="23" s="1"/>
  <c r="D315" i="23"/>
  <c r="I315" i="23"/>
  <c r="J346" i="23"/>
  <c r="K346" i="23" s="1"/>
  <c r="L346" i="23" s="1"/>
  <c r="N346" i="23" s="1"/>
  <c r="J309" i="23"/>
  <c r="K309" i="23" s="1"/>
  <c r="J344" i="23"/>
  <c r="J345" i="23"/>
  <c r="J331" i="23"/>
  <c r="K331" i="23" s="1"/>
  <c r="L331" i="23" s="1"/>
  <c r="N331" i="23" s="1"/>
  <c r="J339" i="23"/>
  <c r="J340" i="23" s="1"/>
  <c r="J322" i="23"/>
  <c r="K322" i="23" s="1"/>
  <c r="J334" i="23"/>
  <c r="K334" i="23" s="1"/>
  <c r="L334" i="23" s="1"/>
  <c r="N334" i="23" s="1"/>
  <c r="J312" i="23"/>
  <c r="J318" i="23"/>
  <c r="K318" i="23" s="1"/>
  <c r="J337" i="23"/>
  <c r="K337" i="23" s="1"/>
  <c r="L337" i="23" s="1"/>
  <c r="N337" i="23" s="1"/>
  <c r="F340" i="23"/>
  <c r="D335" i="23"/>
  <c r="D340" i="23"/>
  <c r="I336" i="23"/>
  <c r="J328" i="23"/>
  <c r="K328" i="23" s="1"/>
  <c r="L328" i="23" s="1"/>
  <c r="K325" i="23"/>
  <c r="I308" i="23"/>
  <c r="J308" i="23" s="1"/>
  <c r="K314" i="23"/>
  <c r="L314" i="23" s="1"/>
  <c r="N314" i="23" s="1"/>
  <c r="J106" i="23"/>
  <c r="K106" i="23" s="1"/>
  <c r="L106" i="23" s="1"/>
  <c r="N106" i="23" s="1"/>
  <c r="J301" i="23"/>
  <c r="K301" i="23" s="1"/>
  <c r="K299" i="23"/>
  <c r="L299" i="23" s="1"/>
  <c r="N299" i="23" s="1"/>
  <c r="J297" i="23"/>
  <c r="D302" i="23"/>
  <c r="J300" i="23"/>
  <c r="K300" i="23" s="1"/>
  <c r="L300" i="23" s="1"/>
  <c r="N300" i="23" s="1"/>
  <c r="I296" i="23"/>
  <c r="I302" i="23" s="1"/>
  <c r="F302" i="23"/>
  <c r="K298" i="23"/>
  <c r="L298" i="23" s="1"/>
  <c r="N298" i="23" s="1"/>
  <c r="J274" i="23"/>
  <c r="K274" i="23" s="1"/>
  <c r="L274" i="23" s="1"/>
  <c r="N274" i="23" s="1"/>
  <c r="J291" i="23"/>
  <c r="J282" i="23"/>
  <c r="J273" i="23"/>
  <c r="J262" i="23"/>
  <c r="K262" i="23" s="1"/>
  <c r="L262" i="23" s="1"/>
  <c r="N262" i="23" s="1"/>
  <c r="J263" i="23"/>
  <c r="K263" i="23" s="1"/>
  <c r="L263" i="23" s="1"/>
  <c r="N263" i="23" s="1"/>
  <c r="F188" i="23"/>
  <c r="I188" i="23" s="1"/>
  <c r="J188" i="23" s="1"/>
  <c r="J240" i="23"/>
  <c r="K240" i="23" s="1"/>
  <c r="L240" i="23" s="1"/>
  <c r="I242" i="23"/>
  <c r="D242" i="23"/>
  <c r="F242" i="23"/>
  <c r="J241" i="23"/>
  <c r="K238" i="23"/>
  <c r="K233" i="23"/>
  <c r="K235" i="23"/>
  <c r="L235" i="23" s="1"/>
  <c r="N235" i="23" s="1"/>
  <c r="J225" i="23"/>
  <c r="K225" i="23" s="1"/>
  <c r="L225" i="23" s="1"/>
  <c r="N225" i="23" s="1"/>
  <c r="F223" i="23"/>
  <c r="I223" i="23" s="1"/>
  <c r="J223" i="23" s="1"/>
  <c r="K224" i="23"/>
  <c r="L224" i="23" s="1"/>
  <c r="N224" i="23" s="1"/>
  <c r="I213" i="23"/>
  <c r="J213" i="23" s="1"/>
  <c r="K213" i="23" s="1"/>
  <c r="L213" i="23" s="1"/>
  <c r="N213" i="23" s="1"/>
  <c r="F212" i="23"/>
  <c r="I212" i="23" s="1"/>
  <c r="J212" i="23" s="1"/>
  <c r="K212" i="23" s="1"/>
  <c r="L190" i="23"/>
  <c r="N190" i="23" s="1"/>
  <c r="J189" i="23"/>
  <c r="K182" i="23"/>
  <c r="K171" i="23"/>
  <c r="I148" i="23"/>
  <c r="I149" i="23" s="1"/>
  <c r="J119" i="23"/>
  <c r="K119" i="23" s="1"/>
  <c r="L119" i="23" s="1"/>
  <c r="N119" i="23" s="1"/>
  <c r="J105" i="23"/>
  <c r="J40" i="23"/>
  <c r="K40" i="23" s="1"/>
  <c r="L40" i="23" s="1"/>
  <c r="N40" i="23" s="1"/>
  <c r="K20" i="23"/>
  <c r="L20" i="23" s="1"/>
  <c r="N20" i="23" s="1"/>
  <c r="K19" i="23"/>
  <c r="L19" i="23" s="1"/>
  <c r="N19" i="23" s="1"/>
  <c r="K339" i="23" l="1"/>
  <c r="K340" i="23" s="1"/>
  <c r="F377" i="23"/>
  <c r="J296" i="23"/>
  <c r="K296" i="23" s="1"/>
  <c r="J315" i="23"/>
  <c r="J377" i="23"/>
  <c r="I377" i="23"/>
  <c r="K374" i="23"/>
  <c r="K377" i="23" s="1"/>
  <c r="J350" i="23"/>
  <c r="L357" i="23"/>
  <c r="J358" i="23"/>
  <c r="K361" i="23"/>
  <c r="L361" i="23" s="1"/>
  <c r="N361" i="23" s="1"/>
  <c r="K355" i="23"/>
  <c r="J333" i="23"/>
  <c r="J335" i="23" s="1"/>
  <c r="K345" i="23"/>
  <c r="L345" i="23" s="1"/>
  <c r="N345" i="23" s="1"/>
  <c r="K344" i="23"/>
  <c r="L339" i="23"/>
  <c r="N339" i="23" s="1"/>
  <c r="N340" i="23" s="1"/>
  <c r="K312" i="23"/>
  <c r="J336" i="23"/>
  <c r="I338" i="23"/>
  <c r="L340" i="23"/>
  <c r="L325" i="23"/>
  <c r="L322" i="23"/>
  <c r="L318" i="23"/>
  <c r="K308" i="23"/>
  <c r="L308" i="23" s="1"/>
  <c r="N308" i="23" s="1"/>
  <c r="L301" i="23"/>
  <c r="N301" i="23" s="1"/>
  <c r="L309" i="23"/>
  <c r="L305" i="23"/>
  <c r="K297" i="23"/>
  <c r="L297" i="23" s="1"/>
  <c r="N297" i="23" s="1"/>
  <c r="K291" i="23"/>
  <c r="K282" i="23"/>
  <c r="L282" i="23" s="1"/>
  <c r="N282" i="23" s="1"/>
  <c r="K273" i="23"/>
  <c r="L273" i="23" s="1"/>
  <c r="K188" i="23"/>
  <c r="L188" i="23" s="1"/>
  <c r="N188" i="23" s="1"/>
  <c r="N240" i="23"/>
  <c r="K241" i="23"/>
  <c r="L241" i="23" s="1"/>
  <c r="J242" i="23"/>
  <c r="L238" i="23"/>
  <c r="L233" i="23"/>
  <c r="K223" i="23"/>
  <c r="L212" i="23"/>
  <c r="K189" i="23"/>
  <c r="L189" i="23" s="1"/>
  <c r="N189" i="23" s="1"/>
  <c r="L182" i="23"/>
  <c r="L171" i="23"/>
  <c r="J148" i="23"/>
  <c r="J149" i="23" s="1"/>
  <c r="K105" i="23"/>
  <c r="N73" i="23"/>
  <c r="J302" i="23" l="1"/>
  <c r="L374" i="23"/>
  <c r="L377" i="23" s="1"/>
  <c r="L344" i="23"/>
  <c r="K350" i="23"/>
  <c r="K333" i="23"/>
  <c r="K335" i="23" s="1"/>
  <c r="N357" i="23"/>
  <c r="K358" i="23"/>
  <c r="K364" i="23" s="1"/>
  <c r="J364" i="23"/>
  <c r="L355" i="23"/>
  <c r="L312" i="23"/>
  <c r="K315" i="23"/>
  <c r="N325" i="23"/>
  <c r="K336" i="23"/>
  <c r="K338" i="23" s="1"/>
  <c r="J338" i="23"/>
  <c r="N322" i="23"/>
  <c r="N309" i="23"/>
  <c r="N305" i="23"/>
  <c r="K302" i="23"/>
  <c r="L296" i="23"/>
  <c r="L291" i="23"/>
  <c r="N273" i="23"/>
  <c r="K242" i="23"/>
  <c r="N241" i="23"/>
  <c r="N242" i="23" s="1"/>
  <c r="L242" i="23"/>
  <c r="N238" i="23"/>
  <c r="N233" i="23"/>
  <c r="L223" i="23"/>
  <c r="N212" i="23"/>
  <c r="N182" i="23"/>
  <c r="N171" i="23"/>
  <c r="K148" i="23"/>
  <c r="K149" i="23" s="1"/>
  <c r="L105" i="23"/>
  <c r="N374" i="23" l="1"/>
  <c r="N377" i="23" s="1"/>
  <c r="L333" i="23"/>
  <c r="L335" i="23" s="1"/>
  <c r="N344" i="23"/>
  <c r="N350" i="23" s="1"/>
  <c r="L350" i="23"/>
  <c r="L358" i="23"/>
  <c r="N355" i="23"/>
  <c r="N333" i="23"/>
  <c r="N335" i="23" s="1"/>
  <c r="N312" i="23"/>
  <c r="N315" i="23" s="1"/>
  <c r="L315" i="23"/>
  <c r="L336" i="23"/>
  <c r="N336" i="23" s="1"/>
  <c r="N338" i="23" s="1"/>
  <c r="L302" i="23"/>
  <c r="N296" i="23"/>
  <c r="N302" i="23" s="1"/>
  <c r="N291" i="23"/>
  <c r="N223" i="23"/>
  <c r="L148" i="23"/>
  <c r="L149" i="23" s="1"/>
  <c r="N105" i="23"/>
  <c r="N358" i="23" l="1"/>
  <c r="N364" i="23" s="1"/>
  <c r="L364" i="23"/>
  <c r="L338" i="23"/>
  <c r="N148" i="23"/>
  <c r="N149" i="23" s="1"/>
  <c r="AB48" i="9" l="1"/>
  <c r="J36" i="4" l="1"/>
  <c r="P50" i="9"/>
  <c r="Z50" i="9"/>
  <c r="P51" i="9"/>
  <c r="R51" i="9"/>
  <c r="I24" i="2"/>
  <c r="I23" i="2"/>
  <c r="R55" i="9"/>
  <c r="P55" i="9"/>
  <c r="Z55" i="9"/>
  <c r="R40" i="9"/>
  <c r="P40" i="9"/>
  <c r="X2" i="9"/>
  <c r="J54" i="4"/>
  <c r="J57" i="4"/>
  <c r="J56" i="4"/>
  <c r="J55" i="4"/>
  <c r="J71" i="4"/>
  <c r="J31" i="4"/>
  <c r="J23" i="4"/>
  <c r="J19" i="4"/>
  <c r="I27" i="2" l="1"/>
  <c r="I28" i="2" s="1"/>
  <c r="F16" i="7" l="1"/>
  <c r="E16" i="7"/>
  <c r="D16" i="7"/>
  <c r="C16" i="7"/>
  <c r="P12" i="9" l="1"/>
  <c r="D70" i="5"/>
  <c r="J62" i="4"/>
  <c r="J66" i="4"/>
  <c r="R12" i="9" l="1"/>
  <c r="R11" i="9"/>
  <c r="P11" i="9"/>
  <c r="J69" i="4"/>
  <c r="J63" i="4"/>
  <c r="J60" i="4"/>
  <c r="J59" i="4"/>
  <c r="J53" i="4"/>
  <c r="H20" i="4"/>
  <c r="G16" i="7" s="1"/>
  <c r="H16" i="7" s="1"/>
  <c r="B16" i="7"/>
  <c r="J65" i="4"/>
  <c r="J40" i="4"/>
  <c r="J34" i="4"/>
  <c r="J25" i="4"/>
  <c r="J26" i="4"/>
  <c r="I16" i="7" l="1"/>
  <c r="J16" i="7" s="1"/>
  <c r="L16" i="7" s="1"/>
  <c r="R16" i="7"/>
  <c r="M16" i="7"/>
  <c r="S16" i="7" l="1"/>
  <c r="T16" i="7" s="1"/>
  <c r="V16" i="7" s="1"/>
  <c r="N16" i="7"/>
  <c r="O16" i="7" s="1"/>
  <c r="Q16" i="7" l="1"/>
  <c r="W88" i="9"/>
  <c r="X88" i="9"/>
  <c r="W89" i="9"/>
  <c r="X89" i="9"/>
  <c r="W90" i="9"/>
  <c r="X90" i="9"/>
  <c r="R49" i="9"/>
  <c r="X49" i="9" s="1"/>
  <c r="P49" i="9"/>
  <c r="O86" i="9" l="1"/>
  <c r="R64" i="9" l="1"/>
  <c r="P64" i="9"/>
  <c r="X46" i="9" l="1"/>
  <c r="W46" i="9"/>
  <c r="X86" i="9" l="1"/>
  <c r="X14" i="9"/>
  <c r="W14" i="9"/>
  <c r="D64" i="5"/>
  <c r="D63" i="5"/>
  <c r="D61" i="5"/>
  <c r="D60" i="5"/>
  <c r="D59" i="5"/>
  <c r="D58" i="5"/>
  <c r="D57" i="5"/>
  <c r="D56" i="5"/>
  <c r="D55" i="5"/>
  <c r="D54" i="5"/>
  <c r="D51" i="5"/>
  <c r="F70" i="5"/>
  <c r="D27" i="5"/>
  <c r="D25" i="5"/>
  <c r="X56" i="9"/>
  <c r="X55" i="9"/>
  <c r="W49" i="9"/>
  <c r="H61" i="5"/>
  <c r="W78" i="9" l="1"/>
  <c r="X78" i="9"/>
  <c r="W79" i="9"/>
  <c r="X79" i="9"/>
  <c r="W80" i="9"/>
  <c r="X80" i="9"/>
  <c r="J12" i="9" l="1"/>
  <c r="Y12" i="9" s="1"/>
  <c r="H12" i="9"/>
  <c r="F17" i="10" s="1"/>
  <c r="F15" i="10" l="1"/>
  <c r="E15" i="10"/>
  <c r="E14" i="10"/>
  <c r="E13" i="10"/>
  <c r="F14" i="10"/>
  <c r="G14" i="10"/>
  <c r="H14" i="10"/>
  <c r="I14" i="10"/>
  <c r="K14" i="10"/>
  <c r="J14" i="10" l="1"/>
  <c r="H67" i="7"/>
  <c r="U7" i="20" l="1"/>
  <c r="T7" i="20"/>
  <c r="L56" i="4"/>
  <c r="C24" i="21" l="1"/>
  <c r="J27" i="9" l="1"/>
  <c r="J25" i="9"/>
  <c r="J24" i="9"/>
  <c r="J23" i="9"/>
  <c r="U23" i="9"/>
  <c r="Y23" i="9" s="1"/>
  <c r="AA23" i="9" s="1"/>
  <c r="L63" i="4"/>
  <c r="I25" i="2"/>
  <c r="O64" i="9"/>
  <c r="R74" i="9" l="1"/>
  <c r="P74" i="9"/>
  <c r="O40" i="9"/>
  <c r="X40" i="9"/>
  <c r="W40" i="9"/>
  <c r="R37" i="9" l="1"/>
  <c r="P37" i="9"/>
  <c r="I39" i="2"/>
  <c r="J64" i="4" l="1"/>
  <c r="J46" i="4"/>
  <c r="J39" i="4"/>
  <c r="J29" i="4"/>
  <c r="J50" i="9"/>
  <c r="X50" i="9" s="1"/>
  <c r="H50" i="9"/>
  <c r="W50" i="9" s="1"/>
  <c r="J42" i="9"/>
  <c r="H42" i="9"/>
  <c r="J42" i="2" l="1"/>
  <c r="H36" i="7"/>
  <c r="AB38" i="9" l="1"/>
  <c r="D9" i="17"/>
  <c r="D33" i="2"/>
  <c r="L64" i="4" l="1"/>
  <c r="L61" i="4"/>
  <c r="L68" i="4"/>
  <c r="L58" i="4"/>
  <c r="L43" i="4"/>
  <c r="D23" i="5" l="1"/>
  <c r="O81" i="9"/>
  <c r="O74" i="9"/>
  <c r="X61" i="9"/>
  <c r="W61" i="9"/>
  <c r="R57" i="9"/>
  <c r="P57" i="9"/>
  <c r="G42" i="9"/>
  <c r="Z42" i="9"/>
  <c r="AA42" i="9"/>
  <c r="W42" i="9"/>
  <c r="O42" i="9"/>
  <c r="W38" i="9"/>
  <c r="K17" i="2"/>
  <c r="J54" i="9"/>
  <c r="X54" i="9" s="1"/>
  <c r="X57" i="9" l="1"/>
  <c r="H61" i="4" l="1"/>
  <c r="J70" i="7" l="1"/>
  <c r="H71" i="4"/>
  <c r="O71" i="4" s="1"/>
  <c r="O70" i="4"/>
  <c r="P70" i="4" s="1"/>
  <c r="P72" i="4"/>
  <c r="O61" i="4"/>
  <c r="P40" i="4"/>
  <c r="M67" i="7"/>
  <c r="M77" i="7" s="1"/>
  <c r="I67" i="7"/>
  <c r="F67" i="7"/>
  <c r="E67" i="7"/>
  <c r="D67" i="7"/>
  <c r="C67" i="7"/>
  <c r="D38" i="7"/>
  <c r="C38" i="7"/>
  <c r="B38" i="7"/>
  <c r="F42" i="4"/>
  <c r="F38" i="7" s="1"/>
  <c r="E42" i="4"/>
  <c r="E38" i="7" s="1"/>
  <c r="G48" i="9"/>
  <c r="G47" i="9"/>
  <c r="J11" i="9"/>
  <c r="H11" i="9"/>
  <c r="J10" i="9"/>
  <c r="H10" i="9"/>
  <c r="L47" i="9" l="1"/>
  <c r="L92" i="9" s="1"/>
  <c r="X11" i="9"/>
  <c r="Y11" i="9"/>
  <c r="Y10" i="9"/>
  <c r="H42" i="4"/>
  <c r="O42" i="4" s="1"/>
  <c r="P42" i="4" s="1"/>
  <c r="J67" i="7"/>
  <c r="L67" i="7" s="1"/>
  <c r="N67" i="7"/>
  <c r="O67" i="7" s="1"/>
  <c r="G38" i="7" l="1"/>
  <c r="M38" i="7" s="1"/>
  <c r="Q67" i="7"/>
  <c r="H38" i="7" l="1"/>
  <c r="I38" i="7" s="1"/>
  <c r="J38" i="7" s="1"/>
  <c r="L38" i="7" s="1"/>
  <c r="N38" i="7"/>
  <c r="O38" i="7" s="1"/>
  <c r="Q38" i="7" s="1"/>
  <c r="R67" i="7"/>
  <c r="J68" i="4"/>
  <c r="H66" i="4"/>
  <c r="O66" i="4" s="1"/>
  <c r="P66" i="4" s="1"/>
  <c r="F65" i="4"/>
  <c r="E65" i="4"/>
  <c r="P71" i="4"/>
  <c r="J61" i="4"/>
  <c r="P61" i="4" s="1"/>
  <c r="R38" i="7"/>
  <c r="S38" i="7" s="1"/>
  <c r="T38" i="7" s="1"/>
  <c r="V38" i="7" s="1"/>
  <c r="J41" i="4"/>
  <c r="J35" i="4"/>
  <c r="J28" i="4"/>
  <c r="J27" i="4"/>
  <c r="J24" i="4"/>
  <c r="S67" i="7" l="1"/>
  <c r="T67" i="7" s="1"/>
  <c r="V67" i="7" s="1"/>
  <c r="I15" i="9"/>
  <c r="I17" i="9"/>
  <c r="I18" i="9"/>
  <c r="I19" i="9"/>
  <c r="I20" i="9"/>
  <c r="I21" i="9"/>
  <c r="D378" i="23" l="1"/>
  <c r="D118" i="23"/>
  <c r="I118" i="23"/>
  <c r="F54" i="23"/>
  <c r="I54" i="23" s="1"/>
  <c r="M55" i="23"/>
  <c r="H55" i="23"/>
  <c r="G55" i="23"/>
  <c r="E55" i="23"/>
  <c r="C55" i="23"/>
  <c r="B55" i="23"/>
  <c r="F47" i="23"/>
  <c r="D47" i="23"/>
  <c r="H48" i="23"/>
  <c r="G48" i="23"/>
  <c r="E48" i="23"/>
  <c r="C48" i="23"/>
  <c r="B48" i="23"/>
  <c r="D39" i="23"/>
  <c r="F39" i="23" s="1"/>
  <c r="F378" i="23" l="1"/>
  <c r="I378" i="23" s="1"/>
  <c r="I39" i="23"/>
  <c r="J118" i="23"/>
  <c r="K118" i="23" s="1"/>
  <c r="L118" i="23" s="1"/>
  <c r="I47" i="23"/>
  <c r="J47" i="23" s="1"/>
  <c r="J54" i="23"/>
  <c r="K54" i="23" s="1"/>
  <c r="J39" i="23"/>
  <c r="J378" i="23" l="1"/>
  <c r="K378" i="23" s="1"/>
  <c r="K39" i="23"/>
  <c r="K47" i="23"/>
  <c r="N118" i="23"/>
  <c r="L54" i="23"/>
  <c r="L39" i="23" l="1"/>
  <c r="L47" i="23"/>
  <c r="N47" i="23" s="1"/>
  <c r="L378" i="23"/>
  <c r="N54" i="23"/>
  <c r="N39" i="23" l="1"/>
  <c r="N378" i="23"/>
  <c r="J39" i="2" l="1"/>
  <c r="L44" i="2" l="1"/>
  <c r="L45" i="2" s="1"/>
  <c r="G12" i="21" l="1"/>
  <c r="G13" i="21"/>
  <c r="X59" i="9" l="1"/>
  <c r="W59" i="9"/>
  <c r="X64" i="9"/>
  <c r="W64" i="9"/>
  <c r="H13" i="4"/>
  <c r="H12" i="4"/>
  <c r="H11" i="4"/>
  <c r="L54" i="4" l="1"/>
  <c r="H41" i="4"/>
  <c r="O41" i="4" s="1"/>
  <c r="P41" i="4" s="1"/>
  <c r="H39" i="4"/>
  <c r="O39" i="4" s="1"/>
  <c r="P39" i="4" s="1"/>
  <c r="X71" i="9"/>
  <c r="X70" i="9"/>
  <c r="W71" i="9"/>
  <c r="W70" i="9"/>
  <c r="R68" i="9"/>
  <c r="P68" i="9"/>
  <c r="R67" i="9"/>
  <c r="P67" i="9"/>
  <c r="R66" i="9"/>
  <c r="P66" i="9"/>
  <c r="R65" i="9"/>
  <c r="P65" i="9"/>
  <c r="O55" i="9"/>
  <c r="O49" i="9"/>
  <c r="M43" i="4" l="1"/>
  <c r="J47" i="2"/>
  <c r="J48" i="2" s="1"/>
  <c r="G37" i="7"/>
  <c r="H37" i="7" s="1"/>
  <c r="G35" i="7"/>
  <c r="F37" i="7"/>
  <c r="F36" i="7"/>
  <c r="F35" i="7"/>
  <c r="E37" i="7"/>
  <c r="E36" i="7"/>
  <c r="E35" i="7"/>
  <c r="D37" i="7"/>
  <c r="D36" i="7"/>
  <c r="D35" i="7"/>
  <c r="C37" i="7"/>
  <c r="C36" i="7"/>
  <c r="C35" i="7"/>
  <c r="B37" i="7"/>
  <c r="B36" i="7"/>
  <c r="B35" i="7"/>
  <c r="J49" i="4"/>
  <c r="J13" i="4"/>
  <c r="J18" i="4"/>
  <c r="M35" i="7" l="1"/>
  <c r="N35" i="7" s="1"/>
  <c r="H35" i="7"/>
  <c r="R37" i="7"/>
  <c r="S37" i="7" s="1"/>
  <c r="T37" i="7" s="1"/>
  <c r="V37" i="7" s="1"/>
  <c r="M37" i="7"/>
  <c r="N37" i="7" s="1"/>
  <c r="I36" i="7"/>
  <c r="J36" i="7" s="1"/>
  <c r="L36" i="7" s="1"/>
  <c r="I37" i="7"/>
  <c r="J37" i="7" s="1"/>
  <c r="R36" i="7"/>
  <c r="S36" i="7" s="1"/>
  <c r="M36" i="7"/>
  <c r="N36" i="7" s="1"/>
  <c r="R35" i="7"/>
  <c r="S35" i="7" s="1"/>
  <c r="T35" i="7" s="1"/>
  <c r="V35" i="7" s="1"/>
  <c r="O35" i="7" l="1"/>
  <c r="Q35" i="7" s="1"/>
  <c r="O37" i="7"/>
  <c r="Q37" i="7" s="1"/>
  <c r="O36" i="7"/>
  <c r="Q36" i="7" s="1"/>
  <c r="L37" i="7"/>
  <c r="T36" i="7"/>
  <c r="V36" i="7" s="1"/>
  <c r="I35" i="7"/>
  <c r="V13" i="9"/>
  <c r="J35" i="7" l="1"/>
  <c r="L35" i="7" s="1"/>
  <c r="J72" i="9"/>
  <c r="H72" i="9"/>
  <c r="J69" i="9"/>
  <c r="H69" i="9"/>
  <c r="J13" i="9"/>
  <c r="H13" i="9"/>
  <c r="W13" i="9" s="1"/>
  <c r="X13" i="9" l="1"/>
  <c r="Y13" i="9" s="1"/>
  <c r="I13" i="9"/>
  <c r="X6" i="20" l="1"/>
  <c r="W6" i="20"/>
  <c r="V6" i="20"/>
  <c r="R7" i="20"/>
  <c r="Q7" i="20"/>
  <c r="P7" i="20"/>
  <c r="O7" i="20"/>
  <c r="N7" i="20"/>
  <c r="I27" i="21" l="1"/>
  <c r="L52" i="4" l="1"/>
  <c r="L48" i="4"/>
  <c r="L73" i="4" l="1"/>
  <c r="O66" i="9"/>
  <c r="R30" i="9"/>
  <c r="P30" i="9"/>
  <c r="O30" i="9"/>
  <c r="R77" i="9"/>
  <c r="P77" i="9"/>
  <c r="R76" i="9"/>
  <c r="P76" i="9"/>
  <c r="R75" i="9"/>
  <c r="P75" i="9"/>
  <c r="O67" i="9"/>
  <c r="X53" i="9"/>
  <c r="W53" i="9"/>
  <c r="X43" i="9"/>
  <c r="W43" i="9"/>
  <c r="X47" i="9" l="1"/>
  <c r="R26" i="9" l="1"/>
  <c r="V28" i="9"/>
  <c r="X28" i="9" s="1"/>
  <c r="U28" i="9"/>
  <c r="Y28" i="9" s="1"/>
  <c r="AA28" i="9" s="1"/>
  <c r="J26" i="9"/>
  <c r="V24" i="9"/>
  <c r="U27" i="9"/>
  <c r="Y27" i="9" s="1"/>
  <c r="AA27" i="9" s="1"/>
  <c r="U25" i="9"/>
  <c r="Y25" i="9" s="1"/>
  <c r="AA25" i="9" s="1"/>
  <c r="U24" i="9"/>
  <c r="Y24" i="9" s="1"/>
  <c r="AA24" i="9" s="1"/>
  <c r="E19" i="4" l="1"/>
  <c r="F10" i="7"/>
  <c r="E10" i="7"/>
  <c r="C10" i="7"/>
  <c r="D10" i="7"/>
  <c r="B10" i="7"/>
  <c r="J47" i="4"/>
  <c r="J30" i="4"/>
  <c r="H14" i="4"/>
  <c r="D49" i="3"/>
  <c r="G10" i="7" l="1"/>
  <c r="O14" i="4"/>
  <c r="P14" i="4" s="1"/>
  <c r="H10" i="7"/>
  <c r="R10" i="7"/>
  <c r="M10" i="7"/>
  <c r="I10" i="7" l="1"/>
  <c r="N10" i="7"/>
  <c r="O10" i="7" s="1"/>
  <c r="Q10" i="7" s="1"/>
  <c r="S10" i="7"/>
  <c r="X87" i="9"/>
  <c r="W87" i="9"/>
  <c r="W86" i="9"/>
  <c r="Y86" i="9" s="1"/>
  <c r="J84" i="9"/>
  <c r="H84" i="9"/>
  <c r="W84" i="9" s="1"/>
  <c r="J81" i="9"/>
  <c r="H81" i="9"/>
  <c r="J73" i="9"/>
  <c r="H73" i="9"/>
  <c r="J67" i="9"/>
  <c r="H67" i="9"/>
  <c r="J66" i="9"/>
  <c r="H66" i="9"/>
  <c r="D13" i="5"/>
  <c r="J10" i="7" l="1"/>
  <c r="L10" i="7" s="1"/>
  <c r="T10" i="7"/>
  <c r="V10" i="7" s="1"/>
  <c r="D20" i="5"/>
  <c r="D369" i="23" l="1"/>
  <c r="M368" i="23"/>
  <c r="H368" i="23"/>
  <c r="G368" i="23"/>
  <c r="E368" i="23"/>
  <c r="C368" i="23"/>
  <c r="B368" i="23"/>
  <c r="I367" i="23"/>
  <c r="D367" i="23"/>
  <c r="F366" i="23"/>
  <c r="I366" i="23" s="1"/>
  <c r="D366" i="23"/>
  <c r="F365" i="23"/>
  <c r="I365" i="23" s="1"/>
  <c r="D365" i="23"/>
  <c r="F342" i="23"/>
  <c r="I342" i="23" s="1"/>
  <c r="D342" i="23"/>
  <c r="F330" i="23"/>
  <c r="F332" i="23" s="1"/>
  <c r="D330" i="23"/>
  <c r="D332" i="23" s="1"/>
  <c r="F327" i="23"/>
  <c r="F329" i="23" s="1"/>
  <c r="D327" i="23"/>
  <c r="D329" i="23" s="1"/>
  <c r="F324" i="23"/>
  <c r="F326" i="23" s="1"/>
  <c r="D324" i="23"/>
  <c r="D326" i="23" s="1"/>
  <c r="D321" i="23"/>
  <c r="F321" i="23"/>
  <c r="I321" i="23" s="1"/>
  <c r="D317" i="23"/>
  <c r="F317" i="23"/>
  <c r="I317" i="23" s="1"/>
  <c r="F294" i="23"/>
  <c r="I294" i="23" s="1"/>
  <c r="D294" i="23"/>
  <c r="M295" i="23"/>
  <c r="H295" i="23"/>
  <c r="G295" i="23"/>
  <c r="E295" i="23"/>
  <c r="C295" i="23"/>
  <c r="B295" i="23"/>
  <c r="M289" i="23"/>
  <c r="H289" i="23"/>
  <c r="G289" i="23"/>
  <c r="E289" i="23"/>
  <c r="C289" i="23"/>
  <c r="B289" i="23"/>
  <c r="F281" i="23"/>
  <c r="I281" i="23" s="1"/>
  <c r="F280" i="23"/>
  <c r="I280" i="23" s="1"/>
  <c r="D281" i="23"/>
  <c r="D280" i="23"/>
  <c r="F252" i="23"/>
  <c r="I252" i="23" s="1"/>
  <c r="F251" i="23"/>
  <c r="I251" i="23" s="1"/>
  <c r="D252" i="23"/>
  <c r="D251" i="23"/>
  <c r="H253" i="23"/>
  <c r="G253" i="23"/>
  <c r="E253" i="23"/>
  <c r="C253" i="23"/>
  <c r="B253" i="23"/>
  <c r="F232" i="23"/>
  <c r="I232" i="23" s="1"/>
  <c r="F231" i="23"/>
  <c r="I231" i="23" s="1"/>
  <c r="D232" i="23"/>
  <c r="D231" i="23"/>
  <c r="F222" i="23"/>
  <c r="I222" i="23" s="1"/>
  <c r="F221" i="23"/>
  <c r="I221" i="23" s="1"/>
  <c r="D222" i="23"/>
  <c r="D221" i="23"/>
  <c r="F211" i="23"/>
  <c r="I211" i="23" s="1"/>
  <c r="F210" i="23"/>
  <c r="I210" i="23" s="1"/>
  <c r="D211" i="23"/>
  <c r="D210" i="23"/>
  <c r="F196" i="23"/>
  <c r="I196" i="23" s="1"/>
  <c r="F195" i="23"/>
  <c r="I195" i="23" s="1"/>
  <c r="F194" i="23"/>
  <c r="I194" i="23" s="1"/>
  <c r="F193" i="23"/>
  <c r="I193" i="23" s="1"/>
  <c r="D196" i="23"/>
  <c r="D195" i="23"/>
  <c r="D194" i="23"/>
  <c r="D193" i="23"/>
  <c r="H197" i="23"/>
  <c r="G197" i="23"/>
  <c r="E197" i="23"/>
  <c r="C197" i="23"/>
  <c r="B197" i="23"/>
  <c r="F181" i="23"/>
  <c r="I181" i="23" s="1"/>
  <c r="F180" i="23"/>
  <c r="I180" i="23" s="1"/>
  <c r="D181" i="23"/>
  <c r="D180" i="23"/>
  <c r="I117" i="23"/>
  <c r="I116" i="23"/>
  <c r="D117" i="23"/>
  <c r="D116" i="23"/>
  <c r="D115" i="23"/>
  <c r="I104" i="23"/>
  <c r="I103" i="23"/>
  <c r="D104" i="23"/>
  <c r="D103" i="23"/>
  <c r="I72" i="23"/>
  <c r="I71" i="23"/>
  <c r="D72" i="23"/>
  <c r="D71" i="23"/>
  <c r="I38" i="23"/>
  <c r="I37" i="23"/>
  <c r="D38" i="23"/>
  <c r="D37" i="23"/>
  <c r="I31" i="23"/>
  <c r="I30" i="23"/>
  <c r="D31" i="23"/>
  <c r="D30" i="23"/>
  <c r="I18" i="23"/>
  <c r="I17" i="23"/>
  <c r="D18" i="23"/>
  <c r="D17" i="23"/>
  <c r="F369" i="23" l="1"/>
  <c r="F373" i="23" s="1"/>
  <c r="D373" i="23"/>
  <c r="J18" i="23"/>
  <c r="K18" i="23" s="1"/>
  <c r="L18" i="23" s="1"/>
  <c r="I368" i="23"/>
  <c r="J342" i="23"/>
  <c r="K342" i="23" s="1"/>
  <c r="L342" i="23" s="1"/>
  <c r="N342" i="23" s="1"/>
  <c r="I369" i="23"/>
  <c r="I373" i="23" s="1"/>
  <c r="F368" i="23"/>
  <c r="J365" i="23"/>
  <c r="K365" i="23" s="1"/>
  <c r="J367" i="23"/>
  <c r="K367" i="23" s="1"/>
  <c r="L367" i="23" s="1"/>
  <c r="N367" i="23" s="1"/>
  <c r="D368" i="23"/>
  <c r="J366" i="23"/>
  <c r="K366" i="23" s="1"/>
  <c r="L366" i="23" s="1"/>
  <c r="N366" i="23" s="1"/>
  <c r="I327" i="23"/>
  <c r="J317" i="23"/>
  <c r="K317" i="23" s="1"/>
  <c r="I324" i="23"/>
  <c r="J321" i="23"/>
  <c r="K321" i="23" s="1"/>
  <c r="L321" i="23" s="1"/>
  <c r="I330" i="23"/>
  <c r="J281" i="23"/>
  <c r="K281" i="23" s="1"/>
  <c r="J294" i="23"/>
  <c r="K294" i="23" s="1"/>
  <c r="J280" i="23"/>
  <c r="J252" i="23"/>
  <c r="K252" i="23" s="1"/>
  <c r="L252" i="23" s="1"/>
  <c r="N252" i="23" s="1"/>
  <c r="J251" i="23"/>
  <c r="K251" i="23" s="1"/>
  <c r="L251" i="23" s="1"/>
  <c r="N251" i="23" s="1"/>
  <c r="J232" i="23"/>
  <c r="K232" i="23" s="1"/>
  <c r="L232" i="23" s="1"/>
  <c r="J231" i="23"/>
  <c r="K231" i="23" s="1"/>
  <c r="J210" i="23"/>
  <c r="K210" i="23" s="1"/>
  <c r="L210" i="23" s="1"/>
  <c r="N210" i="23" s="1"/>
  <c r="J221" i="23"/>
  <c r="K221" i="23" s="1"/>
  <c r="J222" i="23"/>
  <c r="K222" i="23" s="1"/>
  <c r="L222" i="23" s="1"/>
  <c r="N222" i="23" s="1"/>
  <c r="J211" i="23"/>
  <c r="K211" i="23" s="1"/>
  <c r="L211" i="23" s="1"/>
  <c r="J193" i="23"/>
  <c r="K193" i="23" s="1"/>
  <c r="L193" i="23" s="1"/>
  <c r="N193" i="23" s="1"/>
  <c r="J196" i="23"/>
  <c r="K196" i="23" s="1"/>
  <c r="L196" i="23" s="1"/>
  <c r="N196" i="23" s="1"/>
  <c r="J180" i="23"/>
  <c r="K180" i="23" s="1"/>
  <c r="J181" i="23"/>
  <c r="K181" i="23" s="1"/>
  <c r="L181" i="23" s="1"/>
  <c r="N181" i="23" s="1"/>
  <c r="J103" i="23"/>
  <c r="K103" i="23" s="1"/>
  <c r="L103" i="23" s="1"/>
  <c r="N103" i="23" s="1"/>
  <c r="J117" i="23"/>
  <c r="K117" i="23" s="1"/>
  <c r="J104" i="23"/>
  <c r="K104" i="23" s="1"/>
  <c r="L104" i="23" s="1"/>
  <c r="N104" i="23" s="1"/>
  <c r="J116" i="23"/>
  <c r="J30" i="23"/>
  <c r="J38" i="23"/>
  <c r="J71" i="23"/>
  <c r="K71" i="23" s="1"/>
  <c r="J72" i="23"/>
  <c r="K72" i="23" s="1"/>
  <c r="L72" i="23" s="1"/>
  <c r="N72" i="23" s="1"/>
  <c r="J37" i="23"/>
  <c r="K37" i="23" s="1"/>
  <c r="J31" i="23"/>
  <c r="K31" i="23" s="1"/>
  <c r="J17" i="23"/>
  <c r="K17" i="23" s="1"/>
  <c r="J327" i="23" l="1"/>
  <c r="J329" i="23" s="1"/>
  <c r="I329" i="23"/>
  <c r="J330" i="23"/>
  <c r="J332" i="23" s="1"/>
  <c r="I332" i="23"/>
  <c r="J324" i="23"/>
  <c r="I326" i="23"/>
  <c r="K280" i="23"/>
  <c r="K38" i="23"/>
  <c r="K30" i="23"/>
  <c r="K330" i="23"/>
  <c r="K332" i="23" s="1"/>
  <c r="J369" i="23"/>
  <c r="J373" i="23" s="1"/>
  <c r="L317" i="23"/>
  <c r="N317" i="23" s="1"/>
  <c r="K368" i="23"/>
  <c r="J368" i="23"/>
  <c r="L365" i="23"/>
  <c r="L368" i="23" s="1"/>
  <c r="N321" i="23"/>
  <c r="L294" i="23"/>
  <c r="L281" i="23"/>
  <c r="N281" i="23" s="1"/>
  <c r="L231" i="23"/>
  <c r="N231" i="23" s="1"/>
  <c r="N232" i="23"/>
  <c r="L180" i="23"/>
  <c r="N180" i="23" s="1"/>
  <c r="L221" i="23"/>
  <c r="N211" i="23"/>
  <c r="L117" i="23"/>
  <c r="N117" i="23" s="1"/>
  <c r="K116" i="23"/>
  <c r="L71" i="23"/>
  <c r="L37" i="23"/>
  <c r="L31" i="23"/>
  <c r="N31" i="23" s="1"/>
  <c r="L17" i="23"/>
  <c r="N17" i="23" s="1"/>
  <c r="K327" i="23" l="1"/>
  <c r="K329" i="23" s="1"/>
  <c r="K324" i="23"/>
  <c r="J326" i="23"/>
  <c r="L280" i="23"/>
  <c r="L116" i="23"/>
  <c r="L38" i="23"/>
  <c r="L30" i="23"/>
  <c r="N18" i="23"/>
  <c r="L327" i="23"/>
  <c r="L330" i="23"/>
  <c r="K369" i="23"/>
  <c r="K373" i="23" s="1"/>
  <c r="N365" i="23"/>
  <c r="N368" i="23" s="1"/>
  <c r="N294" i="23"/>
  <c r="N221" i="23"/>
  <c r="N71" i="23"/>
  <c r="N37" i="23"/>
  <c r="N327" i="23" l="1"/>
  <c r="N329" i="23" s="1"/>
  <c r="L329" i="23"/>
  <c r="N330" i="23"/>
  <c r="N332" i="23" s="1"/>
  <c r="L332" i="23"/>
  <c r="K326" i="23"/>
  <c r="L324" i="23"/>
  <c r="N280" i="23"/>
  <c r="N116" i="23"/>
  <c r="N38" i="23"/>
  <c r="N30" i="23"/>
  <c r="L369" i="23"/>
  <c r="L373" i="23" s="1"/>
  <c r="G66" i="7"/>
  <c r="H66" i="7" s="1"/>
  <c r="L326" i="23" l="1"/>
  <c r="N324" i="23"/>
  <c r="N326" i="23" s="1"/>
  <c r="M66" i="7"/>
  <c r="N369" i="23"/>
  <c r="N373" i="23" s="1"/>
  <c r="W48" i="9"/>
  <c r="W39" i="9"/>
  <c r="AA38" i="9"/>
  <c r="V39" i="9"/>
  <c r="X39" i="9" s="1"/>
  <c r="Z39" i="9"/>
  <c r="G65" i="7" l="1"/>
  <c r="H65" i="7" s="1"/>
  <c r="C66" i="7"/>
  <c r="C65" i="7"/>
  <c r="D66" i="7"/>
  <c r="D65" i="7"/>
  <c r="V65" i="7" l="1"/>
  <c r="M45" i="2"/>
  <c r="G57" i="7" l="1"/>
  <c r="F57" i="7"/>
  <c r="E57" i="7"/>
  <c r="D57" i="7"/>
  <c r="C57" i="7"/>
  <c r="B57" i="7"/>
  <c r="R66" i="7"/>
  <c r="F66" i="7"/>
  <c r="E66" i="7"/>
  <c r="E65" i="7"/>
  <c r="F65" i="7"/>
  <c r="H57" i="7" l="1"/>
  <c r="M57" i="7"/>
  <c r="N57" i="7" s="1"/>
  <c r="R57" i="7"/>
  <c r="S57" i="7" s="1"/>
  <c r="S66" i="7"/>
  <c r="T66" i="7" s="1"/>
  <c r="V66" i="7" s="1"/>
  <c r="I65" i="7"/>
  <c r="I66" i="7"/>
  <c r="J66" i="7" s="1"/>
  <c r="R83" i="9"/>
  <c r="R82" i="9"/>
  <c r="P83" i="9"/>
  <c r="P82" i="9"/>
  <c r="V81" i="9"/>
  <c r="X81" i="9" s="1"/>
  <c r="V84" i="9"/>
  <c r="X84" i="9" s="1"/>
  <c r="G84" i="9"/>
  <c r="G81" i="9"/>
  <c r="W94" i="9"/>
  <c r="U94" i="9"/>
  <c r="A51" i="9"/>
  <c r="A52" i="9" s="1"/>
  <c r="O57" i="7" l="1"/>
  <c r="Q57" i="7" s="1"/>
  <c r="I57" i="7"/>
  <c r="T57" i="7"/>
  <c r="V57" i="7" s="1"/>
  <c r="A54" i="9"/>
  <c r="A55" i="9" s="1"/>
  <c r="A56" i="9" s="1"/>
  <c r="A57" i="9" s="1"/>
  <c r="A58" i="9" s="1"/>
  <c r="A53" i="9"/>
  <c r="J57" i="7"/>
  <c r="L57" i="7" s="1"/>
  <c r="L66" i="7"/>
  <c r="N66" i="7"/>
  <c r="J65" i="7"/>
  <c r="L65" i="7" s="1"/>
  <c r="A59" i="9" l="1"/>
  <c r="O66" i="7"/>
  <c r="A60" i="9" l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Q66" i="7"/>
  <c r="X37" i="9"/>
  <c r="A77" i="9" l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X26" i="9" l="1"/>
  <c r="G26" i="9"/>
  <c r="R73" i="4"/>
  <c r="N69" i="9"/>
  <c r="N72" i="9"/>
  <c r="N73" i="9"/>
  <c r="N74" i="9"/>
  <c r="N75" i="9"/>
  <c r="N76" i="9"/>
  <c r="N77" i="9"/>
  <c r="N68" i="9"/>
  <c r="S68" i="4"/>
  <c r="S69" i="4"/>
  <c r="D33" i="7"/>
  <c r="B33" i="7"/>
  <c r="H37" i="4"/>
  <c r="G33" i="7" s="1"/>
  <c r="H33" i="7" s="1"/>
  <c r="C33" i="7"/>
  <c r="S38" i="4"/>
  <c r="S18" i="4"/>
  <c r="S22" i="4"/>
  <c r="S26" i="4"/>
  <c r="S32" i="4"/>
  <c r="S33" i="4"/>
  <c r="I33" i="7" l="1"/>
  <c r="K11" i="10" l="1"/>
  <c r="I11" i="10"/>
  <c r="H11" i="10"/>
  <c r="G11" i="10"/>
  <c r="F11" i="10"/>
  <c r="E11" i="10"/>
  <c r="J11" i="10" l="1"/>
  <c r="W85" i="9" l="1"/>
  <c r="X85" i="9"/>
  <c r="H38" i="4"/>
  <c r="S53" i="4"/>
  <c r="AC10" i="9" l="1"/>
  <c r="G34" i="7" l="1"/>
  <c r="M34" i="7" s="1"/>
  <c r="F34" i="7"/>
  <c r="E34" i="7"/>
  <c r="D34" i="7"/>
  <c r="C34" i="7"/>
  <c r="B34" i="7"/>
  <c r="S67" i="4"/>
  <c r="S64" i="4"/>
  <c r="S63" i="4"/>
  <c r="S62" i="4"/>
  <c r="S60" i="4"/>
  <c r="S59" i="4"/>
  <c r="S58" i="4"/>
  <c r="S55" i="4"/>
  <c r="S54" i="4"/>
  <c r="J50" i="4"/>
  <c r="S50" i="4" s="1"/>
  <c r="R34" i="7" l="1"/>
  <c r="S34" i="7" s="1"/>
  <c r="H34" i="7"/>
  <c r="I34" i="7" s="1"/>
  <c r="N34" i="7"/>
  <c r="S47" i="4"/>
  <c r="S46" i="4"/>
  <c r="S49" i="4"/>
  <c r="S31" i="4"/>
  <c r="S34" i="4"/>
  <c r="S29" i="4"/>
  <c r="S30" i="4"/>
  <c r="S25" i="4"/>
  <c r="T34" i="7" l="1"/>
  <c r="V34" i="7" s="1"/>
  <c r="S28" i="4"/>
  <c r="J34" i="7"/>
  <c r="L34" i="7" s="1"/>
  <c r="O34" i="7"/>
  <c r="Q34" i="7" s="1"/>
  <c r="S13" i="4"/>
  <c r="J12" i="4"/>
  <c r="J11" i="4"/>
  <c r="S12" i="4" l="1"/>
  <c r="D50" i="3"/>
  <c r="S11" i="4"/>
  <c r="D51" i="3" l="1"/>
  <c r="D52" i="3" s="1"/>
  <c r="D25" i="2" s="1"/>
  <c r="C31" i="21" s="1"/>
  <c r="X7" i="20" s="1"/>
  <c r="C43" i="5"/>
  <c r="F354" i="23"/>
  <c r="I354" i="23" s="1"/>
  <c r="D354" i="23"/>
  <c r="I353" i="23"/>
  <c r="D353" i="23"/>
  <c r="F352" i="23"/>
  <c r="I352" i="23" s="1"/>
  <c r="D352" i="23"/>
  <c r="M351" i="23"/>
  <c r="M356" i="23" s="1"/>
  <c r="F351" i="23"/>
  <c r="F356" i="23" s="1"/>
  <c r="D351" i="23"/>
  <c r="M343" i="23"/>
  <c r="H343" i="23"/>
  <c r="E343" i="23"/>
  <c r="C343" i="23"/>
  <c r="B343" i="23"/>
  <c r="F341" i="23"/>
  <c r="D341" i="23"/>
  <c r="D343" i="23" s="1"/>
  <c r="F320" i="23"/>
  <c r="F323" i="23" s="1"/>
  <c r="D320" i="23"/>
  <c r="D323" i="23" s="1"/>
  <c r="F316" i="23"/>
  <c r="F319" i="23" s="1"/>
  <c r="D316" i="23"/>
  <c r="D319" i="23" s="1"/>
  <c r="F307" i="23"/>
  <c r="F311" i="23" s="1"/>
  <c r="D307" i="23"/>
  <c r="D311" i="23" s="1"/>
  <c r="F304" i="23"/>
  <c r="I304" i="23" s="1"/>
  <c r="D304" i="23"/>
  <c r="F303" i="23"/>
  <c r="D303" i="23"/>
  <c r="F293" i="23"/>
  <c r="D293" i="23"/>
  <c r="D295" i="23" s="1"/>
  <c r="F290" i="23"/>
  <c r="F292" i="23" s="1"/>
  <c r="D290" i="23"/>
  <c r="D292" i="23" s="1"/>
  <c r="F287" i="23"/>
  <c r="F289" i="23" s="1"/>
  <c r="D287" i="23"/>
  <c r="D289" i="23" s="1"/>
  <c r="M286" i="23"/>
  <c r="H286" i="23"/>
  <c r="E286" i="23"/>
  <c r="C286" i="23"/>
  <c r="B286" i="23"/>
  <c r="F285" i="23"/>
  <c r="F286" i="23" s="1"/>
  <c r="D285" i="23"/>
  <c r="D286" i="23" s="1"/>
  <c r="F279" i="23"/>
  <c r="I279" i="23" s="1"/>
  <c r="D279" i="23"/>
  <c r="F278" i="23"/>
  <c r="I278" i="23" s="1"/>
  <c r="D278" i="23"/>
  <c r="F277" i="23"/>
  <c r="I277" i="23" s="1"/>
  <c r="D277" i="23"/>
  <c r="F276" i="23"/>
  <c r="D276" i="23"/>
  <c r="F272" i="23"/>
  <c r="I272" i="23" s="1"/>
  <c r="D272" i="23"/>
  <c r="F271" i="23"/>
  <c r="I271" i="23" s="1"/>
  <c r="D271" i="23"/>
  <c r="F270" i="23"/>
  <c r="D270" i="23"/>
  <c r="F269" i="23"/>
  <c r="I269" i="23" s="1"/>
  <c r="D269" i="23"/>
  <c r="F268" i="23"/>
  <c r="I268" i="23" s="1"/>
  <c r="D268" i="23"/>
  <c r="F267" i="23"/>
  <c r="I267" i="23" s="1"/>
  <c r="D267" i="23"/>
  <c r="F266" i="23"/>
  <c r="I266" i="23" s="1"/>
  <c r="D266" i="23"/>
  <c r="F265" i="23"/>
  <c r="I265" i="23" s="1"/>
  <c r="D265" i="23"/>
  <c r="H264" i="23"/>
  <c r="C264" i="23"/>
  <c r="F261" i="23"/>
  <c r="I261" i="23" s="1"/>
  <c r="D261" i="23"/>
  <c r="F260" i="23"/>
  <c r="I260" i="23" s="1"/>
  <c r="D260" i="23"/>
  <c r="F259" i="23"/>
  <c r="I259" i="23" s="1"/>
  <c r="D259" i="23"/>
  <c r="F258" i="23"/>
  <c r="I258" i="23" s="1"/>
  <c r="D258" i="23"/>
  <c r="F257" i="23"/>
  <c r="E257" i="23"/>
  <c r="E264" i="23" s="1"/>
  <c r="D257" i="23"/>
  <c r="M256" i="23"/>
  <c r="F256" i="23"/>
  <c r="I256" i="23" s="1"/>
  <c r="D256" i="23"/>
  <c r="M255" i="23"/>
  <c r="F255" i="23"/>
  <c r="I255" i="23" s="1"/>
  <c r="D255" i="23"/>
  <c r="M254" i="23"/>
  <c r="F254" i="23"/>
  <c r="I254" i="23" s="1"/>
  <c r="D254" i="23"/>
  <c r="F250" i="23"/>
  <c r="I250" i="23" s="1"/>
  <c r="D250" i="23"/>
  <c r="F249" i="23"/>
  <c r="I249" i="23" s="1"/>
  <c r="D249" i="23"/>
  <c r="F248" i="23"/>
  <c r="I248" i="23" s="1"/>
  <c r="D248" i="23"/>
  <c r="F247" i="23"/>
  <c r="D247" i="23"/>
  <c r="F246" i="23"/>
  <c r="I246" i="23" s="1"/>
  <c r="D246" i="23"/>
  <c r="F245" i="23"/>
  <c r="I245" i="23" s="1"/>
  <c r="D245" i="23"/>
  <c r="M244" i="23"/>
  <c r="F244" i="23"/>
  <c r="I244" i="23" s="1"/>
  <c r="D244" i="23"/>
  <c r="M243" i="23"/>
  <c r="F243" i="23"/>
  <c r="D243" i="23"/>
  <c r="F237" i="23"/>
  <c r="D237" i="23"/>
  <c r="D239" i="23" s="1"/>
  <c r="F230" i="23"/>
  <c r="I230" i="23" s="1"/>
  <c r="D230" i="23"/>
  <c r="F229" i="23"/>
  <c r="I229" i="23" s="1"/>
  <c r="D229" i="23"/>
  <c r="F228" i="23"/>
  <c r="D228" i="23"/>
  <c r="F227" i="23"/>
  <c r="D227" i="23"/>
  <c r="F220" i="23"/>
  <c r="I220" i="23" s="1"/>
  <c r="D220" i="23"/>
  <c r="F219" i="23"/>
  <c r="I219" i="23" s="1"/>
  <c r="D219" i="23"/>
  <c r="F218" i="23"/>
  <c r="D218" i="23"/>
  <c r="F217" i="23"/>
  <c r="I217" i="23" s="1"/>
  <c r="D217" i="23"/>
  <c r="F216" i="23"/>
  <c r="I216" i="23" s="1"/>
  <c r="D216" i="23"/>
  <c r="F215" i="23"/>
  <c r="D215" i="23"/>
  <c r="F209" i="23"/>
  <c r="I209" i="23" s="1"/>
  <c r="D209" i="23"/>
  <c r="F208" i="23"/>
  <c r="I208" i="23" s="1"/>
  <c r="D208" i="23"/>
  <c r="F207" i="23"/>
  <c r="I207" i="23" s="1"/>
  <c r="D207" i="23"/>
  <c r="F206" i="23"/>
  <c r="I206" i="23" s="1"/>
  <c r="D206" i="23"/>
  <c r="F205" i="23"/>
  <c r="I205" i="23" s="1"/>
  <c r="D205" i="23"/>
  <c r="M204" i="23"/>
  <c r="F204" i="23"/>
  <c r="I204" i="23" s="1"/>
  <c r="D204" i="23"/>
  <c r="F203" i="23"/>
  <c r="I203" i="23" s="1"/>
  <c r="D203" i="23"/>
  <c r="F202" i="23"/>
  <c r="I202" i="23" s="1"/>
  <c r="D202" i="23"/>
  <c r="F201" i="23"/>
  <c r="I201" i="23" s="1"/>
  <c r="D201" i="23"/>
  <c r="F200" i="23"/>
  <c r="I200" i="23" s="1"/>
  <c r="D200" i="23"/>
  <c r="M199" i="23"/>
  <c r="F199" i="23"/>
  <c r="D199" i="23"/>
  <c r="F198" i="23"/>
  <c r="I198" i="23" s="1"/>
  <c r="D198" i="23"/>
  <c r="M192" i="23"/>
  <c r="M197" i="23" s="1"/>
  <c r="F192" i="23"/>
  <c r="F197" i="23" s="1"/>
  <c r="D192" i="23"/>
  <c r="F187" i="23"/>
  <c r="D187" i="23"/>
  <c r="F186" i="23"/>
  <c r="I186" i="23" s="1"/>
  <c r="D186" i="23"/>
  <c r="F185" i="23"/>
  <c r="I185" i="23" s="1"/>
  <c r="D185" i="23"/>
  <c r="F184" i="23"/>
  <c r="D184" i="23"/>
  <c r="F179" i="23"/>
  <c r="I179" i="23" s="1"/>
  <c r="D179" i="23"/>
  <c r="F178" i="23"/>
  <c r="I178" i="23" s="1"/>
  <c r="D178" i="23"/>
  <c r="F177" i="23"/>
  <c r="I177" i="23" s="1"/>
  <c r="D177" i="23"/>
  <c r="F176" i="23"/>
  <c r="I176" i="23" s="1"/>
  <c r="D176" i="23"/>
  <c r="F175" i="23"/>
  <c r="I175" i="23" s="1"/>
  <c r="D175" i="23"/>
  <c r="M174" i="23"/>
  <c r="M183" i="23" s="1"/>
  <c r="F174" i="23"/>
  <c r="I174" i="23" s="1"/>
  <c r="D174" i="23"/>
  <c r="F173" i="23"/>
  <c r="D173" i="23"/>
  <c r="F170" i="23"/>
  <c r="I170" i="23" s="1"/>
  <c r="D170" i="23"/>
  <c r="F169" i="23"/>
  <c r="I169" i="23" s="1"/>
  <c r="D169" i="23"/>
  <c r="F168" i="23"/>
  <c r="I168" i="23" s="1"/>
  <c r="D168" i="23"/>
  <c r="F167" i="23"/>
  <c r="I167" i="23" s="1"/>
  <c r="D167" i="23"/>
  <c r="F166" i="23"/>
  <c r="D166" i="23"/>
  <c r="M165" i="23"/>
  <c r="M172" i="23" s="1"/>
  <c r="F165" i="23"/>
  <c r="I165" i="23" s="1"/>
  <c r="D165" i="23"/>
  <c r="M164" i="23"/>
  <c r="H164" i="23"/>
  <c r="E164" i="23"/>
  <c r="C164" i="23"/>
  <c r="B164" i="23"/>
  <c r="F163" i="23"/>
  <c r="I163" i="23" s="1"/>
  <c r="D163" i="23"/>
  <c r="F162" i="23"/>
  <c r="D162" i="23"/>
  <c r="H161" i="23"/>
  <c r="E161" i="23"/>
  <c r="C161" i="23"/>
  <c r="B161" i="23"/>
  <c r="M160" i="23"/>
  <c r="F160" i="23"/>
  <c r="I160" i="23" s="1"/>
  <c r="D160" i="23"/>
  <c r="M159" i="23"/>
  <c r="F159" i="23"/>
  <c r="I159" i="23" s="1"/>
  <c r="D159" i="23"/>
  <c r="F158" i="23"/>
  <c r="I158" i="23" s="1"/>
  <c r="D158" i="23"/>
  <c r="F157" i="23"/>
  <c r="I157" i="23" s="1"/>
  <c r="D157" i="23"/>
  <c r="H156" i="23"/>
  <c r="E156" i="23"/>
  <c r="C156" i="23"/>
  <c r="B156" i="23"/>
  <c r="F155" i="23"/>
  <c r="I155" i="23" s="1"/>
  <c r="D155" i="23"/>
  <c r="F154" i="23"/>
  <c r="I154" i="23" s="1"/>
  <c r="D154" i="23"/>
  <c r="M153" i="23"/>
  <c r="F153" i="23"/>
  <c r="I153" i="23" s="1"/>
  <c r="D153" i="23"/>
  <c r="M152" i="23"/>
  <c r="F152" i="23"/>
  <c r="D152" i="23"/>
  <c r="M151" i="23"/>
  <c r="H151" i="23"/>
  <c r="E151" i="23"/>
  <c r="C151" i="23"/>
  <c r="B151" i="23"/>
  <c r="F150" i="23"/>
  <c r="I150" i="23" s="1"/>
  <c r="I151" i="23" s="1"/>
  <c r="D150" i="23"/>
  <c r="H147" i="23"/>
  <c r="E147" i="23"/>
  <c r="C147" i="23"/>
  <c r="B147" i="23"/>
  <c r="F146" i="23"/>
  <c r="I146" i="23" s="1"/>
  <c r="D146" i="23"/>
  <c r="F145" i="23"/>
  <c r="I145" i="23" s="1"/>
  <c r="D145" i="23"/>
  <c r="M144" i="23"/>
  <c r="M147" i="23" s="1"/>
  <c r="F144" i="23"/>
  <c r="D144" i="23"/>
  <c r="M143" i="23"/>
  <c r="H143" i="23"/>
  <c r="E143" i="23"/>
  <c r="C143" i="23"/>
  <c r="B143" i="23"/>
  <c r="F142" i="23"/>
  <c r="I142" i="23" s="1"/>
  <c r="D142" i="23"/>
  <c r="F141" i="23"/>
  <c r="I141" i="23" s="1"/>
  <c r="D141" i="23"/>
  <c r="F140" i="23"/>
  <c r="I140" i="23" s="1"/>
  <c r="D140" i="23"/>
  <c r="F139" i="23"/>
  <c r="I139" i="23" s="1"/>
  <c r="D139" i="23"/>
  <c r="H138" i="23"/>
  <c r="E138" i="23"/>
  <c r="C138" i="23"/>
  <c r="B138" i="23"/>
  <c r="F137" i="23"/>
  <c r="I137" i="23" s="1"/>
  <c r="D137" i="23"/>
  <c r="F136" i="23"/>
  <c r="I136" i="23" s="1"/>
  <c r="D136" i="23"/>
  <c r="M135" i="23"/>
  <c r="F135" i="23"/>
  <c r="I135" i="23" s="1"/>
  <c r="D135" i="23"/>
  <c r="M134" i="23"/>
  <c r="F134" i="23"/>
  <c r="I134" i="23" s="1"/>
  <c r="D134" i="23"/>
  <c r="F133" i="23"/>
  <c r="I133" i="23" s="1"/>
  <c r="D133" i="23"/>
  <c r="F132" i="23"/>
  <c r="I132" i="23" s="1"/>
  <c r="D132" i="23"/>
  <c r="F131" i="23"/>
  <c r="D131" i="23"/>
  <c r="H130" i="23"/>
  <c r="E130" i="23"/>
  <c r="C130" i="23"/>
  <c r="B130" i="23"/>
  <c r="F129" i="23"/>
  <c r="I129" i="23" s="1"/>
  <c r="D129" i="23"/>
  <c r="F128" i="23"/>
  <c r="I128" i="23" s="1"/>
  <c r="D128" i="23"/>
  <c r="F127" i="23"/>
  <c r="I127" i="23" s="1"/>
  <c r="D127" i="23"/>
  <c r="M126" i="23"/>
  <c r="M130" i="23" s="1"/>
  <c r="F126" i="23"/>
  <c r="I126" i="23" s="1"/>
  <c r="D126" i="23"/>
  <c r="F125" i="23"/>
  <c r="I125" i="23" s="1"/>
  <c r="D125" i="23"/>
  <c r="F124" i="23"/>
  <c r="I124" i="23" s="1"/>
  <c r="D124" i="23"/>
  <c r="F123" i="23"/>
  <c r="I123" i="23" s="1"/>
  <c r="D123" i="23"/>
  <c r="F122" i="23"/>
  <c r="I122" i="23" s="1"/>
  <c r="D122" i="23"/>
  <c r="F121" i="23"/>
  <c r="D121" i="23"/>
  <c r="F115" i="23"/>
  <c r="I115" i="23" s="1"/>
  <c r="J115" i="23" s="1"/>
  <c r="F114" i="23"/>
  <c r="I114" i="23" s="1"/>
  <c r="D114" i="23"/>
  <c r="F113" i="23"/>
  <c r="I113" i="23" s="1"/>
  <c r="D113" i="23"/>
  <c r="F112" i="23"/>
  <c r="D112" i="23"/>
  <c r="F111" i="23"/>
  <c r="I111" i="23" s="1"/>
  <c r="D111" i="23"/>
  <c r="F110" i="23"/>
  <c r="I110" i="23" s="1"/>
  <c r="D110" i="23"/>
  <c r="M109" i="23"/>
  <c r="F109" i="23"/>
  <c r="D109" i="23"/>
  <c r="M108" i="23"/>
  <c r="F108" i="23"/>
  <c r="D108" i="23"/>
  <c r="H102" i="23"/>
  <c r="H107" i="23" s="1"/>
  <c r="F102" i="23"/>
  <c r="D102" i="23"/>
  <c r="F101" i="23"/>
  <c r="I101" i="23" s="1"/>
  <c r="D101" i="23"/>
  <c r="F100" i="23"/>
  <c r="I100" i="23" s="1"/>
  <c r="D100" i="23"/>
  <c r="F99" i="23"/>
  <c r="E99" i="23"/>
  <c r="E107" i="23" s="1"/>
  <c r="D99" i="23"/>
  <c r="M98" i="23"/>
  <c r="H98" i="23"/>
  <c r="G98" i="23"/>
  <c r="G379" i="23" s="1"/>
  <c r="E98" i="23"/>
  <c r="C98" i="23"/>
  <c r="B98" i="23"/>
  <c r="F97" i="23"/>
  <c r="I97" i="23" s="1"/>
  <c r="D97" i="23"/>
  <c r="F96" i="23"/>
  <c r="I96" i="23" s="1"/>
  <c r="D96" i="23"/>
  <c r="F95" i="23"/>
  <c r="I95" i="23" s="1"/>
  <c r="D95" i="23"/>
  <c r="F94" i="23"/>
  <c r="D94" i="23"/>
  <c r="M93" i="23"/>
  <c r="H93" i="23"/>
  <c r="G93" i="23"/>
  <c r="E93" i="23"/>
  <c r="C93" i="23"/>
  <c r="B93" i="23"/>
  <c r="F92" i="23"/>
  <c r="I92" i="23" s="1"/>
  <c r="D92" i="23"/>
  <c r="F91" i="23"/>
  <c r="I91" i="23" s="1"/>
  <c r="D91" i="23"/>
  <c r="F90" i="23"/>
  <c r="I90" i="23" s="1"/>
  <c r="D90" i="23"/>
  <c r="F89" i="23"/>
  <c r="I89" i="23" s="1"/>
  <c r="D89" i="23"/>
  <c r="F88" i="23"/>
  <c r="I88" i="23" s="1"/>
  <c r="D88" i="23"/>
  <c r="F87" i="23"/>
  <c r="I87" i="23" s="1"/>
  <c r="D87" i="23"/>
  <c r="F86" i="23"/>
  <c r="D86" i="23"/>
  <c r="M85" i="23"/>
  <c r="H85" i="23"/>
  <c r="E85" i="23"/>
  <c r="C85" i="23"/>
  <c r="B85" i="23"/>
  <c r="F84" i="23"/>
  <c r="I84" i="23" s="1"/>
  <c r="D84" i="23"/>
  <c r="F83" i="23"/>
  <c r="I83" i="23" s="1"/>
  <c r="D83" i="23"/>
  <c r="F82" i="23"/>
  <c r="I82" i="23" s="1"/>
  <c r="D82" i="23"/>
  <c r="F81" i="23"/>
  <c r="I81" i="23" s="1"/>
  <c r="D81" i="23"/>
  <c r="F80" i="23"/>
  <c r="D80" i="23"/>
  <c r="H79" i="23"/>
  <c r="E79" i="23"/>
  <c r="C79" i="23"/>
  <c r="B79" i="23"/>
  <c r="F78" i="23"/>
  <c r="I78" i="23" s="1"/>
  <c r="D78" i="23"/>
  <c r="M77" i="23"/>
  <c r="F77" i="23"/>
  <c r="D77" i="23"/>
  <c r="F76" i="23"/>
  <c r="I76" i="23" s="1"/>
  <c r="D76" i="23"/>
  <c r="M75" i="23"/>
  <c r="F75" i="23"/>
  <c r="I75" i="23" s="1"/>
  <c r="D75" i="23"/>
  <c r="F70" i="23"/>
  <c r="I70" i="23" s="1"/>
  <c r="D70" i="23"/>
  <c r="F69" i="23"/>
  <c r="I69" i="23" s="1"/>
  <c r="D69" i="23"/>
  <c r="F68" i="23"/>
  <c r="I68" i="23" s="1"/>
  <c r="D68" i="23"/>
  <c r="H67" i="23"/>
  <c r="F67" i="23"/>
  <c r="D67" i="23"/>
  <c r="F66" i="23"/>
  <c r="I66" i="23" s="1"/>
  <c r="D66" i="23"/>
  <c r="F65" i="23"/>
  <c r="I65" i="23" s="1"/>
  <c r="D65" i="23"/>
  <c r="F64" i="23"/>
  <c r="I64" i="23" s="1"/>
  <c r="D64" i="23"/>
  <c r="F63" i="23"/>
  <c r="I63" i="23" s="1"/>
  <c r="D63" i="23"/>
  <c r="M62" i="23"/>
  <c r="F62" i="23"/>
  <c r="I62" i="23" s="1"/>
  <c r="D62" i="23"/>
  <c r="M61" i="23"/>
  <c r="F61" i="23"/>
  <c r="I61" i="23" s="1"/>
  <c r="D61" i="23"/>
  <c r="H60" i="23"/>
  <c r="F60" i="23"/>
  <c r="D60" i="23"/>
  <c r="M59" i="23"/>
  <c r="F59" i="23"/>
  <c r="I59" i="23" s="1"/>
  <c r="D59" i="23"/>
  <c r="M58" i="23"/>
  <c r="H58" i="23"/>
  <c r="F58" i="23"/>
  <c r="D58" i="23"/>
  <c r="F57" i="23"/>
  <c r="I57" i="23" s="1"/>
  <c r="D57" i="23"/>
  <c r="M56" i="23"/>
  <c r="F56" i="23"/>
  <c r="D56" i="23"/>
  <c r="F53" i="23"/>
  <c r="I53" i="23" s="1"/>
  <c r="J53" i="23" s="1"/>
  <c r="F52" i="23"/>
  <c r="D52" i="23"/>
  <c r="D55" i="23" s="1"/>
  <c r="H51" i="23"/>
  <c r="E51" i="23"/>
  <c r="C51" i="23"/>
  <c r="B51" i="23"/>
  <c r="F50" i="23"/>
  <c r="I50" i="23" s="1"/>
  <c r="D50" i="23"/>
  <c r="M49" i="23"/>
  <c r="M51" i="23" s="1"/>
  <c r="F49" i="23"/>
  <c r="D49" i="23"/>
  <c r="F46" i="23"/>
  <c r="I46" i="23" s="1"/>
  <c r="D46" i="23"/>
  <c r="M45" i="23"/>
  <c r="M48" i="23" s="1"/>
  <c r="F45" i="23"/>
  <c r="D45" i="23"/>
  <c r="H44" i="23"/>
  <c r="E44" i="23"/>
  <c r="C44" i="23"/>
  <c r="B44" i="23"/>
  <c r="F43" i="23"/>
  <c r="I43" i="23" s="1"/>
  <c r="D43" i="23"/>
  <c r="M42" i="23"/>
  <c r="M44" i="23" s="1"/>
  <c r="F42" i="23"/>
  <c r="D42" i="23"/>
  <c r="H36" i="23"/>
  <c r="F36" i="23"/>
  <c r="D36" i="23"/>
  <c r="H35" i="23"/>
  <c r="F35" i="23"/>
  <c r="D35" i="23"/>
  <c r="F34" i="23"/>
  <c r="I34" i="23" s="1"/>
  <c r="D34" i="23"/>
  <c r="F33" i="23"/>
  <c r="E33" i="23"/>
  <c r="E41" i="23" s="1"/>
  <c r="D33" i="23"/>
  <c r="F29" i="23"/>
  <c r="I29" i="23" s="1"/>
  <c r="D29" i="23"/>
  <c r="F28" i="23"/>
  <c r="I28" i="23" s="1"/>
  <c r="D28" i="23"/>
  <c r="F27" i="23"/>
  <c r="I27" i="23" s="1"/>
  <c r="D27" i="23"/>
  <c r="H26" i="23"/>
  <c r="F26" i="23"/>
  <c r="E26" i="23"/>
  <c r="E32" i="23" s="1"/>
  <c r="D26" i="23"/>
  <c r="H25" i="23"/>
  <c r="F25" i="23"/>
  <c r="D25" i="23"/>
  <c r="M24" i="23"/>
  <c r="F24" i="23"/>
  <c r="I24" i="23" s="1"/>
  <c r="D24" i="23"/>
  <c r="F23" i="23"/>
  <c r="I23" i="23" s="1"/>
  <c r="D23" i="23"/>
  <c r="M22" i="23"/>
  <c r="F22" i="23"/>
  <c r="D22" i="23"/>
  <c r="F16" i="23"/>
  <c r="I16" i="23" s="1"/>
  <c r="D16" i="23"/>
  <c r="F15" i="23"/>
  <c r="I15" i="23" s="1"/>
  <c r="D15" i="23"/>
  <c r="F14" i="23"/>
  <c r="I14" i="23" s="1"/>
  <c r="D14" i="23"/>
  <c r="F13" i="23"/>
  <c r="I13" i="23" s="1"/>
  <c r="D13" i="23"/>
  <c r="F12" i="23"/>
  <c r="I12" i="23" s="1"/>
  <c r="D12" i="23"/>
  <c r="M11" i="23"/>
  <c r="F11" i="23"/>
  <c r="I11" i="23" s="1"/>
  <c r="D11" i="23"/>
  <c r="F10" i="23"/>
  <c r="I10" i="23" s="1"/>
  <c r="D10" i="23"/>
  <c r="M9" i="23"/>
  <c r="F9" i="23"/>
  <c r="I9" i="23" s="1"/>
  <c r="D9" i="23"/>
  <c r="M8" i="23"/>
  <c r="F8" i="23"/>
  <c r="I8" i="23" s="1"/>
  <c r="D8" i="23"/>
  <c r="M7" i="23"/>
  <c r="F7" i="23"/>
  <c r="I7" i="23" s="1"/>
  <c r="D7" i="23"/>
  <c r="M6" i="23"/>
  <c r="F6" i="23"/>
  <c r="I6" i="23" s="1"/>
  <c r="D6" i="23"/>
  <c r="M5" i="23"/>
  <c r="F5" i="23"/>
  <c r="D5" i="23"/>
  <c r="M46" i="2"/>
  <c r="C379" i="23" l="1"/>
  <c r="D356" i="23"/>
  <c r="E379" i="23"/>
  <c r="B379" i="23"/>
  <c r="D27" i="2"/>
  <c r="D47" i="2"/>
  <c r="D49" i="2" s="1"/>
  <c r="D50" i="2" s="1"/>
  <c r="D51" i="2" s="1"/>
  <c r="M74" i="23"/>
  <c r="H74" i="23"/>
  <c r="H379" i="23" s="1"/>
  <c r="H32" i="23"/>
  <c r="F306" i="23"/>
  <c r="D306" i="23"/>
  <c r="M120" i="23"/>
  <c r="F191" i="23"/>
  <c r="M214" i="23"/>
  <c r="D107" i="23"/>
  <c r="H41" i="23"/>
  <c r="D191" i="23"/>
  <c r="D284" i="23"/>
  <c r="F284" i="23"/>
  <c r="D275" i="23"/>
  <c r="I270" i="23"/>
  <c r="I275" i="23" s="1"/>
  <c r="F275" i="23"/>
  <c r="I237" i="23"/>
  <c r="I239" i="23" s="1"/>
  <c r="F239" i="23"/>
  <c r="F41" i="23"/>
  <c r="F107" i="23"/>
  <c r="I227" i="23"/>
  <c r="J227" i="23" s="1"/>
  <c r="F236" i="23"/>
  <c r="D236" i="23"/>
  <c r="F226" i="23"/>
  <c r="D226" i="23"/>
  <c r="F214" i="23"/>
  <c r="D214" i="23"/>
  <c r="F183" i="23"/>
  <c r="F120" i="23"/>
  <c r="D183" i="23"/>
  <c r="I166" i="23"/>
  <c r="I172" i="23" s="1"/>
  <c r="F172" i="23"/>
  <c r="D172" i="23"/>
  <c r="D120" i="23"/>
  <c r="D41" i="23"/>
  <c r="D74" i="23"/>
  <c r="F74" i="23"/>
  <c r="F21" i="23"/>
  <c r="M21" i="23"/>
  <c r="D32" i="23"/>
  <c r="F32" i="23"/>
  <c r="M32" i="23"/>
  <c r="D21" i="23"/>
  <c r="G13" i="15"/>
  <c r="I52" i="23"/>
  <c r="I55" i="23" s="1"/>
  <c r="F55" i="23"/>
  <c r="D48" i="23"/>
  <c r="F48" i="23"/>
  <c r="I108" i="23"/>
  <c r="J108" i="23" s="1"/>
  <c r="I351" i="23"/>
  <c r="I356" i="23" s="1"/>
  <c r="I293" i="23"/>
  <c r="I295" i="23" s="1"/>
  <c r="F295" i="23"/>
  <c r="I276" i="23"/>
  <c r="I284" i="23" s="1"/>
  <c r="M253" i="23"/>
  <c r="D253" i="23"/>
  <c r="I243" i="23"/>
  <c r="F253" i="23"/>
  <c r="I228" i="23"/>
  <c r="I218" i="23"/>
  <c r="J218" i="23" s="1"/>
  <c r="I199" i="23"/>
  <c r="I214" i="23" s="1"/>
  <c r="D197" i="23"/>
  <c r="I173" i="23"/>
  <c r="I183" i="23" s="1"/>
  <c r="I109" i="23"/>
  <c r="F343" i="23"/>
  <c r="J272" i="23"/>
  <c r="K272" i="23" s="1"/>
  <c r="L272" i="23" s="1"/>
  <c r="N272" i="23" s="1"/>
  <c r="I5" i="23"/>
  <c r="I21" i="23" s="1"/>
  <c r="J186" i="23"/>
  <c r="K186" i="23" s="1"/>
  <c r="L186" i="23" s="1"/>
  <c r="N186" i="23" s="1"/>
  <c r="J245" i="23"/>
  <c r="K245" i="23" s="1"/>
  <c r="L245" i="23" s="1"/>
  <c r="N245" i="23" s="1"/>
  <c r="J256" i="23"/>
  <c r="K256" i="23" s="1"/>
  <c r="L256" i="23" s="1"/>
  <c r="N256" i="23" s="1"/>
  <c r="J204" i="23"/>
  <c r="K204" i="23" s="1"/>
  <c r="L204" i="23" s="1"/>
  <c r="N204" i="23" s="1"/>
  <c r="I257" i="23"/>
  <c r="J257" i="23" s="1"/>
  <c r="J200" i="23"/>
  <c r="K200" i="23" s="1"/>
  <c r="J209" i="23"/>
  <c r="K209" i="23" s="1"/>
  <c r="L209" i="23" s="1"/>
  <c r="N209" i="23" s="1"/>
  <c r="J261" i="23"/>
  <c r="K261" i="23" s="1"/>
  <c r="L261" i="23" s="1"/>
  <c r="N261" i="23" s="1"/>
  <c r="J354" i="23"/>
  <c r="K354" i="23" s="1"/>
  <c r="J352" i="23"/>
  <c r="K352" i="23" s="1"/>
  <c r="L352" i="23" s="1"/>
  <c r="N352" i="23" s="1"/>
  <c r="J353" i="23"/>
  <c r="K353" i="23" s="1"/>
  <c r="M161" i="23"/>
  <c r="J203" i="23"/>
  <c r="K203" i="23" s="1"/>
  <c r="L203" i="23" s="1"/>
  <c r="N203" i="23" s="1"/>
  <c r="J216" i="23"/>
  <c r="K216" i="23" s="1"/>
  <c r="L216" i="23" s="1"/>
  <c r="N216" i="23" s="1"/>
  <c r="J220" i="23"/>
  <c r="K220" i="23" s="1"/>
  <c r="L220" i="23" s="1"/>
  <c r="N220" i="23" s="1"/>
  <c r="I290" i="23"/>
  <c r="I292" i="23" s="1"/>
  <c r="J304" i="23"/>
  <c r="I341" i="23"/>
  <c r="I343" i="23" s="1"/>
  <c r="J198" i="23"/>
  <c r="J217" i="23"/>
  <c r="K217" i="23" s="1"/>
  <c r="J244" i="23"/>
  <c r="K244" i="23" s="1"/>
  <c r="L244" i="23" s="1"/>
  <c r="N244" i="23" s="1"/>
  <c r="I316" i="23"/>
  <c r="I319" i="23" s="1"/>
  <c r="J170" i="23"/>
  <c r="K170" i="23" s="1"/>
  <c r="L170" i="23" s="1"/>
  <c r="N170" i="23" s="1"/>
  <c r="J279" i="23"/>
  <c r="K279" i="23" s="1"/>
  <c r="L279" i="23" s="1"/>
  <c r="N279" i="23" s="1"/>
  <c r="I307" i="23"/>
  <c r="I311" i="23" s="1"/>
  <c r="J255" i="23"/>
  <c r="K255" i="23" s="1"/>
  <c r="L255" i="23" s="1"/>
  <c r="N255" i="23" s="1"/>
  <c r="I320" i="23"/>
  <c r="I323" i="23" s="1"/>
  <c r="I303" i="23"/>
  <c r="I306" i="23" s="1"/>
  <c r="J202" i="23"/>
  <c r="K202" i="23" s="1"/>
  <c r="L202" i="23" s="1"/>
  <c r="N202" i="23" s="1"/>
  <c r="J205" i="23"/>
  <c r="K205" i="23" s="1"/>
  <c r="L205" i="23" s="1"/>
  <c r="N205" i="23" s="1"/>
  <c r="J219" i="23"/>
  <c r="K219" i="23" s="1"/>
  <c r="L219" i="23" s="1"/>
  <c r="N219" i="23" s="1"/>
  <c r="J229" i="23"/>
  <c r="K229" i="23" s="1"/>
  <c r="L229" i="23" s="1"/>
  <c r="N229" i="23" s="1"/>
  <c r="J249" i="23"/>
  <c r="K249" i="23" s="1"/>
  <c r="L249" i="23" s="1"/>
  <c r="N249" i="23" s="1"/>
  <c r="D264" i="23"/>
  <c r="J258" i="23"/>
  <c r="K258" i="23" s="1"/>
  <c r="J230" i="23"/>
  <c r="K230" i="23" s="1"/>
  <c r="L230" i="23" s="1"/>
  <c r="N230" i="23" s="1"/>
  <c r="J246" i="23"/>
  <c r="K246" i="23" s="1"/>
  <c r="L246" i="23" s="1"/>
  <c r="N246" i="23" s="1"/>
  <c r="J62" i="23"/>
  <c r="K62" i="23" s="1"/>
  <c r="L62" i="23" s="1"/>
  <c r="N62" i="23" s="1"/>
  <c r="I67" i="23"/>
  <c r="J67" i="23" s="1"/>
  <c r="J88" i="23"/>
  <c r="K88" i="23" s="1"/>
  <c r="L88" i="23" s="1"/>
  <c r="N88" i="23" s="1"/>
  <c r="J92" i="23"/>
  <c r="K92" i="23" s="1"/>
  <c r="L92" i="23" s="1"/>
  <c r="N92" i="23" s="1"/>
  <c r="J136" i="23"/>
  <c r="K136" i="23" s="1"/>
  <c r="L136" i="23" s="1"/>
  <c r="N136" i="23" s="1"/>
  <c r="J165" i="23"/>
  <c r="J208" i="23"/>
  <c r="K208" i="23" s="1"/>
  <c r="L208" i="23" s="1"/>
  <c r="N208" i="23" s="1"/>
  <c r="M264" i="23"/>
  <c r="J271" i="23"/>
  <c r="K271" i="23" s="1"/>
  <c r="L271" i="23" s="1"/>
  <c r="N271" i="23" s="1"/>
  <c r="J250" i="23"/>
  <c r="K250" i="23" s="1"/>
  <c r="L250" i="23" s="1"/>
  <c r="N250" i="23" s="1"/>
  <c r="J177" i="23"/>
  <c r="K177" i="23" s="1"/>
  <c r="L177" i="23" s="1"/>
  <c r="N177" i="23" s="1"/>
  <c r="J206" i="23"/>
  <c r="K206" i="23" s="1"/>
  <c r="L206" i="23" s="1"/>
  <c r="N206" i="23" s="1"/>
  <c r="J260" i="23"/>
  <c r="K260" i="23" s="1"/>
  <c r="J277" i="23"/>
  <c r="K277" i="23" s="1"/>
  <c r="L277" i="23" s="1"/>
  <c r="N277" i="23" s="1"/>
  <c r="F264" i="23"/>
  <c r="J269" i="23"/>
  <c r="K269" i="23" s="1"/>
  <c r="L269" i="23" s="1"/>
  <c r="N269" i="23" s="1"/>
  <c r="J168" i="23"/>
  <c r="K168" i="23" s="1"/>
  <c r="L168" i="23" s="1"/>
  <c r="N168" i="23" s="1"/>
  <c r="J201" i="23"/>
  <c r="K201" i="23" s="1"/>
  <c r="L201" i="23" s="1"/>
  <c r="N201" i="23" s="1"/>
  <c r="J254" i="23"/>
  <c r="K254" i="23" s="1"/>
  <c r="L254" i="23" s="1"/>
  <c r="J266" i="23"/>
  <c r="K266" i="23" s="1"/>
  <c r="L266" i="23" s="1"/>
  <c r="N266" i="23" s="1"/>
  <c r="J267" i="23"/>
  <c r="K267" i="23" s="1"/>
  <c r="L267" i="23" s="1"/>
  <c r="N267" i="23" s="1"/>
  <c r="J268" i="23"/>
  <c r="J265" i="23"/>
  <c r="J259" i="23"/>
  <c r="J248" i="23"/>
  <c r="J278" i="23"/>
  <c r="I287" i="23"/>
  <c r="I289" i="23" s="1"/>
  <c r="I247" i="23"/>
  <c r="J247" i="23" s="1"/>
  <c r="I285" i="23"/>
  <c r="I286" i="23" s="1"/>
  <c r="J174" i="23"/>
  <c r="K174" i="23" s="1"/>
  <c r="L174" i="23" s="1"/>
  <c r="N174" i="23" s="1"/>
  <c r="J175" i="23"/>
  <c r="K175" i="23" s="1"/>
  <c r="L175" i="23" s="1"/>
  <c r="N175" i="23" s="1"/>
  <c r="J159" i="23"/>
  <c r="K159" i="23" s="1"/>
  <c r="L159" i="23" s="1"/>
  <c r="N159" i="23" s="1"/>
  <c r="J63" i="23"/>
  <c r="K63" i="23" s="1"/>
  <c r="L63" i="23" s="1"/>
  <c r="N63" i="23" s="1"/>
  <c r="J65" i="23"/>
  <c r="K65" i="23" s="1"/>
  <c r="J154" i="23"/>
  <c r="K154" i="23" s="1"/>
  <c r="L154" i="23" s="1"/>
  <c r="N154" i="23" s="1"/>
  <c r="J158" i="23"/>
  <c r="K158" i="23" s="1"/>
  <c r="L158" i="23" s="1"/>
  <c r="N158" i="23" s="1"/>
  <c r="J195" i="23"/>
  <c r="K195" i="23" s="1"/>
  <c r="L195" i="23" s="1"/>
  <c r="N195" i="23" s="1"/>
  <c r="J207" i="23"/>
  <c r="I215" i="23"/>
  <c r="J176" i="23"/>
  <c r="J194" i="23"/>
  <c r="K194" i="23" s="1"/>
  <c r="L194" i="23" s="1"/>
  <c r="N194" i="23" s="1"/>
  <c r="J34" i="23"/>
  <c r="K34" i="23" s="1"/>
  <c r="L34" i="23" s="1"/>
  <c r="N34" i="23" s="1"/>
  <c r="J132" i="23"/>
  <c r="K132" i="23" s="1"/>
  <c r="L132" i="23" s="1"/>
  <c r="N132" i="23" s="1"/>
  <c r="M156" i="23"/>
  <c r="I187" i="23"/>
  <c r="F98" i="23"/>
  <c r="D161" i="23"/>
  <c r="J160" i="23"/>
  <c r="K160" i="23" s="1"/>
  <c r="I192" i="23"/>
  <c r="I197" i="23" s="1"/>
  <c r="J179" i="23"/>
  <c r="K179" i="23" s="1"/>
  <c r="L179" i="23" s="1"/>
  <c r="N179" i="23" s="1"/>
  <c r="F44" i="23"/>
  <c r="I58" i="23"/>
  <c r="J58" i="23" s="1"/>
  <c r="K58" i="23" s="1"/>
  <c r="L58" i="23" s="1"/>
  <c r="N58" i="23" s="1"/>
  <c r="F164" i="23"/>
  <c r="I35" i="23"/>
  <c r="J35" i="23" s="1"/>
  <c r="K35" i="23" s="1"/>
  <c r="L35" i="23" s="1"/>
  <c r="N35" i="23" s="1"/>
  <c r="J43" i="23"/>
  <c r="K43" i="23" s="1"/>
  <c r="L43" i="23" s="1"/>
  <c r="N43" i="23" s="1"/>
  <c r="I60" i="23"/>
  <c r="J60" i="23" s="1"/>
  <c r="K60" i="23" s="1"/>
  <c r="L60" i="23" s="1"/>
  <c r="N60" i="23" s="1"/>
  <c r="J127" i="23"/>
  <c r="K127" i="23" s="1"/>
  <c r="L127" i="23" s="1"/>
  <c r="N127" i="23" s="1"/>
  <c r="J155" i="23"/>
  <c r="K155" i="23" s="1"/>
  <c r="L155" i="23" s="1"/>
  <c r="N155" i="23" s="1"/>
  <c r="J169" i="23"/>
  <c r="K169" i="23" s="1"/>
  <c r="L169" i="23" s="1"/>
  <c r="N169" i="23" s="1"/>
  <c r="J185" i="23"/>
  <c r="K185" i="23" s="1"/>
  <c r="L185" i="23" s="1"/>
  <c r="N185" i="23" s="1"/>
  <c r="J178" i="23"/>
  <c r="J167" i="23"/>
  <c r="I184" i="23"/>
  <c r="J184" i="23" s="1"/>
  <c r="J13" i="23"/>
  <c r="K13" i="23" s="1"/>
  <c r="L13" i="23" s="1"/>
  <c r="N13" i="23" s="1"/>
  <c r="J15" i="23"/>
  <c r="K15" i="23" s="1"/>
  <c r="L15" i="23" s="1"/>
  <c r="N15" i="23" s="1"/>
  <c r="J61" i="23"/>
  <c r="K61" i="23" s="1"/>
  <c r="L61" i="23" s="1"/>
  <c r="N61" i="23" s="1"/>
  <c r="D93" i="23"/>
  <c r="I99" i="23"/>
  <c r="J125" i="23"/>
  <c r="K125" i="23" s="1"/>
  <c r="L125" i="23" s="1"/>
  <c r="N125" i="23" s="1"/>
  <c r="F151" i="23"/>
  <c r="F156" i="23"/>
  <c r="I161" i="23"/>
  <c r="J163" i="23"/>
  <c r="K163" i="23" s="1"/>
  <c r="L163" i="23" s="1"/>
  <c r="N163" i="23" s="1"/>
  <c r="J129" i="23"/>
  <c r="K129" i="23" s="1"/>
  <c r="I143" i="23"/>
  <c r="J68" i="23"/>
  <c r="J124" i="23"/>
  <c r="K124" i="23" s="1"/>
  <c r="F138" i="23"/>
  <c r="J133" i="23"/>
  <c r="K133" i="23" s="1"/>
  <c r="L133" i="23" s="1"/>
  <c r="N133" i="23" s="1"/>
  <c r="J140" i="23"/>
  <c r="K140" i="23" s="1"/>
  <c r="L140" i="23" s="1"/>
  <c r="N140" i="23" s="1"/>
  <c r="J142" i="23"/>
  <c r="K142" i="23" s="1"/>
  <c r="L142" i="23" s="1"/>
  <c r="N142" i="23" s="1"/>
  <c r="I162" i="23"/>
  <c r="J162" i="23" s="1"/>
  <c r="J150" i="23"/>
  <c r="J153" i="23"/>
  <c r="D156" i="23"/>
  <c r="I152" i="23"/>
  <c r="I156" i="23" s="1"/>
  <c r="J157" i="23"/>
  <c r="F161" i="23"/>
  <c r="D164" i="23"/>
  <c r="D151" i="23"/>
  <c r="J70" i="23"/>
  <c r="K70" i="23" s="1"/>
  <c r="J78" i="23"/>
  <c r="J82" i="23"/>
  <c r="K82" i="23" s="1"/>
  <c r="L82" i="23" s="1"/>
  <c r="N82" i="23" s="1"/>
  <c r="J84" i="23"/>
  <c r="K84" i="23" s="1"/>
  <c r="J95" i="23"/>
  <c r="K95" i="23" s="1"/>
  <c r="L95" i="23" s="1"/>
  <c r="N95" i="23" s="1"/>
  <c r="J123" i="23"/>
  <c r="K123" i="23" s="1"/>
  <c r="L123" i="23" s="1"/>
  <c r="N123" i="23" s="1"/>
  <c r="M138" i="23"/>
  <c r="F147" i="23"/>
  <c r="J146" i="23"/>
  <c r="K146" i="23" s="1"/>
  <c r="L146" i="23" s="1"/>
  <c r="N146" i="23" s="1"/>
  <c r="I25" i="23"/>
  <c r="J25" i="23" s="1"/>
  <c r="K25" i="23" s="1"/>
  <c r="L25" i="23" s="1"/>
  <c r="N25" i="23" s="1"/>
  <c r="J59" i="23"/>
  <c r="K59" i="23" s="1"/>
  <c r="L59" i="23" s="1"/>
  <c r="N59" i="23" s="1"/>
  <c r="J96" i="23"/>
  <c r="K96" i="23" s="1"/>
  <c r="F130" i="23"/>
  <c r="J134" i="23"/>
  <c r="K134" i="23" s="1"/>
  <c r="L134" i="23" s="1"/>
  <c r="N134" i="23" s="1"/>
  <c r="J89" i="23"/>
  <c r="K89" i="23" s="1"/>
  <c r="J57" i="23"/>
  <c r="K57" i="23" s="1"/>
  <c r="L57" i="23" s="1"/>
  <c r="N57" i="23" s="1"/>
  <c r="I102" i="23"/>
  <c r="J102" i="23" s="1"/>
  <c r="J128" i="23"/>
  <c r="K128" i="23" s="1"/>
  <c r="L128" i="23" s="1"/>
  <c r="N128" i="23" s="1"/>
  <c r="D138" i="23"/>
  <c r="J126" i="23"/>
  <c r="J135" i="23"/>
  <c r="J139" i="23"/>
  <c r="J141" i="23"/>
  <c r="J122" i="23"/>
  <c r="J137" i="23"/>
  <c r="J145" i="23"/>
  <c r="I121" i="23"/>
  <c r="I130" i="23" s="1"/>
  <c r="D130" i="23"/>
  <c r="F143" i="23"/>
  <c r="D147" i="23"/>
  <c r="I131" i="23"/>
  <c r="D143" i="23"/>
  <c r="I144" i="23"/>
  <c r="I147" i="23" s="1"/>
  <c r="D44" i="23"/>
  <c r="F51" i="23"/>
  <c r="J66" i="23"/>
  <c r="K66" i="23" s="1"/>
  <c r="L66" i="23" s="1"/>
  <c r="N66" i="23" s="1"/>
  <c r="I94" i="23"/>
  <c r="I98" i="23" s="1"/>
  <c r="J110" i="23"/>
  <c r="K110" i="23" s="1"/>
  <c r="L110" i="23" s="1"/>
  <c r="N110" i="23" s="1"/>
  <c r="J75" i="23"/>
  <c r="K75" i="23" s="1"/>
  <c r="M79" i="23"/>
  <c r="J91" i="23"/>
  <c r="K91" i="23" s="1"/>
  <c r="L91" i="23" s="1"/>
  <c r="N91" i="23" s="1"/>
  <c r="J111" i="23"/>
  <c r="K111" i="23" s="1"/>
  <c r="L111" i="23" s="1"/>
  <c r="N111" i="23" s="1"/>
  <c r="J83" i="23"/>
  <c r="K83" i="23" s="1"/>
  <c r="L83" i="23" s="1"/>
  <c r="N83" i="23" s="1"/>
  <c r="J100" i="23"/>
  <c r="K100" i="23" s="1"/>
  <c r="I36" i="23"/>
  <c r="J36" i="23" s="1"/>
  <c r="K36" i="23" s="1"/>
  <c r="L36" i="23" s="1"/>
  <c r="N36" i="23" s="1"/>
  <c r="J64" i="23"/>
  <c r="K64" i="23" s="1"/>
  <c r="J69" i="23"/>
  <c r="J76" i="23"/>
  <c r="K76" i="23" s="1"/>
  <c r="L76" i="23" s="1"/>
  <c r="N76" i="23" s="1"/>
  <c r="J81" i="23"/>
  <c r="K81" i="23" s="1"/>
  <c r="L81" i="23" s="1"/>
  <c r="N81" i="23" s="1"/>
  <c r="J97" i="23"/>
  <c r="J101" i="23"/>
  <c r="J113" i="23"/>
  <c r="K113" i="23" s="1"/>
  <c r="L113" i="23" s="1"/>
  <c r="N113" i="23" s="1"/>
  <c r="J114" i="23"/>
  <c r="K114" i="23" s="1"/>
  <c r="L114" i="23" s="1"/>
  <c r="N114" i="23" s="1"/>
  <c r="F79" i="23"/>
  <c r="I77" i="23"/>
  <c r="J77" i="23" s="1"/>
  <c r="D79" i="23"/>
  <c r="D85" i="23"/>
  <c r="J90" i="23"/>
  <c r="J87" i="23"/>
  <c r="F93" i="23"/>
  <c r="I86" i="23"/>
  <c r="I93" i="23" s="1"/>
  <c r="F85" i="23"/>
  <c r="I80" i="23"/>
  <c r="D98" i="23"/>
  <c r="K115" i="23"/>
  <c r="L115" i="23" s="1"/>
  <c r="N115" i="23" s="1"/>
  <c r="I112" i="23"/>
  <c r="J112" i="23" s="1"/>
  <c r="I56" i="23"/>
  <c r="J12" i="23"/>
  <c r="K12" i="23" s="1"/>
  <c r="L12" i="23" s="1"/>
  <c r="N12" i="23" s="1"/>
  <c r="J27" i="23"/>
  <c r="K27" i="23" s="1"/>
  <c r="L27" i="23" s="1"/>
  <c r="N27" i="23" s="1"/>
  <c r="D51" i="23"/>
  <c r="J10" i="23"/>
  <c r="K10" i="23" s="1"/>
  <c r="L10" i="23" s="1"/>
  <c r="N10" i="23" s="1"/>
  <c r="J28" i="23"/>
  <c r="K28" i="23" s="1"/>
  <c r="L28" i="23" s="1"/>
  <c r="N28" i="23" s="1"/>
  <c r="I49" i="23"/>
  <c r="I51" i="23" s="1"/>
  <c r="J50" i="23"/>
  <c r="K50" i="23" s="1"/>
  <c r="L50" i="23" s="1"/>
  <c r="N50" i="23" s="1"/>
  <c r="J6" i="23"/>
  <c r="K6" i="23" s="1"/>
  <c r="L6" i="23" s="1"/>
  <c r="N6" i="23" s="1"/>
  <c r="J7" i="23"/>
  <c r="K7" i="23" s="1"/>
  <c r="L7" i="23" s="1"/>
  <c r="N7" i="23" s="1"/>
  <c r="J8" i="23"/>
  <c r="K8" i="23" s="1"/>
  <c r="L8" i="23" s="1"/>
  <c r="N8" i="23" s="1"/>
  <c r="J46" i="23"/>
  <c r="K53" i="23"/>
  <c r="L53" i="23" s="1"/>
  <c r="N53" i="23" s="1"/>
  <c r="I42" i="23"/>
  <c r="I44" i="23" s="1"/>
  <c r="I45" i="23"/>
  <c r="I48" i="23" s="1"/>
  <c r="J14" i="23"/>
  <c r="K14" i="23" s="1"/>
  <c r="L14" i="23" s="1"/>
  <c r="N14" i="23" s="1"/>
  <c r="J9" i="23"/>
  <c r="K9" i="23" s="1"/>
  <c r="L9" i="23" s="1"/>
  <c r="N9" i="23" s="1"/>
  <c r="J11" i="23"/>
  <c r="K11" i="23" s="1"/>
  <c r="L11" i="23" s="1"/>
  <c r="N11" i="23" s="1"/>
  <c r="J16" i="23"/>
  <c r="K16" i="23" s="1"/>
  <c r="L16" i="23" s="1"/>
  <c r="N16" i="23" s="1"/>
  <c r="J29" i="23"/>
  <c r="K29" i="23" s="1"/>
  <c r="L29" i="23" s="1"/>
  <c r="N29" i="23" s="1"/>
  <c r="J23" i="23"/>
  <c r="K23" i="23" s="1"/>
  <c r="I26" i="23"/>
  <c r="J26" i="23" s="1"/>
  <c r="K26" i="23" s="1"/>
  <c r="L26" i="23" s="1"/>
  <c r="N26" i="23" s="1"/>
  <c r="J24" i="23"/>
  <c r="K24" i="23" s="1"/>
  <c r="L24" i="23" s="1"/>
  <c r="N24" i="23" s="1"/>
  <c r="I33" i="23"/>
  <c r="I22" i="23"/>
  <c r="F379" i="23" l="1"/>
  <c r="M379" i="23"/>
  <c r="D379" i="23"/>
  <c r="D55" i="2"/>
  <c r="D52" i="2"/>
  <c r="J270" i="23"/>
  <c r="J275" i="23" s="1"/>
  <c r="J237" i="23"/>
  <c r="J239" i="23" s="1"/>
  <c r="K237" i="23"/>
  <c r="K239" i="23" s="1"/>
  <c r="J166" i="23"/>
  <c r="K166" i="23" s="1"/>
  <c r="L166" i="23" s="1"/>
  <c r="N166" i="23" s="1"/>
  <c r="K227" i="23"/>
  <c r="I236" i="23"/>
  <c r="I226" i="23"/>
  <c r="K198" i="23"/>
  <c r="J187" i="23"/>
  <c r="I191" i="23"/>
  <c r="K165" i="23"/>
  <c r="L165" i="23" s="1"/>
  <c r="J109" i="23"/>
  <c r="K109" i="23" s="1"/>
  <c r="L109" i="23" s="1"/>
  <c r="N109" i="23" s="1"/>
  <c r="I120" i="23"/>
  <c r="I74" i="23"/>
  <c r="J99" i="23"/>
  <c r="J107" i="23" s="1"/>
  <c r="I107" i="23"/>
  <c r="I41" i="23"/>
  <c r="K68" i="23"/>
  <c r="I32" i="23"/>
  <c r="J52" i="23"/>
  <c r="J55" i="23" s="1"/>
  <c r="G12" i="15"/>
  <c r="J351" i="23"/>
  <c r="J356" i="23" s="1"/>
  <c r="J199" i="23"/>
  <c r="K199" i="23" s="1"/>
  <c r="J293" i="23"/>
  <c r="J295" i="23" s="1"/>
  <c r="J316" i="23"/>
  <c r="J319" i="23" s="1"/>
  <c r="J276" i="23"/>
  <c r="J284" i="23" s="1"/>
  <c r="J228" i="23"/>
  <c r="K228" i="23" s="1"/>
  <c r="I253" i="23"/>
  <c r="J243" i="23"/>
  <c r="J253" i="23" s="1"/>
  <c r="K218" i="23"/>
  <c r="J173" i="23"/>
  <c r="K176" i="23"/>
  <c r="J5" i="23"/>
  <c r="K69" i="23"/>
  <c r="J33" i="23"/>
  <c r="J41" i="23" s="1"/>
  <c r="I264" i="23"/>
  <c r="J341" i="23"/>
  <c r="K341" i="23" s="1"/>
  <c r="K343" i="23" s="1"/>
  <c r="L200" i="23"/>
  <c r="N200" i="23" s="1"/>
  <c r="J290" i="23"/>
  <c r="L124" i="23"/>
  <c r="N124" i="23" s="1"/>
  <c r="L65" i="23"/>
  <c r="N65" i="23" s="1"/>
  <c r="L96" i="23"/>
  <c r="N96" i="23" s="1"/>
  <c r="L353" i="23"/>
  <c r="N353" i="23" s="1"/>
  <c r="J320" i="23"/>
  <c r="J323" i="23" s="1"/>
  <c r="K304" i="23"/>
  <c r="L304" i="23" s="1"/>
  <c r="N304" i="23" s="1"/>
  <c r="L160" i="23"/>
  <c r="N160" i="23" s="1"/>
  <c r="J192" i="23"/>
  <c r="L354" i="23"/>
  <c r="L70" i="23"/>
  <c r="N70" i="23" s="1"/>
  <c r="L89" i="23"/>
  <c r="N89" i="23" s="1"/>
  <c r="L217" i="23"/>
  <c r="N217" i="23" s="1"/>
  <c r="J303" i="23"/>
  <c r="J307" i="23"/>
  <c r="J311" i="23" s="1"/>
  <c r="L258" i="23"/>
  <c r="N258" i="23" s="1"/>
  <c r="L84" i="23"/>
  <c r="N84" i="23" s="1"/>
  <c r="K268" i="23"/>
  <c r="L268" i="23" s="1"/>
  <c r="N268" i="23" s="1"/>
  <c r="J264" i="23"/>
  <c r="J49" i="23"/>
  <c r="K49" i="23" s="1"/>
  <c r="K51" i="23" s="1"/>
  <c r="J164" i="23"/>
  <c r="L260" i="23"/>
  <c r="N260" i="23" s="1"/>
  <c r="J94" i="23"/>
  <c r="K94" i="23" s="1"/>
  <c r="L94" i="23" s="1"/>
  <c r="N94" i="23" s="1"/>
  <c r="L64" i="23"/>
  <c r="N64" i="23" s="1"/>
  <c r="K247" i="23"/>
  <c r="L247" i="23" s="1"/>
  <c r="N247" i="23" s="1"/>
  <c r="K257" i="23"/>
  <c r="L257" i="23" s="1"/>
  <c r="K278" i="23"/>
  <c r="L278" i="23" s="1"/>
  <c r="N278" i="23" s="1"/>
  <c r="K248" i="23"/>
  <c r="L248" i="23" s="1"/>
  <c r="N248" i="23" s="1"/>
  <c r="J287" i="23"/>
  <c r="J289" i="23" s="1"/>
  <c r="K259" i="23"/>
  <c r="K270" i="23"/>
  <c r="J285" i="23"/>
  <c r="K265" i="23"/>
  <c r="L265" i="23" s="1"/>
  <c r="N254" i="23"/>
  <c r="K162" i="23"/>
  <c r="L162" i="23" s="1"/>
  <c r="L129" i="23"/>
  <c r="N129" i="23" s="1"/>
  <c r="I164" i="23"/>
  <c r="J215" i="23"/>
  <c r="J226" i="23" s="1"/>
  <c r="K207" i="23"/>
  <c r="I79" i="23"/>
  <c r="K178" i="23"/>
  <c r="L178" i="23" s="1"/>
  <c r="N178" i="23" s="1"/>
  <c r="K184" i="23"/>
  <c r="K167" i="23"/>
  <c r="L167" i="23" s="1"/>
  <c r="N167" i="23" s="1"/>
  <c r="K102" i="23"/>
  <c r="L102" i="23" s="1"/>
  <c r="N102" i="23" s="1"/>
  <c r="J151" i="23"/>
  <c r="K150" i="23"/>
  <c r="K151" i="23" s="1"/>
  <c r="K157" i="23"/>
  <c r="K161" i="23" s="1"/>
  <c r="J161" i="23"/>
  <c r="K153" i="23"/>
  <c r="L153" i="23" s="1"/>
  <c r="N153" i="23" s="1"/>
  <c r="J152" i="23"/>
  <c r="K78" i="23"/>
  <c r="L78" i="23" s="1"/>
  <c r="N78" i="23" s="1"/>
  <c r="J86" i="23"/>
  <c r="J93" i="23" s="1"/>
  <c r="L100" i="23"/>
  <c r="N100" i="23" s="1"/>
  <c r="K137" i="23"/>
  <c r="L137" i="23" s="1"/>
  <c r="N137" i="23" s="1"/>
  <c r="K141" i="23"/>
  <c r="L141" i="23" s="1"/>
  <c r="N141" i="23" s="1"/>
  <c r="J143" i="23"/>
  <c r="K139" i="23"/>
  <c r="L139" i="23" s="1"/>
  <c r="K126" i="23"/>
  <c r="L126" i="23" s="1"/>
  <c r="N126" i="23" s="1"/>
  <c r="J131" i="23"/>
  <c r="I138" i="23"/>
  <c r="K145" i="23"/>
  <c r="L145" i="23" s="1"/>
  <c r="N145" i="23" s="1"/>
  <c r="K122" i="23"/>
  <c r="L122" i="23" s="1"/>
  <c r="N122" i="23" s="1"/>
  <c r="K135" i="23"/>
  <c r="L135" i="23" s="1"/>
  <c r="N135" i="23" s="1"/>
  <c r="J144" i="23"/>
  <c r="J121" i="23"/>
  <c r="K101" i="23"/>
  <c r="L101" i="23" s="1"/>
  <c r="N101" i="23" s="1"/>
  <c r="L75" i="23"/>
  <c r="N75" i="23" s="1"/>
  <c r="K97" i="23"/>
  <c r="J79" i="23"/>
  <c r="K112" i="23"/>
  <c r="L112" i="23" s="1"/>
  <c r="N112" i="23" s="1"/>
  <c r="K108" i="23"/>
  <c r="J56" i="23"/>
  <c r="J74" i="23" s="1"/>
  <c r="K77" i="23"/>
  <c r="K67" i="23"/>
  <c r="L67" i="23" s="1"/>
  <c r="N67" i="23" s="1"/>
  <c r="K90" i="23"/>
  <c r="L90" i="23" s="1"/>
  <c r="N90" i="23" s="1"/>
  <c r="J80" i="23"/>
  <c r="I85" i="23"/>
  <c r="K87" i="23"/>
  <c r="L87" i="23" s="1"/>
  <c r="N87" i="23" s="1"/>
  <c r="L23" i="23"/>
  <c r="N23" i="23" s="1"/>
  <c r="J45" i="23"/>
  <c r="K52" i="23"/>
  <c r="K55" i="23" s="1"/>
  <c r="K46" i="23"/>
  <c r="L46" i="23" s="1"/>
  <c r="N46" i="23" s="1"/>
  <c r="J42" i="23"/>
  <c r="J22" i="23"/>
  <c r="J32" i="23" s="1"/>
  <c r="I379" i="23" l="1"/>
  <c r="D56" i="2"/>
  <c r="D58" i="2"/>
  <c r="D59" i="2" s="1"/>
  <c r="L237" i="23"/>
  <c r="L239" i="23" s="1"/>
  <c r="K303" i="23"/>
  <c r="K306" i="23" s="1"/>
  <c r="J306" i="23"/>
  <c r="K290" i="23"/>
  <c r="K292" i="23" s="1"/>
  <c r="J292" i="23"/>
  <c r="J172" i="23"/>
  <c r="L270" i="23"/>
  <c r="K275" i="23"/>
  <c r="J120" i="23"/>
  <c r="J236" i="23"/>
  <c r="K120" i="23"/>
  <c r="L227" i="23"/>
  <c r="K236" i="23"/>
  <c r="J214" i="23"/>
  <c r="L198" i="23"/>
  <c r="K214" i="23"/>
  <c r="K187" i="23"/>
  <c r="J191" i="23"/>
  <c r="K173" i="23"/>
  <c r="K183" i="23" s="1"/>
  <c r="J183" i="23"/>
  <c r="L172" i="23"/>
  <c r="K99" i="23"/>
  <c r="K107" i="23" s="1"/>
  <c r="K172" i="23"/>
  <c r="L68" i="23"/>
  <c r="L199" i="23"/>
  <c r="N199" i="23" s="1"/>
  <c r="K5" i="23"/>
  <c r="K21" i="23" s="1"/>
  <c r="J21" i="23"/>
  <c r="K316" i="23"/>
  <c r="K319" i="23" s="1"/>
  <c r="K351" i="23"/>
  <c r="K45" i="23"/>
  <c r="J48" i="23"/>
  <c r="K276" i="23"/>
  <c r="K284" i="23" s="1"/>
  <c r="J343" i="23"/>
  <c r="K293" i="23"/>
  <c r="K295" i="23" s="1"/>
  <c r="K320" i="23"/>
  <c r="K323" i="23" s="1"/>
  <c r="K243" i="23"/>
  <c r="K253" i="23" s="1"/>
  <c r="L228" i="23"/>
  <c r="K33" i="23"/>
  <c r="K41" i="23" s="1"/>
  <c r="L218" i="23"/>
  <c r="L207" i="23"/>
  <c r="K192" i="23"/>
  <c r="K197" i="23" s="1"/>
  <c r="J197" i="23"/>
  <c r="L176" i="23"/>
  <c r="K164" i="23"/>
  <c r="L69" i="23"/>
  <c r="K307" i="23"/>
  <c r="K311" i="23" s="1"/>
  <c r="K86" i="23"/>
  <c r="L86" i="23" s="1"/>
  <c r="N86" i="23" s="1"/>
  <c r="N93" i="23" s="1"/>
  <c r="K98" i="23"/>
  <c r="N354" i="23"/>
  <c r="L303" i="23"/>
  <c r="L306" i="23" s="1"/>
  <c r="J98" i="23"/>
  <c r="J51" i="23"/>
  <c r="L341" i="23"/>
  <c r="K264" i="23"/>
  <c r="L290" i="23"/>
  <c r="L292" i="23" s="1"/>
  <c r="K79" i="23"/>
  <c r="N257" i="23"/>
  <c r="N265" i="23"/>
  <c r="L259" i="23"/>
  <c r="N259" i="23" s="1"/>
  <c r="K285" i="23"/>
  <c r="K286" i="23" s="1"/>
  <c r="J286" i="23"/>
  <c r="K287" i="23"/>
  <c r="K289" i="23" s="1"/>
  <c r="K215" i="23"/>
  <c r="K226" i="23" s="1"/>
  <c r="L150" i="23"/>
  <c r="N150" i="23" s="1"/>
  <c r="N151" i="23" s="1"/>
  <c r="N165" i="23"/>
  <c r="N172" i="23" s="1"/>
  <c r="L184" i="23"/>
  <c r="J156" i="23"/>
  <c r="K152" i="23"/>
  <c r="K156" i="23" s="1"/>
  <c r="L157" i="23"/>
  <c r="L164" i="23"/>
  <c r="N162" i="23"/>
  <c r="N164" i="23" s="1"/>
  <c r="J130" i="23"/>
  <c r="K121" i="23"/>
  <c r="K130" i="23" s="1"/>
  <c r="L143" i="23"/>
  <c r="N139" i="23"/>
  <c r="N143" i="23" s="1"/>
  <c r="J147" i="23"/>
  <c r="K144" i="23"/>
  <c r="K147" i="23" s="1"/>
  <c r="K131" i="23"/>
  <c r="K138" i="23" s="1"/>
  <c r="J138" i="23"/>
  <c r="K143" i="23"/>
  <c r="L97" i="23"/>
  <c r="K56" i="23"/>
  <c r="K74" i="23" s="1"/>
  <c r="L77" i="23"/>
  <c r="L108" i="23"/>
  <c r="L120" i="23" s="1"/>
  <c r="K80" i="23"/>
  <c r="K85" i="23" s="1"/>
  <c r="J85" i="23"/>
  <c r="L49" i="23"/>
  <c r="L52" i="23"/>
  <c r="L55" i="23" s="1"/>
  <c r="K42" i="23"/>
  <c r="K44" i="23" s="1"/>
  <c r="J44" i="23"/>
  <c r="K22" i="23"/>
  <c r="K32" i="23" s="1"/>
  <c r="J379" i="23" l="1"/>
  <c r="N237" i="23"/>
  <c r="N239" i="23" s="1"/>
  <c r="L351" i="23"/>
  <c r="L356" i="23" s="1"/>
  <c r="K356" i="23"/>
  <c r="L276" i="23"/>
  <c r="L284" i="23" s="1"/>
  <c r="N270" i="23"/>
  <c r="N275" i="23" s="1"/>
  <c r="L275" i="23"/>
  <c r="L316" i="23"/>
  <c r="L319" i="23" s="1"/>
  <c r="L173" i="23"/>
  <c r="L183" i="23" s="1"/>
  <c r="L236" i="23"/>
  <c r="N227" i="23"/>
  <c r="L214" i="23"/>
  <c r="N198" i="23"/>
  <c r="L99" i="23"/>
  <c r="L107" i="23" s="1"/>
  <c r="L5" i="23"/>
  <c r="L21" i="23" s="1"/>
  <c r="L187" i="23"/>
  <c r="K191" i="23"/>
  <c r="N68" i="23"/>
  <c r="L293" i="23"/>
  <c r="L295" i="23" s="1"/>
  <c r="L45" i="23"/>
  <c r="K48" i="23"/>
  <c r="L320" i="23"/>
  <c r="L323" i="23" s="1"/>
  <c r="L243" i="23"/>
  <c r="L253" i="23" s="1"/>
  <c r="L33" i="23"/>
  <c r="L41" i="23" s="1"/>
  <c r="N228" i="23"/>
  <c r="L192" i="23"/>
  <c r="L197" i="23" s="1"/>
  <c r="N207" i="23"/>
  <c r="N218" i="23"/>
  <c r="N176" i="23"/>
  <c r="N69" i="23"/>
  <c r="L307" i="23"/>
  <c r="L311" i="23" s="1"/>
  <c r="K93" i="23"/>
  <c r="N303" i="23"/>
  <c r="N306" i="23" s="1"/>
  <c r="N264" i="23"/>
  <c r="L151" i="23"/>
  <c r="L93" i="23"/>
  <c r="N341" i="23"/>
  <c r="N343" i="23" s="1"/>
  <c r="L343" i="23"/>
  <c r="N290" i="23"/>
  <c r="N292" i="23" s="1"/>
  <c r="L287" i="23"/>
  <c r="L289" i="23" s="1"/>
  <c r="L264" i="23"/>
  <c r="L285" i="23"/>
  <c r="L215" i="23"/>
  <c r="L226" i="23" s="1"/>
  <c r="N184" i="23"/>
  <c r="L152" i="23"/>
  <c r="N152" i="23" s="1"/>
  <c r="N156" i="23" s="1"/>
  <c r="L161" i="23"/>
  <c r="N157" i="23"/>
  <c r="N161" i="23" s="1"/>
  <c r="L121" i="23"/>
  <c r="L130" i="23" s="1"/>
  <c r="L131" i="23"/>
  <c r="L144" i="23"/>
  <c r="N97" i="23"/>
  <c r="N98" i="23" s="1"/>
  <c r="L98" i="23"/>
  <c r="L80" i="23"/>
  <c r="N80" i="23" s="1"/>
  <c r="N85" i="23" s="1"/>
  <c r="N77" i="23"/>
  <c r="N79" i="23" s="1"/>
  <c r="L79" i="23"/>
  <c r="L56" i="23"/>
  <c r="L74" i="23" s="1"/>
  <c r="N108" i="23"/>
  <c r="N120" i="23" s="1"/>
  <c r="N52" i="23"/>
  <c r="N55" i="23" s="1"/>
  <c r="L42" i="23"/>
  <c r="L51" i="23"/>
  <c r="N49" i="23"/>
  <c r="N51" i="23" s="1"/>
  <c r="L22" i="23"/>
  <c r="L32" i="23" s="1"/>
  <c r="N316" i="23" l="1"/>
  <c r="N319" i="23" s="1"/>
  <c r="N351" i="23"/>
  <c r="N356" i="23" s="1"/>
  <c r="K379" i="23"/>
  <c r="N276" i="23"/>
  <c r="N284" i="23" s="1"/>
  <c r="N173" i="23"/>
  <c r="N183" i="23" s="1"/>
  <c r="N5" i="23"/>
  <c r="N21" i="23" s="1"/>
  <c r="N99" i="23"/>
  <c r="N107" i="23" s="1"/>
  <c r="N236" i="23"/>
  <c r="N214" i="23"/>
  <c r="N187" i="23"/>
  <c r="N191" i="23" s="1"/>
  <c r="L191" i="23"/>
  <c r="N293" i="23"/>
  <c r="N295" i="23" s="1"/>
  <c r="N320" i="23"/>
  <c r="N323" i="23" s="1"/>
  <c r="L48" i="23"/>
  <c r="N45" i="23"/>
  <c r="N48" i="23" s="1"/>
  <c r="N243" i="23"/>
  <c r="N253" i="23" s="1"/>
  <c r="N33" i="23"/>
  <c r="N41" i="23" s="1"/>
  <c r="N192" i="23"/>
  <c r="N197" i="23" s="1"/>
  <c r="N307" i="23"/>
  <c r="N311" i="23" s="1"/>
  <c r="N287" i="23"/>
  <c r="N289" i="23" s="1"/>
  <c r="L286" i="23"/>
  <c r="N285" i="23"/>
  <c r="N286" i="23" s="1"/>
  <c r="N215" i="23"/>
  <c r="N226" i="23" s="1"/>
  <c r="N121" i="23"/>
  <c r="N130" i="23" s="1"/>
  <c r="L156" i="23"/>
  <c r="N144" i="23"/>
  <c r="N147" i="23" s="1"/>
  <c r="L147" i="23"/>
  <c r="L379" i="23" s="1"/>
  <c r="N131" i="23"/>
  <c r="N138" i="23" s="1"/>
  <c r="L138" i="23"/>
  <c r="L85" i="23"/>
  <c r="N56" i="23"/>
  <c r="N74" i="23" s="1"/>
  <c r="N42" i="23"/>
  <c r="N44" i="23" s="1"/>
  <c r="L44" i="23"/>
  <c r="N22" i="23"/>
  <c r="N32" i="23" s="1"/>
  <c r="N379" i="23" l="1"/>
  <c r="G9" i="15" s="1"/>
  <c r="P32" i="2" l="1"/>
  <c r="O32" i="2"/>
  <c r="O38" i="4" l="1"/>
  <c r="P38" i="4" s="1"/>
  <c r="H28" i="4"/>
  <c r="F64" i="7"/>
  <c r="E64" i="7"/>
  <c r="D64" i="7"/>
  <c r="C64" i="7"/>
  <c r="B64" i="7"/>
  <c r="E23" i="5" l="1"/>
  <c r="P52" i="9" l="1"/>
  <c r="O84" i="9"/>
  <c r="O83" i="9"/>
  <c r="O82" i="9"/>
  <c r="W55" i="9"/>
  <c r="AA55" i="9" s="1"/>
  <c r="W56" i="9"/>
  <c r="W57" i="9"/>
  <c r="W58" i="9"/>
  <c r="W60" i="9"/>
  <c r="X60" i="9"/>
  <c r="W62" i="9"/>
  <c r="X62" i="9"/>
  <c r="W63" i="9"/>
  <c r="X63" i="9"/>
  <c r="W65" i="9"/>
  <c r="X65" i="9"/>
  <c r="W66" i="9"/>
  <c r="X66" i="9"/>
  <c r="W67" i="9"/>
  <c r="X67" i="9"/>
  <c r="W68" i="9"/>
  <c r="X68" i="9"/>
  <c r="W69" i="9"/>
  <c r="Y69" i="9" s="1"/>
  <c r="X69" i="9"/>
  <c r="W72" i="9"/>
  <c r="X72" i="9"/>
  <c r="W73" i="9"/>
  <c r="X73" i="9"/>
  <c r="W74" i="9"/>
  <c r="X74" i="9"/>
  <c r="W75" i="9"/>
  <c r="X75" i="9"/>
  <c r="W76" i="9"/>
  <c r="X76" i="9"/>
  <c r="W77" i="9"/>
  <c r="X77" i="9"/>
  <c r="W81" i="9"/>
  <c r="Y81" i="9" s="1"/>
  <c r="W82" i="9"/>
  <c r="X82" i="9"/>
  <c r="W83" i="9"/>
  <c r="X83" i="9"/>
  <c r="J51" i="9" l="1"/>
  <c r="X51" i="9" s="1"/>
  <c r="H51" i="9"/>
  <c r="W51" i="9" s="1"/>
  <c r="H69" i="4" l="1"/>
  <c r="H68" i="4"/>
  <c r="O68" i="4" s="1"/>
  <c r="P68" i="4" s="1"/>
  <c r="H67" i="4"/>
  <c r="G64" i="7" l="1"/>
  <c r="M64" i="7" s="1"/>
  <c r="N64" i="7" s="1"/>
  <c r="O69" i="4"/>
  <c r="P69" i="4" s="1"/>
  <c r="A8" i="7"/>
  <c r="A9" i="7" s="1"/>
  <c r="S65" i="4"/>
  <c r="S36" i="4"/>
  <c r="S35" i="4"/>
  <c r="Q25" i="4"/>
  <c r="S19" i="4"/>
  <c r="F19" i="4"/>
  <c r="A10" i="7" l="1"/>
  <c r="A11" i="7" s="1"/>
  <c r="A12" i="7" s="1"/>
  <c r="A13" i="7" s="1"/>
  <c r="A14" i="7" s="1"/>
  <c r="A15" i="7" s="1"/>
  <c r="O64" i="7"/>
  <c r="Q64" i="7" s="1"/>
  <c r="R64" i="7"/>
  <c r="S64" i="7" s="1"/>
  <c r="A17" i="7" l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16" i="7"/>
  <c r="T64" i="7"/>
  <c r="V64" i="7" s="1"/>
  <c r="G17" i="17" l="1"/>
  <c r="D12" i="17"/>
  <c r="D17" i="17" s="1"/>
  <c r="E33" i="2" s="1"/>
  <c r="D19" i="17" l="1"/>
  <c r="E17" i="17"/>
  <c r="O33" i="2" l="1"/>
  <c r="D67" i="5"/>
  <c r="B11" i="7" l="1"/>
  <c r="C11" i="7"/>
  <c r="D11" i="7"/>
  <c r="E11" i="7"/>
  <c r="F11" i="7"/>
  <c r="F63" i="7" l="1"/>
  <c r="F62" i="7"/>
  <c r="F61" i="7"/>
  <c r="F60" i="7"/>
  <c r="F59" i="7"/>
  <c r="F58" i="7"/>
  <c r="F56" i="7"/>
  <c r="F55" i="7"/>
  <c r="E63" i="7"/>
  <c r="E62" i="7"/>
  <c r="E61" i="7"/>
  <c r="E60" i="7"/>
  <c r="E59" i="7"/>
  <c r="E56" i="7"/>
  <c r="E55" i="7"/>
  <c r="O48" i="4"/>
  <c r="O52" i="4"/>
  <c r="O67" i="4"/>
  <c r="H65" i="4"/>
  <c r="O65" i="4" s="1"/>
  <c r="E62" i="4"/>
  <c r="E58" i="7" s="1"/>
  <c r="H27" i="4"/>
  <c r="H29" i="4"/>
  <c r="H30" i="4"/>
  <c r="H31" i="4"/>
  <c r="H32" i="4"/>
  <c r="H33" i="4"/>
  <c r="H34" i="4"/>
  <c r="H35" i="4"/>
  <c r="H36" i="4"/>
  <c r="H26" i="4"/>
  <c r="F25" i="4"/>
  <c r="E25" i="4"/>
  <c r="X58" i="9" l="1"/>
  <c r="W45" i="9"/>
  <c r="E12" i="10"/>
  <c r="E10" i="10"/>
  <c r="E9" i="10"/>
  <c r="E8" i="10"/>
  <c r="J16" i="9"/>
  <c r="H16" i="9"/>
  <c r="E16" i="10" l="1"/>
  <c r="E17" i="10" s="1"/>
  <c r="U10" i="9" s="1"/>
  <c r="V10" i="9" s="1"/>
  <c r="W10" i="9"/>
  <c r="U15" i="9"/>
  <c r="W15" i="9" s="1"/>
  <c r="I16" i="9"/>
  <c r="I92" i="9" s="1"/>
  <c r="X48" i="9"/>
  <c r="V15" i="9"/>
  <c r="X15" i="9" s="1"/>
  <c r="F48" i="9"/>
  <c r="X10" i="9" l="1"/>
  <c r="C7" i="7"/>
  <c r="O36" i="4"/>
  <c r="P36" i="4" s="1"/>
  <c r="O35" i="4"/>
  <c r="P35" i="4" s="1"/>
  <c r="O34" i="4"/>
  <c r="P34" i="4" s="1"/>
  <c r="O33" i="4"/>
  <c r="P33" i="4" s="1"/>
  <c r="O32" i="4"/>
  <c r="P32" i="4" s="1"/>
  <c r="O31" i="4"/>
  <c r="O29" i="4"/>
  <c r="D63" i="7"/>
  <c r="B63" i="7"/>
  <c r="G32" i="7"/>
  <c r="G31" i="7"/>
  <c r="G30" i="7"/>
  <c r="G29" i="7"/>
  <c r="G28" i="7"/>
  <c r="E28" i="7"/>
  <c r="F28" i="7"/>
  <c r="E29" i="7"/>
  <c r="F29" i="7"/>
  <c r="E30" i="7"/>
  <c r="F30" i="7"/>
  <c r="E31" i="7"/>
  <c r="F31" i="7"/>
  <c r="E32" i="7"/>
  <c r="F32" i="7"/>
  <c r="C28" i="7"/>
  <c r="D28" i="7"/>
  <c r="C29" i="7"/>
  <c r="D29" i="7"/>
  <c r="C30" i="7"/>
  <c r="D30" i="7"/>
  <c r="C31" i="7"/>
  <c r="D31" i="7"/>
  <c r="C32" i="7"/>
  <c r="D32" i="7"/>
  <c r="B32" i="7"/>
  <c r="B31" i="7"/>
  <c r="B30" i="7"/>
  <c r="B29" i="7"/>
  <c r="B28" i="7"/>
  <c r="AB10" i="9" l="1"/>
  <c r="H31" i="7"/>
  <c r="I31" i="7" s="1"/>
  <c r="H28" i="7"/>
  <c r="I28" i="7" s="1"/>
  <c r="J28" i="7" s="1"/>
  <c r="L28" i="7" s="1"/>
  <c r="R28" i="7"/>
  <c r="S28" i="7" s="1"/>
  <c r="M32" i="7"/>
  <c r="H32" i="7"/>
  <c r="M29" i="7"/>
  <c r="R29" i="7"/>
  <c r="S29" i="7" s="1"/>
  <c r="T29" i="7" s="1"/>
  <c r="V29" i="7" s="1"/>
  <c r="H30" i="7"/>
  <c r="I30" i="7" s="1"/>
  <c r="H29" i="7"/>
  <c r="I29" i="7" s="1"/>
  <c r="M31" i="7"/>
  <c r="M30" i="7"/>
  <c r="M28" i="7"/>
  <c r="S51" i="4"/>
  <c r="R31" i="7"/>
  <c r="R30" i="7"/>
  <c r="R32" i="7" l="1"/>
  <c r="S32" i="7" s="1"/>
  <c r="T32" i="7" s="1"/>
  <c r="V32" i="7" s="1"/>
  <c r="J30" i="7"/>
  <c r="L30" i="7" s="1"/>
  <c r="S31" i="7"/>
  <c r="T31" i="7" s="1"/>
  <c r="V31" i="7" s="1"/>
  <c r="N29" i="7"/>
  <c r="O29" i="7" s="1"/>
  <c r="Q29" i="7" s="1"/>
  <c r="N28" i="7"/>
  <c r="O28" i="7" s="1"/>
  <c r="Q28" i="7" s="1"/>
  <c r="N30" i="7"/>
  <c r="O30" i="7" s="1"/>
  <c r="Q30" i="7" s="1"/>
  <c r="J31" i="7"/>
  <c r="L31" i="7" s="1"/>
  <c r="N31" i="7"/>
  <c r="O31" i="7" s="1"/>
  <c r="Q31" i="7" s="1"/>
  <c r="I32" i="7"/>
  <c r="N32" i="7"/>
  <c r="O32" i="7" s="1"/>
  <c r="J29" i="7"/>
  <c r="L29" i="7" s="1"/>
  <c r="S30" i="7"/>
  <c r="T30" i="7" s="1"/>
  <c r="V30" i="7" s="1"/>
  <c r="P31" i="4"/>
  <c r="P29" i="4"/>
  <c r="T28" i="7"/>
  <c r="V28" i="7" s="1"/>
  <c r="K43" i="4" l="1"/>
  <c r="K73" i="4" s="1"/>
  <c r="J32" i="7"/>
  <c r="L32" i="7" s="1"/>
  <c r="Q32" i="7"/>
  <c r="G39" i="7"/>
  <c r="B39" i="7"/>
  <c r="L75" i="4" l="1"/>
  <c r="J98" i="9" l="1"/>
  <c r="J99" i="9" s="1"/>
  <c r="J100" i="9" s="1"/>
  <c r="W44" i="9"/>
  <c r="J45" i="9"/>
  <c r="J44" i="9"/>
  <c r="X44" i="9" s="1"/>
  <c r="X45" i="9" l="1"/>
  <c r="R52" i="9"/>
  <c r="W54" i="9"/>
  <c r="W52" i="9"/>
  <c r="V42" i="9" l="1"/>
  <c r="X42" i="9" l="1"/>
  <c r="T92" i="9"/>
  <c r="T94" i="9" l="1"/>
  <c r="J52" i="9"/>
  <c r="J96" i="9" l="1"/>
  <c r="H64" i="7" l="1"/>
  <c r="C26" i="7"/>
  <c r="D26" i="7"/>
  <c r="E26" i="7"/>
  <c r="F26" i="7"/>
  <c r="C27" i="7"/>
  <c r="D27" i="7"/>
  <c r="E27" i="7"/>
  <c r="F27" i="7"/>
  <c r="G27" i="7"/>
  <c r="R27" i="7" s="1"/>
  <c r="B26" i="7"/>
  <c r="B27" i="7"/>
  <c r="M27" i="7" l="1"/>
  <c r="H27" i="7"/>
  <c r="O30" i="4"/>
  <c r="P30" i="4" s="1"/>
  <c r="S27" i="4"/>
  <c r="J17" i="4"/>
  <c r="S17" i="4" l="1"/>
  <c r="N27" i="7"/>
  <c r="O27" i="7" s="1"/>
  <c r="I27" i="7"/>
  <c r="J27" i="7" s="1"/>
  <c r="L27" i="7" s="1"/>
  <c r="G26" i="7"/>
  <c r="R26" i="7" s="1"/>
  <c r="S27" i="7"/>
  <c r="T27" i="7" s="1"/>
  <c r="V27" i="7" s="1"/>
  <c r="Q27" i="7" l="1"/>
  <c r="M26" i="7"/>
  <c r="H26" i="7"/>
  <c r="S26" i="7" l="1"/>
  <c r="T26" i="7" s="1"/>
  <c r="V26" i="7" s="1"/>
  <c r="I26" i="7"/>
  <c r="J26" i="7" s="1"/>
  <c r="L26" i="7" s="1"/>
  <c r="N26" i="7"/>
  <c r="O26" i="7" s="1"/>
  <c r="Q26" i="7" s="1"/>
  <c r="I21" i="15" l="1"/>
  <c r="G21" i="15" s="1"/>
  <c r="J38" i="2" l="1"/>
  <c r="O26" i="4" l="1"/>
  <c r="P26" i="4" s="1"/>
  <c r="O27" i="4"/>
  <c r="P27" i="4" s="1"/>
  <c r="O28" i="4"/>
  <c r="P28" i="4" s="1"/>
  <c r="O44" i="4"/>
  <c r="O45" i="4"/>
  <c r="P45" i="4" s="1"/>
  <c r="P65" i="4"/>
  <c r="P67" i="4"/>
  <c r="O25" i="9"/>
  <c r="R25" i="9"/>
  <c r="V25" i="9" s="1"/>
  <c r="R27" i="9"/>
  <c r="V27" i="9" s="1"/>
  <c r="R23" i="9"/>
  <c r="O27" i="9"/>
  <c r="O23" i="9"/>
  <c r="G23" i="9"/>
  <c r="G24" i="9"/>
  <c r="G25" i="9"/>
  <c r="G27" i="9"/>
  <c r="G92" i="9" l="1"/>
  <c r="V23" i="9"/>
  <c r="V92" i="9" s="1"/>
  <c r="R29" i="9"/>
  <c r="R92" i="9" s="1"/>
  <c r="P29" i="9"/>
  <c r="R94" i="9" l="1"/>
  <c r="D18" i="5"/>
  <c r="C5" i="22"/>
  <c r="D36" i="5" l="1"/>
  <c r="W41" i="9" l="1"/>
  <c r="X41" i="9"/>
  <c r="W47" i="9"/>
  <c r="X52" i="9"/>
  <c r="J30" i="9" l="1"/>
  <c r="I18" i="10" l="1"/>
  <c r="I64" i="7" l="1"/>
  <c r="B61" i="7"/>
  <c r="C61" i="7"/>
  <c r="D61" i="7"/>
  <c r="G61" i="7"/>
  <c r="B62" i="7"/>
  <c r="C62" i="7"/>
  <c r="D62" i="7"/>
  <c r="G62" i="7"/>
  <c r="M62" i="7" s="1"/>
  <c r="C63" i="7"/>
  <c r="G63" i="7"/>
  <c r="E22" i="7"/>
  <c r="F22" i="7"/>
  <c r="G22" i="7"/>
  <c r="E23" i="7"/>
  <c r="F23" i="7"/>
  <c r="G23" i="7"/>
  <c r="E24" i="7"/>
  <c r="F24" i="7"/>
  <c r="G24" i="7"/>
  <c r="E25" i="7"/>
  <c r="F25" i="7"/>
  <c r="G25" i="7"/>
  <c r="D22" i="7"/>
  <c r="D23" i="7"/>
  <c r="D24" i="7"/>
  <c r="D25" i="7"/>
  <c r="B25" i="7"/>
  <c r="C23" i="7"/>
  <c r="C24" i="7"/>
  <c r="C25" i="7"/>
  <c r="B22" i="7"/>
  <c r="B23" i="7"/>
  <c r="B24" i="7"/>
  <c r="C22" i="7"/>
  <c r="S57" i="4"/>
  <c r="S56" i="4"/>
  <c r="S24" i="4"/>
  <c r="J64" i="7" l="1"/>
  <c r="M61" i="7"/>
  <c r="N61" i="7" s="1"/>
  <c r="H61" i="7"/>
  <c r="I61" i="7" s="1"/>
  <c r="H24" i="7"/>
  <c r="I24" i="7" s="1"/>
  <c r="R24" i="7"/>
  <c r="S24" i="7" s="1"/>
  <c r="T24" i="7" s="1"/>
  <c r="V24" i="7" s="1"/>
  <c r="H25" i="7"/>
  <c r="I25" i="7" s="1"/>
  <c r="R25" i="7"/>
  <c r="S25" i="7" s="1"/>
  <c r="R63" i="7"/>
  <c r="S63" i="7" s="1"/>
  <c r="T63" i="7" s="1"/>
  <c r="V63" i="7" s="1"/>
  <c r="H22" i="7"/>
  <c r="I22" i="7" s="1"/>
  <c r="J22" i="7" s="1"/>
  <c r="L22" i="7" s="1"/>
  <c r="R22" i="7"/>
  <c r="S22" i="7" s="1"/>
  <c r="R23" i="7"/>
  <c r="S23" i="7" s="1"/>
  <c r="T23" i="7" s="1"/>
  <c r="V23" i="7" s="1"/>
  <c r="N62" i="7"/>
  <c r="R62" i="7"/>
  <c r="S62" i="7" s="1"/>
  <c r="T62" i="7" s="1"/>
  <c r="V62" i="7" s="1"/>
  <c r="R61" i="7"/>
  <c r="S61" i="7" s="1"/>
  <c r="M63" i="7"/>
  <c r="H62" i="7"/>
  <c r="I62" i="7" s="1"/>
  <c r="H63" i="7"/>
  <c r="I63" i="7" s="1"/>
  <c r="M23" i="7"/>
  <c r="M25" i="7"/>
  <c r="M24" i="7"/>
  <c r="H23" i="7"/>
  <c r="I23" i="7" s="1"/>
  <c r="M22" i="7"/>
  <c r="J21" i="4"/>
  <c r="S21" i="4" s="1"/>
  <c r="L7" i="20"/>
  <c r="L64" i="7" l="1"/>
  <c r="J25" i="7"/>
  <c r="L25" i="7" s="1"/>
  <c r="N24" i="7"/>
  <c r="O24" i="7" s="1"/>
  <c r="Q24" i="7" s="1"/>
  <c r="N23" i="7"/>
  <c r="O23" i="7" s="1"/>
  <c r="Q23" i="7" s="1"/>
  <c r="N22" i="7"/>
  <c r="O22" i="7" s="1"/>
  <c r="Q22" i="7" s="1"/>
  <c r="N25" i="7"/>
  <c r="O25" i="7" s="1"/>
  <c r="Q25" i="7" s="1"/>
  <c r="N63" i="7"/>
  <c r="O63" i="7" s="1"/>
  <c r="Q63" i="7" s="1"/>
  <c r="O62" i="7"/>
  <c r="Q62" i="7" s="1"/>
  <c r="J61" i="7"/>
  <c r="L61" i="7" s="1"/>
  <c r="J24" i="7"/>
  <c r="L24" i="7" s="1"/>
  <c r="J62" i="7"/>
  <c r="L62" i="7" s="1"/>
  <c r="T61" i="7"/>
  <c r="V61" i="7" s="1"/>
  <c r="J63" i="7"/>
  <c r="L63" i="7" s="1"/>
  <c r="J23" i="7"/>
  <c r="L23" i="7" s="1"/>
  <c r="O61" i="7"/>
  <c r="Q61" i="7" s="1"/>
  <c r="T22" i="7"/>
  <c r="V22" i="7" s="1"/>
  <c r="T25" i="7"/>
  <c r="V25" i="7" s="1"/>
  <c r="H2" i="18" l="1"/>
  <c r="F13" i="10" l="1"/>
  <c r="G13" i="10"/>
  <c r="H13" i="10"/>
  <c r="I13" i="10"/>
  <c r="K13" i="10"/>
  <c r="J13" i="10" l="1"/>
  <c r="C10" i="22" l="1"/>
  <c r="A6" i="22" l="1"/>
  <c r="A7" i="22" s="1"/>
  <c r="A8" i="22" s="1"/>
  <c r="A9" i="22" s="1"/>
  <c r="W24" i="9" l="1"/>
  <c r="W23" i="9"/>
  <c r="J52" i="4" l="1"/>
  <c r="P52" i="4" l="1"/>
  <c r="S52" i="4"/>
  <c r="E12" i="5"/>
  <c r="D37" i="5" l="1"/>
  <c r="D56" i="7" l="1"/>
  <c r="D58" i="7"/>
  <c r="D59" i="7"/>
  <c r="D60" i="7"/>
  <c r="D55" i="7"/>
  <c r="C60" i="7"/>
  <c r="C59" i="7"/>
  <c r="C58" i="7"/>
  <c r="C56" i="7"/>
  <c r="C55" i="7"/>
  <c r="B55" i="7"/>
  <c r="B56" i="7"/>
  <c r="B58" i="7"/>
  <c r="B59" i="7"/>
  <c r="B60" i="7"/>
  <c r="F21" i="7"/>
  <c r="E21" i="7"/>
  <c r="D21" i="7"/>
  <c r="C21" i="7"/>
  <c r="B21" i="7"/>
  <c r="W37" i="9" l="1"/>
  <c r="H25" i="4"/>
  <c r="S23" i="4"/>
  <c r="G21" i="7" l="1"/>
  <c r="R21" i="7" s="1"/>
  <c r="O25" i="4"/>
  <c r="P25" i="4" s="1"/>
  <c r="H59" i="4"/>
  <c r="H60" i="4"/>
  <c r="O60" i="4" s="1"/>
  <c r="H64" i="4"/>
  <c r="O64" i="4" s="1"/>
  <c r="P64" i="4" s="1"/>
  <c r="H62" i="4"/>
  <c r="O62" i="4" s="1"/>
  <c r="H63" i="4"/>
  <c r="O63" i="4" s="1"/>
  <c r="O59" i="4" l="1"/>
  <c r="P59" i="4" s="1"/>
  <c r="G55" i="7"/>
  <c r="M21" i="7"/>
  <c r="H21" i="7"/>
  <c r="I21" i="7" s="1"/>
  <c r="J21" i="7" s="1"/>
  <c r="L21" i="7" s="1"/>
  <c r="G58" i="7"/>
  <c r="P62" i="4"/>
  <c r="G60" i="7"/>
  <c r="H60" i="7" s="1"/>
  <c r="G59" i="7"/>
  <c r="P63" i="4"/>
  <c r="G56" i="7"/>
  <c r="P60" i="4"/>
  <c r="H58" i="7" l="1"/>
  <c r="M58" i="7"/>
  <c r="M60" i="7"/>
  <c r="N21" i="7"/>
  <c r="O21" i="7" s="1"/>
  <c r="M56" i="7"/>
  <c r="R56" i="7"/>
  <c r="S56" i="7" s="1"/>
  <c r="T56" i="7" s="1"/>
  <c r="R58" i="7"/>
  <c r="S58" i="7" s="1"/>
  <c r="T58" i="7" s="1"/>
  <c r="V58" i="7" s="1"/>
  <c r="R59" i="7"/>
  <c r="S59" i="7" s="1"/>
  <c r="T59" i="7" s="1"/>
  <c r="V59" i="7" s="1"/>
  <c r="R55" i="7"/>
  <c r="H55" i="7"/>
  <c r="I55" i="7" s="1"/>
  <c r="J55" i="7" s="1"/>
  <c r="M55" i="7"/>
  <c r="H59" i="7"/>
  <c r="I59" i="7" s="1"/>
  <c r="J59" i="7" s="1"/>
  <c r="L59" i="7" s="1"/>
  <c r="H56" i="7"/>
  <c r="I56" i="7" s="1"/>
  <c r="J56" i="7" s="1"/>
  <c r="L56" i="7" s="1"/>
  <c r="M59" i="7"/>
  <c r="I58" i="7"/>
  <c r="J58" i="7" s="1"/>
  <c r="I60" i="7"/>
  <c r="J60" i="7" s="1"/>
  <c r="L60" i="7" s="1"/>
  <c r="Q21" i="7" l="1"/>
  <c r="N56" i="7"/>
  <c r="O56" i="7" s="1"/>
  <c r="N55" i="7"/>
  <c r="O55" i="7" s="1"/>
  <c r="Q55" i="7" s="1"/>
  <c r="N59" i="7"/>
  <c r="O59" i="7" s="1"/>
  <c r="Q59" i="7" s="1"/>
  <c r="N58" i="7"/>
  <c r="O58" i="7" s="1"/>
  <c r="S55" i="7"/>
  <c r="T55" i="7" s="1"/>
  <c r="V55" i="7" s="1"/>
  <c r="L58" i="7"/>
  <c r="V56" i="7"/>
  <c r="L55" i="7"/>
  <c r="Q56" i="7" l="1"/>
  <c r="Q58" i="7"/>
  <c r="H32" i="9"/>
  <c r="S21" i="7"/>
  <c r="T21" i="7" l="1"/>
  <c r="V21" i="7" s="1"/>
  <c r="G32" i="2"/>
  <c r="Q32" i="2" s="1"/>
  <c r="K20" i="10" l="1"/>
  <c r="G17" i="15" l="1"/>
  <c r="L94" i="9" l="1"/>
  <c r="E50" i="5"/>
  <c r="W35" i="9" l="1"/>
  <c r="M45" i="4" l="1"/>
  <c r="M73" i="4" s="1"/>
  <c r="J16" i="4"/>
  <c r="J15" i="4"/>
  <c r="J43" i="4" s="1"/>
  <c r="S16" i="4" l="1"/>
  <c r="M75" i="4"/>
  <c r="S15" i="4"/>
  <c r="S43" i="4" s="1"/>
  <c r="H19" i="4"/>
  <c r="O19" i="4" s="1"/>
  <c r="P19" i="4" s="1"/>
  <c r="H18" i="4"/>
  <c r="O18" i="4" s="1"/>
  <c r="P18" i="4" s="1"/>
  <c r="P44" i="4" l="1"/>
  <c r="X36" i="9"/>
  <c r="X35" i="9"/>
  <c r="X34" i="9"/>
  <c r="X33" i="9"/>
  <c r="X32" i="9"/>
  <c r="X31" i="9"/>
  <c r="W34" i="9"/>
  <c r="W33" i="9"/>
  <c r="W31" i="9"/>
  <c r="C16" i="21" l="1"/>
  <c r="I7" i="20" s="1"/>
  <c r="H15" i="4" l="1"/>
  <c r="AB13" i="9"/>
  <c r="AB14" i="9" s="1"/>
  <c r="O15" i="4" l="1"/>
  <c r="P15" i="4" s="1"/>
  <c r="G11" i="7"/>
  <c r="D30" i="2"/>
  <c r="M11" i="7" l="1"/>
  <c r="H11" i="7"/>
  <c r="R11" i="7"/>
  <c r="O29" i="9"/>
  <c r="O92" i="9" s="1"/>
  <c r="C12" i="5" s="1"/>
  <c r="S11" i="7" l="1"/>
  <c r="T11" i="7" s="1"/>
  <c r="I11" i="7"/>
  <c r="J11" i="7" s="1"/>
  <c r="N11" i="7"/>
  <c r="O11" i="7" s="1"/>
  <c r="W36" i="9"/>
  <c r="W32" i="9"/>
  <c r="T95" i="9" l="1"/>
  <c r="V11" i="7"/>
  <c r="Q11" i="7"/>
  <c r="L11" i="7"/>
  <c r="D20" i="7"/>
  <c r="D19" i="7"/>
  <c r="D18" i="7"/>
  <c r="D17" i="7"/>
  <c r="C20" i="7"/>
  <c r="C19" i="7"/>
  <c r="C18" i="7"/>
  <c r="C17" i="7"/>
  <c r="B20" i="7"/>
  <c r="B17" i="7"/>
  <c r="B18" i="7"/>
  <c r="B19" i="7"/>
  <c r="H17" i="4"/>
  <c r="O17" i="4" s="1"/>
  <c r="P17" i="4" s="1"/>
  <c r="H16" i="4"/>
  <c r="O16" i="4" s="1"/>
  <c r="P16" i="4" s="1"/>
  <c r="G12" i="7" l="1"/>
  <c r="R12" i="7" s="1"/>
  <c r="H12" i="7" l="1"/>
  <c r="F54" i="4"/>
  <c r="F58" i="4" l="1"/>
  <c r="E58" i="4"/>
  <c r="E57" i="4"/>
  <c r="F57" i="4" s="1"/>
  <c r="F56" i="4"/>
  <c r="E56" i="4"/>
  <c r="F55" i="4"/>
  <c r="E55" i="4"/>
  <c r="E51" i="4"/>
  <c r="F51" i="4" s="1"/>
  <c r="E53" i="4"/>
  <c r="F53" i="4" s="1"/>
  <c r="E50" i="4"/>
  <c r="E73" i="4" s="1"/>
  <c r="H47" i="4"/>
  <c r="E24" i="4"/>
  <c r="F24" i="4" s="1"/>
  <c r="F20" i="7" s="1"/>
  <c r="E23" i="4"/>
  <c r="F22" i="4"/>
  <c r="F18" i="7" s="1"/>
  <c r="E22" i="4"/>
  <c r="F21" i="4"/>
  <c r="E21" i="4"/>
  <c r="E15" i="7"/>
  <c r="E43" i="4" l="1"/>
  <c r="E39" i="7" s="1"/>
  <c r="O47" i="4"/>
  <c r="P47" i="4" s="1"/>
  <c r="F50" i="4"/>
  <c r="H22" i="4"/>
  <c r="E18" i="7"/>
  <c r="H53" i="4"/>
  <c r="H21" i="4"/>
  <c r="E17" i="7"/>
  <c r="E19" i="7"/>
  <c r="F17" i="7"/>
  <c r="F23" i="4"/>
  <c r="F19" i="7" s="1"/>
  <c r="H24" i="4"/>
  <c r="E20" i="7"/>
  <c r="F43" i="4" l="1"/>
  <c r="F39" i="7" s="1"/>
  <c r="O53" i="4"/>
  <c r="P53" i="4" s="1"/>
  <c r="G20" i="7"/>
  <c r="O24" i="4"/>
  <c r="P24" i="4" s="1"/>
  <c r="G18" i="7"/>
  <c r="R18" i="7" s="1"/>
  <c r="O22" i="4"/>
  <c r="P22" i="4" s="1"/>
  <c r="G17" i="7"/>
  <c r="R17" i="7" s="1"/>
  <c r="O21" i="4"/>
  <c r="P21" i="4" s="1"/>
  <c r="C50" i="3"/>
  <c r="H23" i="4"/>
  <c r="N11" i="14"/>
  <c r="M20" i="7" l="1"/>
  <c r="R20" i="7"/>
  <c r="S20" i="7" s="1"/>
  <c r="T20" i="7" s="1"/>
  <c r="V20" i="7" s="1"/>
  <c r="H20" i="7"/>
  <c r="I20" i="7" s="1"/>
  <c r="J20" i="7" s="1"/>
  <c r="L20" i="7" s="1"/>
  <c r="H17" i="7"/>
  <c r="I17" i="7" s="1"/>
  <c r="J17" i="7" s="1"/>
  <c r="L17" i="7" s="1"/>
  <c r="M18" i="7"/>
  <c r="H18" i="7"/>
  <c r="I18" i="7" s="1"/>
  <c r="J18" i="7" s="1"/>
  <c r="M17" i="7"/>
  <c r="G19" i="7"/>
  <c r="R19" i="7" s="1"/>
  <c r="O23" i="4"/>
  <c r="P23" i="4" s="1"/>
  <c r="S17" i="7"/>
  <c r="T17" i="7" s="1"/>
  <c r="V17" i="7" s="1"/>
  <c r="S18" i="7"/>
  <c r="T18" i="7" s="1"/>
  <c r="V18" i="7" s="1"/>
  <c r="N18" i="7" l="1"/>
  <c r="O18" i="7" s="1"/>
  <c r="Q18" i="7" s="1"/>
  <c r="N17" i="7"/>
  <c r="O17" i="7" s="1"/>
  <c r="Q17" i="7" s="1"/>
  <c r="N20" i="7"/>
  <c r="O20" i="7" s="1"/>
  <c r="Q20" i="7" s="1"/>
  <c r="M19" i="7"/>
  <c r="H19" i="7"/>
  <c r="I19" i="7" s="1"/>
  <c r="J19" i="7" s="1"/>
  <c r="L18" i="7"/>
  <c r="S19" i="7"/>
  <c r="T19" i="7" s="1"/>
  <c r="V19" i="7" s="1"/>
  <c r="N19" i="7" l="1"/>
  <c r="O19" i="7" s="1"/>
  <c r="Q19" i="7" s="1"/>
  <c r="L19" i="7"/>
  <c r="F23" i="15"/>
  <c r="F22" i="15"/>
  <c r="V1" i="7"/>
  <c r="Y2" i="9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7" i="9" l="1"/>
  <c r="A28" i="9" s="1"/>
  <c r="A26" i="9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l="1"/>
  <c r="A44" i="9"/>
  <c r="A45" i="9" s="1"/>
  <c r="A46" i="9" s="1"/>
  <c r="A47" i="9" s="1"/>
  <c r="A48" i="9" s="1"/>
  <c r="A49" i="9" s="1"/>
  <c r="F54" i="7"/>
  <c r="E54" i="7"/>
  <c r="F53" i="7"/>
  <c r="E53" i="7"/>
  <c r="F52" i="7"/>
  <c r="E52" i="7"/>
  <c r="F51" i="7"/>
  <c r="E51" i="7"/>
  <c r="F50" i="7"/>
  <c r="E50" i="7"/>
  <c r="F49" i="7"/>
  <c r="E49" i="7"/>
  <c r="F47" i="7"/>
  <c r="E47" i="7"/>
  <c r="F46" i="7"/>
  <c r="E46" i="7"/>
  <c r="E45" i="7"/>
  <c r="E44" i="7"/>
  <c r="F43" i="7"/>
  <c r="E43" i="7"/>
  <c r="F42" i="7"/>
  <c r="E42" i="7"/>
  <c r="F41" i="7"/>
  <c r="E41" i="7"/>
  <c r="F14" i="7"/>
  <c r="E14" i="7"/>
  <c r="F13" i="7"/>
  <c r="E13" i="7"/>
  <c r="F12" i="7"/>
  <c r="E12" i="7"/>
  <c r="F9" i="7"/>
  <c r="E9" i="7"/>
  <c r="F8" i="7"/>
  <c r="E8" i="7"/>
  <c r="F7" i="7"/>
  <c r="E7" i="7"/>
  <c r="B54" i="7"/>
  <c r="B53" i="7"/>
  <c r="B52" i="7"/>
  <c r="B51" i="7"/>
  <c r="B50" i="7"/>
  <c r="B49" i="7"/>
  <c r="B48" i="7"/>
  <c r="B47" i="7"/>
  <c r="B46" i="7"/>
  <c r="B45" i="7"/>
  <c r="B43" i="7"/>
  <c r="B42" i="7"/>
  <c r="B41" i="7"/>
  <c r="B15" i="7"/>
  <c r="B13" i="7"/>
  <c r="B12" i="7"/>
  <c r="B9" i="7"/>
  <c r="B8" i="7"/>
  <c r="B7" i="7"/>
  <c r="A3" i="2"/>
  <c r="A4" i="4" s="1"/>
  <c r="A2" i="3" l="1"/>
  <c r="A3" i="14"/>
  <c r="A2" i="13"/>
  <c r="A4" i="11"/>
  <c r="A4" i="5"/>
  <c r="A2" i="7"/>
  <c r="H41" i="7"/>
  <c r="E14" i="21"/>
  <c r="G14" i="21" s="1"/>
  <c r="E10" i="21"/>
  <c r="D10" i="21"/>
  <c r="F10" i="21" s="1"/>
  <c r="G7" i="21"/>
  <c r="C7" i="21"/>
  <c r="A2" i="21"/>
  <c r="H11" i="20"/>
  <c r="G11" i="20"/>
  <c r="F11" i="20"/>
  <c r="E11" i="20"/>
  <c r="D11" i="20"/>
  <c r="C11" i="20"/>
  <c r="F7" i="20"/>
  <c r="E7" i="20"/>
  <c r="D7" i="20"/>
  <c r="C7" i="20"/>
  <c r="A2" i="20"/>
  <c r="V2" i="19"/>
  <c r="B26" i="18"/>
  <c r="G21" i="18"/>
  <c r="G14" i="18"/>
  <c r="G18" i="18" s="1"/>
  <c r="A5" i="18"/>
  <c r="A10" i="17"/>
  <c r="A11" i="17" s="1"/>
  <c r="A12" i="17" s="1"/>
  <c r="A13" i="17" s="1"/>
  <c r="A14" i="17" s="1"/>
  <c r="A15" i="17" s="1"/>
  <c r="A16" i="17" s="1"/>
  <c r="A3" i="17"/>
  <c r="C67" i="16"/>
  <c r="D72" i="16" s="1"/>
  <c r="F66" i="16"/>
  <c r="G66" i="16" s="1"/>
  <c r="E66" i="16"/>
  <c r="F65" i="16"/>
  <c r="G65" i="16" s="1"/>
  <c r="E65" i="16"/>
  <c r="F64" i="16"/>
  <c r="G64" i="16" s="1"/>
  <c r="E64" i="16"/>
  <c r="F63" i="16"/>
  <c r="G63" i="16" s="1"/>
  <c r="E63" i="16"/>
  <c r="F62" i="16"/>
  <c r="G62" i="16" s="1"/>
  <c r="E62" i="16"/>
  <c r="F61" i="16"/>
  <c r="G61" i="16" s="1"/>
  <c r="E61" i="16"/>
  <c r="F60" i="16"/>
  <c r="G60" i="16" s="1"/>
  <c r="E60" i="16"/>
  <c r="F59" i="16"/>
  <c r="G59" i="16" s="1"/>
  <c r="E59" i="16"/>
  <c r="F58" i="16"/>
  <c r="G58" i="16" s="1"/>
  <c r="E58" i="16"/>
  <c r="F57" i="16"/>
  <c r="G57" i="16" s="1"/>
  <c r="E57" i="16"/>
  <c r="D56" i="16"/>
  <c r="F56" i="16" s="1"/>
  <c r="G56" i="16" s="1"/>
  <c r="F55" i="16"/>
  <c r="G55" i="16" s="1"/>
  <c r="E55" i="16"/>
  <c r="F54" i="16"/>
  <c r="G54" i="16" s="1"/>
  <c r="E54" i="16"/>
  <c r="F53" i="16"/>
  <c r="G53" i="16" s="1"/>
  <c r="E53" i="16"/>
  <c r="F52" i="16"/>
  <c r="G52" i="16" s="1"/>
  <c r="E52" i="16"/>
  <c r="D51" i="16"/>
  <c r="F51" i="16" s="1"/>
  <c r="G51" i="16" s="1"/>
  <c r="D50" i="16"/>
  <c r="F50" i="16" s="1"/>
  <c r="G50" i="16" s="1"/>
  <c r="D49" i="16"/>
  <c r="F49" i="16" s="1"/>
  <c r="G49" i="16" s="1"/>
  <c r="D48" i="16"/>
  <c r="F48" i="16" s="1"/>
  <c r="G48" i="16" s="1"/>
  <c r="D47" i="16"/>
  <c r="F47" i="16" s="1"/>
  <c r="G47" i="16" s="1"/>
  <c r="F46" i="16"/>
  <c r="G46" i="16" s="1"/>
  <c r="E46" i="16"/>
  <c r="F45" i="16"/>
  <c r="G45" i="16" s="1"/>
  <c r="E45" i="16"/>
  <c r="F44" i="16"/>
  <c r="G44" i="16" s="1"/>
  <c r="E44" i="16"/>
  <c r="D43" i="16"/>
  <c r="F43" i="16" s="1"/>
  <c r="G43" i="16" s="1"/>
  <c r="F42" i="16"/>
  <c r="G42" i="16" s="1"/>
  <c r="E42" i="16"/>
  <c r="D41" i="16"/>
  <c r="F41" i="16" s="1"/>
  <c r="G41" i="16" s="1"/>
  <c r="D40" i="16"/>
  <c r="F40" i="16" s="1"/>
  <c r="G40" i="16" s="1"/>
  <c r="D39" i="16"/>
  <c r="F39" i="16" s="1"/>
  <c r="G39" i="16" s="1"/>
  <c r="F38" i="16"/>
  <c r="G38" i="16" s="1"/>
  <c r="E38" i="16"/>
  <c r="D37" i="16"/>
  <c r="F37" i="16" s="1"/>
  <c r="G37" i="16" s="1"/>
  <c r="F36" i="16"/>
  <c r="G36" i="16" s="1"/>
  <c r="E36" i="16"/>
  <c r="F35" i="16"/>
  <c r="G35" i="16" s="1"/>
  <c r="E35" i="16"/>
  <c r="F34" i="16"/>
  <c r="G34" i="16" s="1"/>
  <c r="E34" i="16"/>
  <c r="F33" i="16"/>
  <c r="G33" i="16" s="1"/>
  <c r="E33" i="16"/>
  <c r="D32" i="16"/>
  <c r="F32" i="16" s="1"/>
  <c r="G32" i="16" s="1"/>
  <c r="D31" i="16"/>
  <c r="C29" i="16"/>
  <c r="D28" i="16"/>
  <c r="F28" i="16" s="1"/>
  <c r="G28" i="16" s="1"/>
  <c r="F27" i="16"/>
  <c r="G27" i="16" s="1"/>
  <c r="E27" i="16"/>
  <c r="D26" i="16"/>
  <c r="F26" i="16" s="1"/>
  <c r="G26" i="16" s="1"/>
  <c r="F25" i="16"/>
  <c r="G25" i="16" s="1"/>
  <c r="E25" i="16"/>
  <c r="F24" i="16"/>
  <c r="G24" i="16" s="1"/>
  <c r="E24" i="16"/>
  <c r="F23" i="16"/>
  <c r="G23" i="16" s="1"/>
  <c r="E23" i="16"/>
  <c r="F22" i="16"/>
  <c r="G22" i="16" s="1"/>
  <c r="E22" i="16"/>
  <c r="F21" i="16"/>
  <c r="G21" i="16" s="1"/>
  <c r="E21" i="16"/>
  <c r="F20" i="16"/>
  <c r="G20" i="16" s="1"/>
  <c r="E20" i="16"/>
  <c r="F19" i="16"/>
  <c r="G19" i="16" s="1"/>
  <c r="E19" i="16"/>
  <c r="F18" i="16"/>
  <c r="G18" i="16" s="1"/>
  <c r="E18" i="16"/>
  <c r="F17" i="16"/>
  <c r="G17" i="16" s="1"/>
  <c r="E17" i="16"/>
  <c r="D16" i="16"/>
  <c r="F15" i="16"/>
  <c r="G15" i="16" s="1"/>
  <c r="E15" i="16"/>
  <c r="F14" i="16"/>
  <c r="G14" i="16" s="1"/>
  <c r="E14" i="16"/>
  <c r="C9" i="16"/>
  <c r="C7" i="16"/>
  <c r="C6" i="16"/>
  <c r="A4" i="16"/>
  <c r="G2" i="16"/>
  <c r="F21" i="15"/>
  <c r="F24" i="15" s="1"/>
  <c r="F17" i="15"/>
  <c r="A5" i="15"/>
  <c r="G2" i="15"/>
  <c r="F11" i="13"/>
  <c r="E11" i="13"/>
  <c r="E13" i="13" s="1"/>
  <c r="F26" i="2" s="1"/>
  <c r="D11" i="13"/>
  <c r="C11" i="13"/>
  <c r="C13" i="13" s="1"/>
  <c r="G10" i="13"/>
  <c r="G11" i="13" s="1"/>
  <c r="G13" i="13" s="1"/>
  <c r="H26" i="2" s="1"/>
  <c r="P31" i="11"/>
  <c r="O31" i="11"/>
  <c r="N31" i="11"/>
  <c r="M31" i="11"/>
  <c r="L31" i="11"/>
  <c r="K31" i="11"/>
  <c r="I31" i="11"/>
  <c r="H31" i="11"/>
  <c r="G31" i="11"/>
  <c r="F31" i="11"/>
  <c r="A22" i="11"/>
  <c r="A23" i="11" s="1"/>
  <c r="V20" i="11"/>
  <c r="U20" i="11"/>
  <c r="T20" i="11"/>
  <c r="S20" i="11"/>
  <c r="R20" i="11"/>
  <c r="Q20" i="11"/>
  <c r="U19" i="11"/>
  <c r="T19" i="11"/>
  <c r="S19" i="11"/>
  <c r="R19" i="11"/>
  <c r="Q19" i="11"/>
  <c r="A10" i="11"/>
  <c r="A11" i="11" s="1"/>
  <c r="A12" i="11" s="1"/>
  <c r="A13" i="11" s="1"/>
  <c r="A14" i="11" s="1"/>
  <c r="A15" i="11" s="1"/>
  <c r="A16" i="11" s="1"/>
  <c r="A17" i="11" s="1"/>
  <c r="A18" i="11" s="1"/>
  <c r="U9" i="11"/>
  <c r="T9" i="11"/>
  <c r="S9" i="11"/>
  <c r="R9" i="11"/>
  <c r="Q9" i="11"/>
  <c r="J9" i="11"/>
  <c r="V9" i="11" s="1"/>
  <c r="K12" i="10"/>
  <c r="I12" i="10"/>
  <c r="H12" i="10"/>
  <c r="G12" i="10"/>
  <c r="F12" i="10"/>
  <c r="K10" i="10"/>
  <c r="I10" i="10"/>
  <c r="H10" i="10"/>
  <c r="G10" i="10"/>
  <c r="F10" i="10"/>
  <c r="K9" i="10"/>
  <c r="I9" i="10"/>
  <c r="H9" i="10"/>
  <c r="G9" i="10"/>
  <c r="F9" i="10"/>
  <c r="A9" i="10"/>
  <c r="A10" i="10" s="1"/>
  <c r="K8" i="10"/>
  <c r="I8" i="10"/>
  <c r="H8" i="10"/>
  <c r="G8" i="10"/>
  <c r="F8" i="10"/>
  <c r="X27" i="9"/>
  <c r="X25" i="9"/>
  <c r="X22" i="9"/>
  <c r="W22" i="9"/>
  <c r="D12" i="13" l="1"/>
  <c r="F12" i="13"/>
  <c r="F13" i="13" s="1"/>
  <c r="G26" i="2" s="1"/>
  <c r="K16" i="10"/>
  <c r="H16" i="10"/>
  <c r="F16" i="10"/>
  <c r="U12" i="9" s="1"/>
  <c r="W12" i="9" s="1"/>
  <c r="G16" i="10"/>
  <c r="I16" i="10"/>
  <c r="AA12" i="9"/>
  <c r="Z13" i="9"/>
  <c r="E11" i="21"/>
  <c r="G11" i="21" s="1"/>
  <c r="G10" i="21"/>
  <c r="Q31" i="11"/>
  <c r="U31" i="11"/>
  <c r="T31" i="11"/>
  <c r="F33" i="2"/>
  <c r="P33" i="2" s="1"/>
  <c r="R31" i="11"/>
  <c r="D29" i="16"/>
  <c r="S31" i="11"/>
  <c r="S33" i="2"/>
  <c r="X24" i="9"/>
  <c r="X23" i="9"/>
  <c r="C5" i="16"/>
  <c r="C8" i="16" s="1"/>
  <c r="D70" i="16"/>
  <c r="D74" i="16" s="1"/>
  <c r="D75" i="16" s="1"/>
  <c r="D76" i="16" s="1"/>
  <c r="F48" i="2"/>
  <c r="AB15" i="9"/>
  <c r="J9" i="10"/>
  <c r="J12" i="10"/>
  <c r="J10" i="10"/>
  <c r="W30" i="9"/>
  <c r="W29" i="9"/>
  <c r="E47" i="16"/>
  <c r="I41" i="7"/>
  <c r="J41" i="7" s="1"/>
  <c r="E40" i="16"/>
  <c r="E51" i="16"/>
  <c r="E56" i="16"/>
  <c r="E49" i="16"/>
  <c r="E26" i="16"/>
  <c r="E28" i="16"/>
  <c r="D67" i="16"/>
  <c r="E39" i="16"/>
  <c r="E41" i="16"/>
  <c r="E43" i="16"/>
  <c r="E48" i="16"/>
  <c r="E50" i="16"/>
  <c r="F26" i="15"/>
  <c r="D11" i="21"/>
  <c r="F11" i="21" s="1"/>
  <c r="E15" i="21"/>
  <c r="G26" i="18"/>
  <c r="G29" i="18" s="1"/>
  <c r="E16" i="16"/>
  <c r="E31" i="16"/>
  <c r="E32" i="16"/>
  <c r="E37" i="16"/>
  <c r="F16" i="16"/>
  <c r="G16" i="16" s="1"/>
  <c r="F31" i="16"/>
  <c r="G31" i="16" s="1"/>
  <c r="J19" i="11"/>
  <c r="J8" i="10"/>
  <c r="D13" i="13" l="1"/>
  <c r="E26" i="2" s="1"/>
  <c r="E48" i="2" s="1"/>
  <c r="D42" i="5"/>
  <c r="J16" i="10"/>
  <c r="G17" i="10"/>
  <c r="F20" i="10"/>
  <c r="O26" i="2"/>
  <c r="F18" i="10"/>
  <c r="G15" i="21"/>
  <c r="E16" i="21"/>
  <c r="I11" i="20" s="1"/>
  <c r="Z12" i="9"/>
  <c r="P26" i="2"/>
  <c r="D12" i="21"/>
  <c r="F12" i="21" s="1"/>
  <c r="J31" i="11"/>
  <c r="V19" i="11"/>
  <c r="V31" i="11" s="1"/>
  <c r="U11" i="9" l="1"/>
  <c r="W11" i="9" s="1"/>
  <c r="X12" i="9"/>
  <c r="I19" i="10"/>
  <c r="D12" i="5"/>
  <c r="G16" i="21"/>
  <c r="D13" i="21"/>
  <c r="F13" i="21" s="1"/>
  <c r="AA11" i="9" l="1"/>
  <c r="V94" i="9"/>
  <c r="Z11" i="9"/>
  <c r="I20" i="10"/>
  <c r="D14" i="21"/>
  <c r="F14" i="21" s="1"/>
  <c r="D15" i="21" l="1"/>
  <c r="F15" i="21" s="1"/>
  <c r="D16" i="21" l="1"/>
  <c r="F16" i="21" s="1"/>
  <c r="D17" i="21" l="1"/>
  <c r="F17" i="21" s="1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8" i="7" s="1"/>
  <c r="A59" i="7" s="1"/>
  <c r="A60" i="7" s="1"/>
  <c r="A61" i="7" s="1"/>
  <c r="A62" i="7" s="1"/>
  <c r="A63" i="7" s="1"/>
  <c r="A64" i="7" s="1"/>
  <c r="A65" i="7" s="1"/>
  <c r="A66" i="7" s="1"/>
  <c r="D42" i="7"/>
  <c r="C42" i="7"/>
  <c r="D15" i="7"/>
  <c r="C15" i="7"/>
  <c r="D14" i="7"/>
  <c r="C14" i="7"/>
  <c r="D13" i="7"/>
  <c r="C13" i="7"/>
  <c r="D12" i="7"/>
  <c r="C12" i="7"/>
  <c r="D9" i="7"/>
  <c r="C9" i="7"/>
  <c r="D8" i="7"/>
  <c r="C8" i="7"/>
  <c r="D7" i="7"/>
  <c r="D69" i="5"/>
  <c r="D68" i="5"/>
  <c r="E47" i="5"/>
  <c r="E74" i="5" s="1"/>
  <c r="E41" i="5"/>
  <c r="E39" i="5"/>
  <c r="D39" i="5"/>
  <c r="E27" i="5"/>
  <c r="E25" i="5"/>
  <c r="E19" i="5"/>
  <c r="E14" i="5"/>
  <c r="H58" i="4"/>
  <c r="O58" i="4" s="1"/>
  <c r="H57" i="4"/>
  <c r="O57" i="4" s="1"/>
  <c r="H56" i="4"/>
  <c r="O56" i="4" s="1"/>
  <c r="H55" i="4"/>
  <c r="O55" i="4" s="1"/>
  <c r="H54" i="4"/>
  <c r="O54" i="4" s="1"/>
  <c r="G49" i="7"/>
  <c r="R49" i="7" s="1"/>
  <c r="H51" i="4"/>
  <c r="O51" i="4" s="1"/>
  <c r="H50" i="4"/>
  <c r="O50" i="4" s="1"/>
  <c r="F49" i="4"/>
  <c r="F73" i="4" s="1"/>
  <c r="J48" i="4"/>
  <c r="G43" i="7"/>
  <c r="R43" i="7" s="1"/>
  <c r="A47" i="4"/>
  <c r="A48" i="4" s="1"/>
  <c r="A49" i="4" s="1"/>
  <c r="A50" i="4" s="1"/>
  <c r="A51" i="4" s="1"/>
  <c r="H46" i="4"/>
  <c r="O46" i="4" s="1"/>
  <c r="P46" i="4" s="1"/>
  <c r="G14" i="7"/>
  <c r="G13" i="7"/>
  <c r="R13" i="7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G48" i="3"/>
  <c r="G55" i="3" s="1"/>
  <c r="F48" i="3"/>
  <c r="F55" i="3" s="1"/>
  <c r="C48" i="3"/>
  <c r="H48" i="3"/>
  <c r="H55" i="3" s="1"/>
  <c r="E48" i="3"/>
  <c r="E55" i="3" s="1"/>
  <c r="H33" i="2"/>
  <c r="R33" i="2" s="1"/>
  <c r="H32" i="2"/>
  <c r="R32" i="2" s="1"/>
  <c r="H7" i="2"/>
  <c r="D21" i="1"/>
  <c r="D20" i="1"/>
  <c r="D19" i="1"/>
  <c r="D18" i="1"/>
  <c r="D15" i="1"/>
  <c r="D14" i="1"/>
  <c r="D12" i="1"/>
  <c r="C12" i="1"/>
  <c r="D11" i="1"/>
  <c r="C11" i="1"/>
  <c r="D74" i="5" l="1"/>
  <c r="J73" i="4"/>
  <c r="E49" i="3"/>
  <c r="S48" i="4"/>
  <c r="S73" i="4" s="1"/>
  <c r="P48" i="4"/>
  <c r="F49" i="3"/>
  <c r="R14" i="7"/>
  <c r="M14" i="7"/>
  <c r="G42" i="7"/>
  <c r="R42" i="7" s="1"/>
  <c r="G50" i="7"/>
  <c r="R50" i="7" s="1"/>
  <c r="P54" i="4"/>
  <c r="G54" i="7"/>
  <c r="P58" i="4"/>
  <c r="G9" i="7"/>
  <c r="R9" i="7" s="1"/>
  <c r="O13" i="4"/>
  <c r="P13" i="4" s="1"/>
  <c r="G53" i="7"/>
  <c r="P57" i="4"/>
  <c r="G8" i="7"/>
  <c r="R8" i="7" s="1"/>
  <c r="O12" i="4"/>
  <c r="P12" i="4" s="1"/>
  <c r="G46" i="7"/>
  <c r="R46" i="7" s="1"/>
  <c r="P50" i="4"/>
  <c r="G51" i="7"/>
  <c r="P55" i="4"/>
  <c r="G7" i="7"/>
  <c r="H7" i="7" s="1"/>
  <c r="O11" i="4"/>
  <c r="P11" i="4" s="1"/>
  <c r="G47" i="7"/>
  <c r="M47" i="7" s="1"/>
  <c r="P51" i="4"/>
  <c r="G52" i="7"/>
  <c r="R52" i="7" s="1"/>
  <c r="P56" i="4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H13" i="7"/>
  <c r="H14" i="7"/>
  <c r="M49" i="7"/>
  <c r="H49" i="7"/>
  <c r="C49" i="3"/>
  <c r="C52" i="3" s="1"/>
  <c r="D18" i="21"/>
  <c r="F18" i="21" s="1"/>
  <c r="G44" i="7"/>
  <c r="R44" i="7" s="1"/>
  <c r="F44" i="7"/>
  <c r="H49" i="4"/>
  <c r="O49" i="4" s="1"/>
  <c r="F45" i="7"/>
  <c r="E48" i="7"/>
  <c r="E68" i="7" s="1"/>
  <c r="S43" i="7"/>
  <c r="T43" i="7" s="1"/>
  <c r="V43" i="7" s="1"/>
  <c r="M43" i="7"/>
  <c r="H43" i="7"/>
  <c r="I43" i="7" s="1"/>
  <c r="J43" i="7" s="1"/>
  <c r="L43" i="7" s="1"/>
  <c r="M12" i="7"/>
  <c r="I12" i="7"/>
  <c r="J12" i="7" s="1"/>
  <c r="L12" i="7" s="1"/>
  <c r="M13" i="7"/>
  <c r="G15" i="7"/>
  <c r="R15" i="7" s="1"/>
  <c r="F15" i="7"/>
  <c r="R26" i="2"/>
  <c r="Q26" i="2"/>
  <c r="G49" i="3"/>
  <c r="H49" i="3"/>
  <c r="G33" i="2"/>
  <c r="Q33" i="2" s="1"/>
  <c r="J75" i="4" l="1"/>
  <c r="E56" i="3"/>
  <c r="P43" i="4"/>
  <c r="N43" i="7"/>
  <c r="O43" i="7" s="1"/>
  <c r="Q43" i="7" s="1"/>
  <c r="N49" i="7"/>
  <c r="O49" i="7" s="1"/>
  <c r="Q49" i="7" s="1"/>
  <c r="I7" i="7"/>
  <c r="H53" i="7"/>
  <c r="I53" i="7" s="1"/>
  <c r="J53" i="7" s="1"/>
  <c r="L53" i="7" s="1"/>
  <c r="R53" i="7"/>
  <c r="S53" i="7" s="1"/>
  <c r="T53" i="7" s="1"/>
  <c r="V53" i="7" s="1"/>
  <c r="H54" i="7"/>
  <c r="I54" i="7" s="1"/>
  <c r="J54" i="7" s="1"/>
  <c r="L54" i="7" s="1"/>
  <c r="R54" i="7"/>
  <c r="S54" i="7" s="1"/>
  <c r="T54" i="7" s="1"/>
  <c r="V54" i="7" s="1"/>
  <c r="H47" i="7"/>
  <c r="I47" i="7" s="1"/>
  <c r="J47" i="7" s="1"/>
  <c r="L47" i="7" s="1"/>
  <c r="R47" i="7"/>
  <c r="S47" i="7" s="1"/>
  <c r="T47" i="7" s="1"/>
  <c r="V47" i="7" s="1"/>
  <c r="R51" i="7"/>
  <c r="S51" i="7" s="1"/>
  <c r="T51" i="7" s="1"/>
  <c r="V51" i="7" s="1"/>
  <c r="H52" i="7"/>
  <c r="I52" i="7" s="1"/>
  <c r="J52" i="7" s="1"/>
  <c r="L52" i="7" s="1"/>
  <c r="M50" i="7"/>
  <c r="H8" i="7"/>
  <c r="I8" i="7" s="1"/>
  <c r="J8" i="7" s="1"/>
  <c r="M51" i="7"/>
  <c r="M8" i="7"/>
  <c r="N8" i="7" s="1"/>
  <c r="O8" i="7" s="1"/>
  <c r="Q8" i="7" s="1"/>
  <c r="H51" i="7"/>
  <c r="I51" i="7" s="1"/>
  <c r="J51" i="7" s="1"/>
  <c r="L51" i="7" s="1"/>
  <c r="H50" i="7"/>
  <c r="I50" i="7" s="1"/>
  <c r="H9" i="7"/>
  <c r="I9" i="7" s="1"/>
  <c r="J9" i="7" s="1"/>
  <c r="L9" i="7" s="1"/>
  <c r="M9" i="7"/>
  <c r="M52" i="7"/>
  <c r="G45" i="7"/>
  <c r="P49" i="4"/>
  <c r="R7" i="7"/>
  <c r="M7" i="7"/>
  <c r="H42" i="7"/>
  <c r="I42" i="7" s="1"/>
  <c r="J42" i="7" s="1"/>
  <c r="L42" i="7" s="1"/>
  <c r="H46" i="7"/>
  <c r="I46" i="7" s="1"/>
  <c r="J46" i="7" s="1"/>
  <c r="L46" i="7" s="1"/>
  <c r="M53" i="7"/>
  <c r="M42" i="7"/>
  <c r="M46" i="7"/>
  <c r="M54" i="7"/>
  <c r="H15" i="7"/>
  <c r="D19" i="21"/>
  <c r="G30" i="2"/>
  <c r="Q30" i="2" s="1"/>
  <c r="E30" i="2"/>
  <c r="O30" i="2" s="1"/>
  <c r="S50" i="7"/>
  <c r="T50" i="7" s="1"/>
  <c r="V50" i="7" s="1"/>
  <c r="H44" i="7"/>
  <c r="I44" i="7" s="1"/>
  <c r="J44" i="7" s="1"/>
  <c r="L44" i="7" s="1"/>
  <c r="M44" i="7"/>
  <c r="S52" i="7"/>
  <c r="T52" i="7" s="1"/>
  <c r="V52" i="7" s="1"/>
  <c r="F48" i="7"/>
  <c r="F68" i="7" s="1"/>
  <c r="S49" i="7"/>
  <c r="T49" i="7" s="1"/>
  <c r="V49" i="7" s="1"/>
  <c r="I49" i="7"/>
  <c r="J49" i="7" s="1"/>
  <c r="L49" i="7" s="1"/>
  <c r="S44" i="7"/>
  <c r="T44" i="7" s="1"/>
  <c r="V44" i="7" s="1"/>
  <c r="S14" i="7"/>
  <c r="T14" i="7" s="1"/>
  <c r="S42" i="7"/>
  <c r="T42" i="7" s="1"/>
  <c r="V42" i="7" s="1"/>
  <c r="I13" i="7"/>
  <c r="S9" i="7"/>
  <c r="T9" i="7" s="1"/>
  <c r="S12" i="7"/>
  <c r="T12" i="7" s="1"/>
  <c r="N13" i="7"/>
  <c r="O13" i="7" s="1"/>
  <c r="S8" i="7"/>
  <c r="I14" i="7"/>
  <c r="J14" i="7" s="1"/>
  <c r="L14" i="7" s="1"/>
  <c r="S46" i="7"/>
  <c r="T46" i="7" s="1"/>
  <c r="V46" i="7" s="1"/>
  <c r="S13" i="7"/>
  <c r="T13" i="7" s="1"/>
  <c r="N14" i="7"/>
  <c r="N12" i="7"/>
  <c r="O12" i="7" s="1"/>
  <c r="M15" i="7"/>
  <c r="G48" i="7"/>
  <c r="R48" i="7" s="1"/>
  <c r="E57" i="3" l="1"/>
  <c r="H57" i="3"/>
  <c r="H59" i="3" s="1"/>
  <c r="F57" i="3"/>
  <c r="P73" i="4"/>
  <c r="P75" i="4" s="1"/>
  <c r="H39" i="7"/>
  <c r="D20" i="21"/>
  <c r="F20" i="21" s="1"/>
  <c r="F19" i="21"/>
  <c r="J7" i="7"/>
  <c r="I23" i="21"/>
  <c r="F30" i="2"/>
  <c r="P30" i="2" s="1"/>
  <c r="N54" i="7"/>
  <c r="O54" i="7" s="1"/>
  <c r="Q54" i="7" s="1"/>
  <c r="N47" i="7"/>
  <c r="O47" i="7" s="1"/>
  <c r="Q47" i="7" s="1"/>
  <c r="N44" i="7"/>
  <c r="O44" i="7" s="1"/>
  <c r="N46" i="7"/>
  <c r="O46" i="7" s="1"/>
  <c r="N53" i="7"/>
  <c r="O53" i="7" s="1"/>
  <c r="N50" i="7"/>
  <c r="O50" i="7" s="1"/>
  <c r="N42" i="7"/>
  <c r="O42" i="7" s="1"/>
  <c r="N52" i="7"/>
  <c r="O52" i="7" s="1"/>
  <c r="Q52" i="7" s="1"/>
  <c r="N51" i="7"/>
  <c r="O51" i="7" s="1"/>
  <c r="Q51" i="7" s="1"/>
  <c r="N9" i="7"/>
  <c r="O9" i="7" s="1"/>
  <c r="Q9" i="7" s="1"/>
  <c r="R45" i="7"/>
  <c r="S45" i="7" s="1"/>
  <c r="T45" i="7" s="1"/>
  <c r="V45" i="7" s="1"/>
  <c r="S7" i="7"/>
  <c r="M45" i="7"/>
  <c r="H45" i="7"/>
  <c r="I45" i="7" s="1"/>
  <c r="J45" i="7" s="1"/>
  <c r="L45" i="7" s="1"/>
  <c r="N7" i="7"/>
  <c r="K7" i="20"/>
  <c r="E17" i="21"/>
  <c r="J11" i="20" s="1"/>
  <c r="J50" i="7"/>
  <c r="S48" i="7"/>
  <c r="T48" i="7" s="1"/>
  <c r="V48" i="7" s="1"/>
  <c r="M48" i="7"/>
  <c r="H48" i="7"/>
  <c r="T8" i="7"/>
  <c r="V8" i="7" s="1"/>
  <c r="Q13" i="7"/>
  <c r="V14" i="7"/>
  <c r="L8" i="7"/>
  <c r="V12" i="7"/>
  <c r="O14" i="7"/>
  <c r="Q14" i="7" s="1"/>
  <c r="Q12" i="7"/>
  <c r="V13" i="7"/>
  <c r="V9" i="7"/>
  <c r="J13" i="7"/>
  <c r="L13" i="7" s="1"/>
  <c r="S15" i="7"/>
  <c r="T15" i="7" s="1"/>
  <c r="I15" i="7"/>
  <c r="I39" i="7" s="1"/>
  <c r="N15" i="7"/>
  <c r="H68" i="7" l="1"/>
  <c r="Q44" i="7"/>
  <c r="L7" i="7"/>
  <c r="H30" i="2"/>
  <c r="R30" i="2" s="1"/>
  <c r="Q42" i="7"/>
  <c r="Q53" i="7"/>
  <c r="O7" i="7"/>
  <c r="T7" i="7"/>
  <c r="Q46" i="7"/>
  <c r="Q50" i="7"/>
  <c r="N48" i="7"/>
  <c r="O48" i="7" s="1"/>
  <c r="Q48" i="7" s="1"/>
  <c r="N45" i="7"/>
  <c r="O45" i="7" s="1"/>
  <c r="V2" i="20"/>
  <c r="I36" i="2"/>
  <c r="D21" i="21"/>
  <c r="F21" i="21" s="1"/>
  <c r="E18" i="21"/>
  <c r="E19" i="21" s="1"/>
  <c r="H50" i="3"/>
  <c r="H51" i="3" s="1"/>
  <c r="H52" i="3" s="1"/>
  <c r="G50" i="3"/>
  <c r="G51" i="3" s="1"/>
  <c r="G17" i="21"/>
  <c r="I48" i="7"/>
  <c r="J48" i="7" s="1"/>
  <c r="L48" i="7" s="1"/>
  <c r="L50" i="7"/>
  <c r="V15" i="7"/>
  <c r="O15" i="7"/>
  <c r="J15" i="7"/>
  <c r="J39" i="7" s="1"/>
  <c r="I68" i="7" l="1"/>
  <c r="C34" i="5"/>
  <c r="H75" i="7"/>
  <c r="Q7" i="7"/>
  <c r="V7" i="7"/>
  <c r="Q45" i="7"/>
  <c r="L11" i="20"/>
  <c r="E20" i="21"/>
  <c r="E21" i="21" s="1"/>
  <c r="G19" i="21"/>
  <c r="D22" i="21"/>
  <c r="F22" i="21" s="1"/>
  <c r="K11" i="20"/>
  <c r="G18" i="21"/>
  <c r="H25" i="2"/>
  <c r="R25" i="2" s="1"/>
  <c r="G52" i="3"/>
  <c r="Q15" i="7"/>
  <c r="L15" i="7"/>
  <c r="E22" i="21" l="1"/>
  <c r="G22" i="21" s="1"/>
  <c r="N11" i="20"/>
  <c r="G21" i="21"/>
  <c r="G25" i="2"/>
  <c r="G20" i="21"/>
  <c r="D23" i="21"/>
  <c r="H27" i="2"/>
  <c r="C16" i="5"/>
  <c r="G27" i="2" l="1"/>
  <c r="G36" i="24"/>
  <c r="G37" i="24" s="1"/>
  <c r="I26" i="2"/>
  <c r="Q56" i="4"/>
  <c r="D24" i="21"/>
  <c r="F24" i="21" s="1"/>
  <c r="F23" i="21"/>
  <c r="E23" i="21"/>
  <c r="O11" i="20"/>
  <c r="R6" i="4"/>
  <c r="Q25" i="2"/>
  <c r="J29" i="9"/>
  <c r="J92" i="9" s="1"/>
  <c r="J6" i="3" l="1"/>
  <c r="S25" i="2"/>
  <c r="K6" i="3" s="1"/>
  <c r="P11" i="20"/>
  <c r="E24" i="21"/>
  <c r="G23" i="21"/>
  <c r="J94" i="9"/>
  <c r="R7" i="4"/>
  <c r="O2" i="4"/>
  <c r="D25" i="21"/>
  <c r="F25" i="21" s="1"/>
  <c r="X29" i="9"/>
  <c r="Q11" i="20" l="1"/>
  <c r="E25" i="21"/>
  <c r="G25" i="21" s="1"/>
  <c r="G24" i="21"/>
  <c r="D26" i="21"/>
  <c r="X30" i="9"/>
  <c r="X92" i="9" s="1"/>
  <c r="D27" i="21" l="1"/>
  <c r="F27" i="21" s="1"/>
  <c r="F26" i="21"/>
  <c r="E26" i="21"/>
  <c r="E27" i="21" s="1"/>
  <c r="T11" i="20" s="1"/>
  <c r="R11" i="20"/>
  <c r="E28" i="21" l="1"/>
  <c r="G27" i="21"/>
  <c r="D28" i="21"/>
  <c r="F28" i="21" s="1"/>
  <c r="G26" i="21"/>
  <c r="T10" i="20"/>
  <c r="S11" i="20"/>
  <c r="U11" i="20" l="1"/>
  <c r="D29" i="21"/>
  <c r="F29" i="21" s="1"/>
  <c r="E29" i="21"/>
  <c r="V11" i="20" s="1"/>
  <c r="G28" i="21"/>
  <c r="X94" i="9"/>
  <c r="AA13" i="9"/>
  <c r="U10" i="20"/>
  <c r="E30" i="21" l="1"/>
  <c r="G29" i="21"/>
  <c r="D30" i="21"/>
  <c r="V10" i="20"/>
  <c r="G24" i="15"/>
  <c r="G26" i="15" s="1"/>
  <c r="E31" i="21" l="1"/>
  <c r="W11" i="20"/>
  <c r="G31" i="21"/>
  <c r="H13" i="2" s="1"/>
  <c r="G13" i="2"/>
  <c r="J24" i="21"/>
  <c r="G30" i="21"/>
  <c r="F30" i="21"/>
  <c r="D31" i="21"/>
  <c r="X11" i="20" s="1"/>
  <c r="W10" i="20"/>
  <c r="E50" i="3"/>
  <c r="D43" i="5" s="1"/>
  <c r="A42" i="5" s="1"/>
  <c r="A44" i="5" s="1"/>
  <c r="P35" i="24" s="1"/>
  <c r="F31" i="21" l="1"/>
  <c r="H12" i="2" s="1"/>
  <c r="G12" i="2"/>
  <c r="D33" i="21"/>
  <c r="X10" i="20"/>
  <c r="I28" i="21"/>
  <c r="R60" i="7"/>
  <c r="K75" i="4"/>
  <c r="E51" i="3"/>
  <c r="N60" i="7"/>
  <c r="E52" i="3" l="1"/>
  <c r="E25" i="2" s="1"/>
  <c r="O60" i="7"/>
  <c r="F50" i="3"/>
  <c r="E43" i="5" s="1"/>
  <c r="S60" i="7"/>
  <c r="E36" i="24" l="1"/>
  <c r="E37" i="24" s="1"/>
  <c r="E27" i="2"/>
  <c r="E47" i="2"/>
  <c r="E49" i="2" s="1"/>
  <c r="E50" i="2" s="1"/>
  <c r="E51" i="2" s="1"/>
  <c r="J49" i="2"/>
  <c r="J23" i="21"/>
  <c r="J25" i="21" s="1"/>
  <c r="J26" i="21" s="1"/>
  <c r="O25" i="2"/>
  <c r="V3" i="20"/>
  <c r="Q60" i="7"/>
  <c r="T60" i="7"/>
  <c r="F51" i="3"/>
  <c r="F52" i="3" s="1"/>
  <c r="F25" i="2" s="1"/>
  <c r="F47" i="2" l="1"/>
  <c r="F49" i="2" s="1"/>
  <c r="F50" i="2" s="1"/>
  <c r="F51" i="2" s="1"/>
  <c r="K77" i="4"/>
  <c r="D34" i="5"/>
  <c r="I29" i="2"/>
  <c r="E55" i="2"/>
  <c r="E58" i="2" s="1"/>
  <c r="E59" i="2" s="1"/>
  <c r="E52" i="2"/>
  <c r="F55" i="2"/>
  <c r="F58" i="2" s="1"/>
  <c r="F59" i="2" s="1"/>
  <c r="F52" i="2"/>
  <c r="V60" i="7"/>
  <c r="F27" i="2"/>
  <c r="E34" i="5" s="1"/>
  <c r="P25" i="2"/>
  <c r="J77" i="4" s="1"/>
  <c r="O6" i="4" l="1"/>
  <c r="F56" i="2"/>
  <c r="H56" i="2"/>
  <c r="E56" i="2"/>
  <c r="G56" i="2"/>
  <c r="K33" i="7"/>
  <c r="K39" i="7" s="1"/>
  <c r="J68" i="7" l="1"/>
  <c r="C17" i="5" s="1"/>
  <c r="K68" i="7"/>
  <c r="L33" i="7"/>
  <c r="L39" i="7" s="1"/>
  <c r="M33" i="7" l="1"/>
  <c r="M39" i="7" s="1"/>
  <c r="M68" i="7" l="1"/>
  <c r="M70" i="7" s="1"/>
  <c r="L68" i="7"/>
  <c r="C15" i="5" s="1"/>
  <c r="N33" i="7"/>
  <c r="N39" i="7" s="1"/>
  <c r="N68" i="7" s="1"/>
  <c r="C44" i="5" l="1"/>
  <c r="C75" i="5" s="1"/>
  <c r="P76" i="4"/>
  <c r="O33" i="7"/>
  <c r="O39" i="7" s="1"/>
  <c r="O68" i="7" s="1"/>
  <c r="D28" i="2" l="1"/>
  <c r="D29" i="2" s="1"/>
  <c r="D31" i="2" s="1"/>
  <c r="D34" i="2" s="1"/>
  <c r="D35" i="2" s="1"/>
  <c r="B380" i="23"/>
  <c r="B381" i="23" s="1"/>
  <c r="N70" i="7"/>
  <c r="D16" i="5"/>
  <c r="P33" i="7"/>
  <c r="P39" i="7" s="1"/>
  <c r="O70" i="7" l="1"/>
  <c r="D17" i="5"/>
  <c r="Q33" i="7"/>
  <c r="Q39" i="7" s="1"/>
  <c r="Q68" i="7" s="1"/>
  <c r="P68" i="7"/>
  <c r="P70" i="7" s="1"/>
  <c r="D37" i="2" l="1"/>
  <c r="D38" i="2" s="1"/>
  <c r="R33" i="7"/>
  <c r="R39" i="7" s="1"/>
  <c r="R68" i="7" s="1"/>
  <c r="R70" i="7" l="1"/>
  <c r="Q70" i="7"/>
  <c r="D15" i="5"/>
  <c r="S33" i="7"/>
  <c r="S39" i="7" s="1"/>
  <c r="D44" i="5" l="1"/>
  <c r="D75" i="5" s="1"/>
  <c r="D77" i="5" s="1"/>
  <c r="T33" i="7"/>
  <c r="T39" i="7" s="1"/>
  <c r="S68" i="7"/>
  <c r="E28" i="2" l="1"/>
  <c r="E16" i="5"/>
  <c r="S70" i="7"/>
  <c r="U33" i="7"/>
  <c r="U39" i="7" s="1"/>
  <c r="T68" i="7"/>
  <c r="E29" i="2" l="1"/>
  <c r="O28" i="2"/>
  <c r="G28" i="2"/>
  <c r="T70" i="7"/>
  <c r="E17" i="5"/>
  <c r="V33" i="7"/>
  <c r="V39" i="7" s="1"/>
  <c r="U68" i="7"/>
  <c r="U70" i="7" s="1"/>
  <c r="V68" i="7" l="1"/>
  <c r="S28" i="2"/>
  <c r="G29" i="2"/>
  <c r="Q28" i="2"/>
  <c r="O29" i="2"/>
  <c r="E31" i="2"/>
  <c r="E34" i="2" s="1"/>
  <c r="V70" i="7" l="1"/>
  <c r="E15" i="5"/>
  <c r="Q29" i="2"/>
  <c r="G31" i="2"/>
  <c r="G34" i="2" s="1"/>
  <c r="O31" i="2"/>
  <c r="E44" i="5" l="1"/>
  <c r="E75" i="5" s="1"/>
  <c r="E77" i="5" s="1"/>
  <c r="E35" i="2"/>
  <c r="E37" i="2"/>
  <c r="G37" i="2"/>
  <c r="G38" i="2" s="1"/>
  <c r="Q31" i="2"/>
  <c r="O34" i="2"/>
  <c r="F28" i="2" l="1"/>
  <c r="F29" i="2" s="1"/>
  <c r="E38" i="2"/>
  <c r="G35" i="2"/>
  <c r="H28" i="2" l="1"/>
  <c r="R28" i="2" s="1"/>
  <c r="P28" i="2"/>
  <c r="T28" i="2" s="1"/>
  <c r="G17" i="5" s="1"/>
  <c r="F31" i="2"/>
  <c r="F34" i="2" s="1"/>
  <c r="P29" i="2"/>
  <c r="H29" i="2" l="1"/>
  <c r="H31" i="2" s="1"/>
  <c r="P31" i="2"/>
  <c r="R29" i="2" l="1"/>
  <c r="F37" i="2"/>
  <c r="P34" i="2"/>
  <c r="F35" i="2"/>
  <c r="H34" i="2"/>
  <c r="H37" i="2" s="1"/>
  <c r="H38" i="2" s="1"/>
  <c r="R31" i="2"/>
  <c r="F38" i="2" l="1"/>
  <c r="H35" i="2"/>
  <c r="M47" i="2" l="1"/>
  <c r="M48" i="2" s="1"/>
  <c r="O21" i="2"/>
  <c r="Q21" i="2"/>
  <c r="Z10" i="9" l="1"/>
  <c r="AA10" i="9"/>
  <c r="AB11" i="9"/>
  <c r="AB12" i="9" s="1"/>
  <c r="E20" i="10"/>
  <c r="AD10" i="9"/>
</calcChain>
</file>

<file path=xl/sharedStrings.xml><?xml version="1.0" encoding="utf-8"?>
<sst xmlns="http://schemas.openxmlformats.org/spreadsheetml/2006/main" count="1747" uniqueCount="903">
  <si>
    <t>SUMMARY OF MONTHLY MONITORING REPORT</t>
  </si>
  <si>
    <t>Re-Modelling and Up Gradation of ADA Nullah and Walton Road Pkg-I</t>
  </si>
  <si>
    <t>Rs in Million</t>
  </si>
  <si>
    <t>Proj Con</t>
  </si>
  <si>
    <t>Name of Proj</t>
  </si>
  <si>
    <t>Month</t>
  </si>
  <si>
    <t>Progress</t>
  </si>
  <si>
    <t>a.</t>
  </si>
  <si>
    <t>Physical</t>
  </si>
  <si>
    <t>As per Contract Cost</t>
  </si>
  <si>
    <t>Schedule of Proj</t>
  </si>
  <si>
    <t xml:space="preserve">Start Date of Project </t>
  </si>
  <si>
    <t>b.</t>
  </si>
  <si>
    <t>CA Date of Completion</t>
  </si>
  <si>
    <t>c.</t>
  </si>
  <si>
    <t>Date of Completion as per actual site.</t>
  </si>
  <si>
    <t>Financial State</t>
  </si>
  <si>
    <t>Original Cost of Proj</t>
  </si>
  <si>
    <t>Revised Cost (approx) Addl Work</t>
  </si>
  <si>
    <t>Funds Received from Client</t>
  </si>
  <si>
    <t>d.</t>
  </si>
  <si>
    <t xml:space="preserve">Cost of Work upto Previous Month Incl Escl </t>
  </si>
  <si>
    <t>e.</t>
  </si>
  <si>
    <t>Cost of Work Done during the month by Proj Con / Own WD</t>
  </si>
  <si>
    <t>f.</t>
  </si>
  <si>
    <t>Cost of Work Done during the month by Petty Contrs</t>
  </si>
  <si>
    <t>g.</t>
  </si>
  <si>
    <t>Total Cost of Work Done during the month by Proj Con / Hired Lab &amp; Petty Contrs (e+f) incl ESCL</t>
  </si>
  <si>
    <t>h.</t>
  </si>
  <si>
    <t>Total Cost of Work Done till to date (g+d)</t>
  </si>
  <si>
    <t>j.</t>
  </si>
  <si>
    <t>Other Income against (MT, Lab &amp; Handling Charges)</t>
  </si>
  <si>
    <t>k.</t>
  </si>
  <si>
    <t>Total Revenue (j+h)</t>
  </si>
  <si>
    <t>l.</t>
  </si>
  <si>
    <t>Assets</t>
  </si>
  <si>
    <t>m.</t>
  </si>
  <si>
    <t>Exp upto last month</t>
  </si>
  <si>
    <t>n.</t>
  </si>
  <si>
    <t xml:space="preserve">Exp during the month </t>
  </si>
  <si>
    <t>o.</t>
  </si>
  <si>
    <t>Total Exp till to date  (m+n)</t>
  </si>
  <si>
    <t>p.</t>
  </si>
  <si>
    <t>Liabilities till to date as per Anx 'M'</t>
  </si>
  <si>
    <t>q.</t>
  </si>
  <si>
    <t xml:space="preserve">Total Cost of work done  excl Escl </t>
  </si>
  <si>
    <t>r.</t>
  </si>
  <si>
    <t>Total Cost of vetted work</t>
  </si>
  <si>
    <t>s.</t>
  </si>
  <si>
    <t>Slippage (q-r)</t>
  </si>
  <si>
    <t>t.</t>
  </si>
  <si>
    <t>Escalation claimed / Other Claims</t>
  </si>
  <si>
    <t>u.</t>
  </si>
  <si>
    <t>Any Other Claims</t>
  </si>
  <si>
    <t>v.</t>
  </si>
  <si>
    <t>Financial Health</t>
  </si>
  <si>
    <t xml:space="preserve">(1) Based on vetted work done </t>
  </si>
  <si>
    <t xml:space="preserve">(2) Based on Work Done </t>
  </si>
  <si>
    <t>Reasons for Delay in Progress</t>
  </si>
  <si>
    <t>Any Special Activity Carried out</t>
  </si>
  <si>
    <t>Remarks:</t>
  </si>
  <si>
    <t>Anx 'A'</t>
  </si>
  <si>
    <t>Schedule of Project</t>
  </si>
  <si>
    <t>a. Date of Commencement</t>
  </si>
  <si>
    <t>b. Date of Completion</t>
  </si>
  <si>
    <t>Client / Consultant</t>
  </si>
  <si>
    <t>CBD /NESPAK</t>
  </si>
  <si>
    <t>UPTO DATE WORK</t>
  </si>
  <si>
    <t>Work Done</t>
  </si>
  <si>
    <t>Rs (Million)</t>
  </si>
  <si>
    <t>%age</t>
  </si>
  <si>
    <t xml:space="preserve">(1) Planned Targets </t>
  </si>
  <si>
    <t xml:space="preserve">a. Original Cost of Project as per Contract Agreement </t>
  </si>
  <si>
    <t>Income State (Based on Actual Profit Achieved)</t>
  </si>
  <si>
    <t>Vetted Work</t>
  </si>
  <si>
    <t>During The Month</t>
  </si>
  <si>
    <t>Upto Date</t>
  </si>
  <si>
    <t>Year to Date</t>
  </si>
  <si>
    <t xml:space="preserve">Revenue of Proj </t>
  </si>
  <si>
    <t xml:space="preserve">Workdone </t>
  </si>
  <si>
    <t>EPC's / Other Claims</t>
  </si>
  <si>
    <t>Total Work Done</t>
  </si>
  <si>
    <t>Direct Cost</t>
  </si>
  <si>
    <t>Gross Profit</t>
  </si>
  <si>
    <t>Gen &amp; Adm Exp</t>
  </si>
  <si>
    <t>Operating Profit</t>
  </si>
  <si>
    <t>Financial Charges</t>
  </si>
  <si>
    <t>Other Income</t>
  </si>
  <si>
    <t>Net Profit (Million)</t>
  </si>
  <si>
    <t>Net Profit  %age</t>
  </si>
  <si>
    <t>Income State as per IFRS-15 (Based on Estimated/Initial Profit)</t>
  </si>
  <si>
    <t xml:space="preserve">Gross Profit % </t>
  </si>
  <si>
    <t xml:space="preserve">   </t>
  </si>
  <si>
    <t>DETAIL OF WORK DONE BY NLC / HIRED LABOUR</t>
  </si>
  <si>
    <t>SELF EXECUTION WORK</t>
  </si>
  <si>
    <t>Bill</t>
  </si>
  <si>
    <t>Activity</t>
  </si>
  <si>
    <t>Amount Rs in Million</t>
  </si>
  <si>
    <t>Vetted Workdone up to Date</t>
  </si>
  <si>
    <t xml:space="preserve">Approx cost of own works </t>
  </si>
  <si>
    <t>Work Done During the Month</t>
  </si>
  <si>
    <t>Running Total up to Date</t>
  </si>
  <si>
    <t>Running Total 
YTD</t>
  </si>
  <si>
    <t>Vetted Workdone Year to Date</t>
  </si>
  <si>
    <t>A</t>
  </si>
  <si>
    <t>ROAD WORKS</t>
  </si>
  <si>
    <t>Earthwork and Allied Activities</t>
  </si>
  <si>
    <t>Sub-Base &amp; Base Course</t>
  </si>
  <si>
    <t>Asphalt Works</t>
  </si>
  <si>
    <t>Drainage, Erosion Works &amp; Box Culverts</t>
  </si>
  <si>
    <t>B</t>
  </si>
  <si>
    <t>CONDUIT WORKS</t>
  </si>
  <si>
    <t>Conduit Works 8' x 6'</t>
  </si>
  <si>
    <t>Conduit Works 10' x 6'</t>
  </si>
  <si>
    <t>Sump &amp; Pump Disposal Station</t>
  </si>
  <si>
    <t>C</t>
  </si>
  <si>
    <t>ELEVATED U-TURNS (1 Nos) NEAR QAINCHI CHOWK</t>
  </si>
  <si>
    <t>Civil Works</t>
  </si>
  <si>
    <t>D</t>
  </si>
  <si>
    <t>ADA NULLAH</t>
  </si>
  <si>
    <t>E</t>
  </si>
  <si>
    <t>AT GRADE U-TURN (2 Nos) (NEAR KORA STOP &amp; NEAR TAIMUR ASLAM CHOWK)</t>
  </si>
  <si>
    <t>F</t>
  </si>
  <si>
    <t>ELECTRICAL WORKS</t>
  </si>
  <si>
    <t>Road Works</t>
  </si>
  <si>
    <t>Elevated U-Turn</t>
  </si>
  <si>
    <t>Underground Pedestarian</t>
  </si>
  <si>
    <t>G</t>
  </si>
  <si>
    <t>ARCHITECTURAL WORKS</t>
  </si>
  <si>
    <t>H</t>
  </si>
  <si>
    <t>UNDERGROUND PEDESTRIAN WAY (2 Nos.)</t>
  </si>
  <si>
    <t>I</t>
  </si>
  <si>
    <t>PEDESTRIAN BRIDGE (4 Nos.)</t>
  </si>
  <si>
    <t>J</t>
  </si>
  <si>
    <t>SHIFTING OF TUBEWELLS (PROVISIONAL SUM)</t>
  </si>
  <si>
    <t>DIVERSION WORKS</t>
  </si>
  <si>
    <t>G Total (Rs inMillion)</t>
  </si>
  <si>
    <t>Add PST 5%</t>
  </si>
  <si>
    <t>Add PST 5% Anx C</t>
  </si>
  <si>
    <t>Anx "C"</t>
  </si>
  <si>
    <t>DETAIL OF WORK DONE BY SUB CONTRACTORS</t>
  </si>
  <si>
    <t>Ser</t>
  </si>
  <si>
    <t>CA No.</t>
  </si>
  <si>
    <t xml:space="preserve">Contractor </t>
  </si>
  <si>
    <t>VWD</t>
  </si>
  <si>
    <t>NLC Cost</t>
  </si>
  <si>
    <t>Sub Contr Cost</t>
  </si>
  <si>
    <t>Saving</t>
  </si>
  <si>
    <t>Running Total Upto Date</t>
  </si>
  <si>
    <t>Running Total YTD</t>
  </si>
  <si>
    <t>Vetted Work Done up to Date</t>
  </si>
  <si>
    <t>Vetted Work Done YTD</t>
  </si>
  <si>
    <t>Petty Contract</t>
  </si>
  <si>
    <t xml:space="preserve"> (M/S Saddaqat Builders) Part A</t>
  </si>
  <si>
    <t>Road Diversion Work</t>
  </si>
  <si>
    <t xml:space="preserve"> (M/S Saddaqat Builders) Part B</t>
  </si>
  <si>
    <t xml:space="preserve"> (M/S Saddaqat Builders) Part C</t>
  </si>
  <si>
    <t xml:space="preserve"> (M/S Saddaqat Builders)</t>
  </si>
  <si>
    <t>72 Pipe Sewrage Work</t>
  </si>
  <si>
    <t>66 Pipe Sewrage Work</t>
  </si>
  <si>
    <t xml:space="preserve"> (M/S Zashpak Engineering Service)  </t>
  </si>
  <si>
    <t>Diversion Acillary  Work</t>
  </si>
  <si>
    <t xml:space="preserve"> (M/S Choudary Son)  </t>
  </si>
  <si>
    <t>Diversion Work</t>
  </si>
  <si>
    <t xml:space="preserve"> (M/S Sapper &amp; Co)  </t>
  </si>
  <si>
    <t>Disposal - 02</t>
  </si>
  <si>
    <t>Sublet Contract</t>
  </si>
  <si>
    <t>Inprogress</t>
  </si>
  <si>
    <t xml:space="preserve"> (M/S Saddaqat Builders)   Sewerage</t>
  </si>
  <si>
    <t>Sewrage Work</t>
  </si>
  <si>
    <t xml:space="preserve"> (M/S Yukon Builders &amp; Developers)  (Conduite &amp; Disposal Satation)</t>
  </si>
  <si>
    <t xml:space="preserve"> (M/S Yukon Builders &amp; Developers)  </t>
  </si>
  <si>
    <t>Road works</t>
  </si>
  <si>
    <t>M/s STC</t>
  </si>
  <si>
    <t>Conduit Works &amp; Rider Sewerage Work</t>
  </si>
  <si>
    <t>M/s EDDCO</t>
  </si>
  <si>
    <t>Conduit Work</t>
  </si>
  <si>
    <t>Fly-over</t>
  </si>
  <si>
    <t>Disposal - 01</t>
  </si>
  <si>
    <t>(M/S North Land</t>
  </si>
  <si>
    <t>Route 47 / Garrasion</t>
  </si>
  <si>
    <t xml:space="preserve">(M/S Saddaqat Builders)    </t>
  </si>
  <si>
    <t>ADA Nullah</t>
  </si>
  <si>
    <t xml:space="preserve"> M/s STC</t>
  </si>
  <si>
    <t>Total (Rs in Million)</t>
  </si>
  <si>
    <t>Anx "D"</t>
  </si>
  <si>
    <t>DETAIL OF EXPENDITURES</t>
  </si>
  <si>
    <t>Head of A/c</t>
  </si>
  <si>
    <t>Expenditures (Rs in Million)</t>
  </si>
  <si>
    <t>During the Month</t>
  </si>
  <si>
    <t>Work Expenditures</t>
  </si>
  <si>
    <t>Stores Consumed (Material+Diesel)</t>
  </si>
  <si>
    <t xml:space="preserve">Misc Site Expense </t>
  </si>
  <si>
    <t>Bore at Site</t>
  </si>
  <si>
    <t xml:space="preserve">Material Consumption NLC </t>
  </si>
  <si>
    <t>Elec connection-Instl (Wapda &amp; Cont) charges</t>
  </si>
  <si>
    <t>Net Payments</t>
  </si>
  <si>
    <t>Retention Money</t>
  </si>
  <si>
    <t>Income Tax</t>
  </si>
  <si>
    <t xml:space="preserve">Plants and Machinery </t>
  </si>
  <si>
    <t>Hiring Charges</t>
  </si>
  <si>
    <t>Repair/ Maint (Batching Plant) Insl of BP</t>
  </si>
  <si>
    <t>POL NLC / Hired Plant &amp; Machinery</t>
  </si>
  <si>
    <t>POL Hiring veh</t>
  </si>
  <si>
    <t>Direct Labour</t>
  </si>
  <si>
    <t>Wages/ Muster Roll / Labour Muster Roll</t>
  </si>
  <si>
    <t>Gen Labor</t>
  </si>
  <si>
    <t>Any Other</t>
  </si>
  <si>
    <t xml:space="preserve">Office/site Establishment/ dev Exp </t>
  </si>
  <si>
    <t>Proj Maint Cost Fund</t>
  </si>
  <si>
    <t xml:space="preserve">House Rent  Charges </t>
  </si>
  <si>
    <t>Lab Test Fee</t>
  </si>
  <si>
    <t xml:space="preserve">Tn Charges / Loading/ Unloading </t>
  </si>
  <si>
    <t>Cutting of Tree Exp</t>
  </si>
  <si>
    <t>PST  (5% )</t>
  </si>
  <si>
    <t>Total Work Expenditure</t>
  </si>
  <si>
    <t>Pay &amp; Allowances</t>
  </si>
  <si>
    <t xml:space="preserve">Gen labour </t>
  </si>
  <si>
    <t>NLC Employees Paybill</t>
  </si>
  <si>
    <t>Other Expenditures</t>
  </si>
  <si>
    <t>POL ( bikes petrol )</t>
  </si>
  <si>
    <t>POL ( Diesel P&amp;M )</t>
  </si>
  <si>
    <t>Utilities</t>
  </si>
  <si>
    <t>TADA</t>
  </si>
  <si>
    <t>Gas - LPG for Office Mess</t>
  </si>
  <si>
    <t>Repair &amp; Maint (Vehicles)</t>
  </si>
  <si>
    <t>Repair &amp; Maint (Furniture )</t>
  </si>
  <si>
    <t>Repair &amp; Maint (Office Equipment )</t>
  </si>
  <si>
    <t>Weight Charges</t>
  </si>
  <si>
    <t>Medical Charges</t>
  </si>
  <si>
    <t>Entertainment Exp</t>
  </si>
  <si>
    <t>Printing &amp; Stationery/Photocopies</t>
  </si>
  <si>
    <t>Freight Charges</t>
  </si>
  <si>
    <t xml:space="preserve">Office Contigencies </t>
  </si>
  <si>
    <t>Local Purchase</t>
  </si>
  <si>
    <t>Security Exp</t>
  </si>
  <si>
    <t>Hiring Charges / Crane</t>
  </si>
  <si>
    <t>Welfare/ Donation/ Charity/ Cash Award</t>
  </si>
  <si>
    <t>HQ Expenditures</t>
  </si>
  <si>
    <t>HQ NLC Expenses</t>
  </si>
  <si>
    <t>HQ Engrs NLC Expenses</t>
  </si>
  <si>
    <t>Total Overhead Expenditure</t>
  </si>
  <si>
    <t>Grand Total Expenditure (Work + Overhead)</t>
  </si>
  <si>
    <t>Sr #</t>
  </si>
  <si>
    <t>Secure Adv</t>
  </si>
  <si>
    <t xml:space="preserve">Total </t>
  </si>
  <si>
    <t>Mob Adv</t>
  </si>
  <si>
    <t>Recovery</t>
  </si>
  <si>
    <t>NetPayable Before Tax</t>
  </si>
  <si>
    <t>I Tax</t>
  </si>
  <si>
    <t>NetPayable After Tax</t>
  </si>
  <si>
    <t>Paid Amount</t>
  </si>
  <si>
    <t>Balance</t>
  </si>
  <si>
    <t>Material</t>
  </si>
  <si>
    <t>RM 5%</t>
  </si>
  <si>
    <t>Other</t>
  </si>
  <si>
    <t>Total</t>
  </si>
  <si>
    <t>Saddaqat</t>
  </si>
  <si>
    <t>STC</t>
  </si>
  <si>
    <t>Yukon</t>
  </si>
  <si>
    <t>EDDCO</t>
  </si>
  <si>
    <t>DETAIL OF PAYMENTS TO SUB CONTRACTORS</t>
  </si>
  <si>
    <t>CA No</t>
  </si>
  <si>
    <t>Contractor</t>
  </si>
  <si>
    <t>NLC CA Amount</t>
  </si>
  <si>
    <t>Sub Contr CA Amount</t>
  </si>
  <si>
    <t>UTD</t>
  </si>
  <si>
    <t>YTD</t>
  </si>
  <si>
    <t>Cost %</t>
  </si>
  <si>
    <t>Sub Contr's Vetted Work Done</t>
  </si>
  <si>
    <t>Material Recovery</t>
  </si>
  <si>
    <t>Net Payment Due</t>
  </si>
  <si>
    <t>Total Cost (Rs in Million)</t>
  </si>
  <si>
    <t>Grand Total</t>
  </si>
  <si>
    <t>Date</t>
  </si>
  <si>
    <t>Remarks</t>
  </si>
  <si>
    <t>Anx "G"</t>
  </si>
  <si>
    <t>DETAIL OF CONST MATERIAL</t>
  </si>
  <si>
    <t>Item</t>
  </si>
  <si>
    <t>Unit</t>
  </si>
  <si>
    <t>Total Qty Req (approx)</t>
  </si>
  <si>
    <t>Purchases</t>
  </si>
  <si>
    <t>Consumed / Recovered</t>
  </si>
  <si>
    <t xml:space="preserve">Balance </t>
  </si>
  <si>
    <t>Upto date</t>
  </si>
  <si>
    <t>Qty</t>
  </si>
  <si>
    <t>Rate</t>
  </si>
  <si>
    <t>Cost</t>
  </si>
  <si>
    <t>Cement (Bulk)</t>
  </si>
  <si>
    <t>Ton</t>
  </si>
  <si>
    <t xml:space="preserve">Crush (All type) </t>
  </si>
  <si>
    <t>Cft</t>
  </si>
  <si>
    <t>Sand (lawarencepur)</t>
  </si>
  <si>
    <t>Admixture</t>
  </si>
  <si>
    <t>Kg</t>
  </si>
  <si>
    <t>Steel</t>
  </si>
  <si>
    <t>Steel G-60 No.3</t>
  </si>
  <si>
    <t>Steel G-60 No 4</t>
  </si>
  <si>
    <t>Steel G-60 No 5</t>
  </si>
  <si>
    <t>Steel G-60 No 6</t>
  </si>
  <si>
    <t>Steel G-60 No 8</t>
  </si>
  <si>
    <t>Steel G-60 No 10</t>
  </si>
  <si>
    <t>Steel G-60 No11</t>
  </si>
  <si>
    <t>Concrete</t>
  </si>
  <si>
    <t>1500 Psi</t>
  </si>
  <si>
    <t>Cu.m</t>
  </si>
  <si>
    <t>2000 Psi</t>
  </si>
  <si>
    <t>3000 Psi</t>
  </si>
  <si>
    <t>4000 Psi</t>
  </si>
  <si>
    <t>Pipe 66" Dia</t>
  </si>
  <si>
    <t>Nos</t>
  </si>
  <si>
    <t>Pipe 72" Dia</t>
  </si>
  <si>
    <t>G.Total</t>
  </si>
  <si>
    <t xml:space="preserve"> Re Modelling and Upgradation of ADA Nullah and Walton Road Package -1  </t>
  </si>
  <si>
    <t>Sublet Contractor: M/S Saddaqat Builders</t>
  </si>
  <si>
    <t>Sr No.</t>
  </si>
  <si>
    <t>Item Description</t>
  </si>
  <si>
    <t>Material Qty</t>
  </si>
  <si>
    <t>Cement
(bags)</t>
  </si>
  <si>
    <t>Sand
(Cft)</t>
  </si>
  <si>
    <t>Crush (Cft)</t>
  </si>
  <si>
    <t>Conc Admixture</t>
  </si>
  <si>
    <t>5-10</t>
  </si>
  <si>
    <t>10-19</t>
  </si>
  <si>
    <t>19-25</t>
  </si>
  <si>
    <t xml:space="preserve">1500 PSI Conc.
 </t>
  </si>
  <si>
    <t>CM</t>
  </si>
  <si>
    <t xml:space="preserve">2000 PSI Conc.
 </t>
  </si>
  <si>
    <t xml:space="preserve"> 3000 PSI Conc.
 </t>
  </si>
  <si>
    <t xml:space="preserve">4000 PSI Conc.
 </t>
  </si>
  <si>
    <t>Anx "H"</t>
  </si>
  <si>
    <t>DETAIL OF EQPTS, PLANTS, MACHINERY</t>
  </si>
  <si>
    <t>Description</t>
  </si>
  <si>
    <t>Regn No</t>
  </si>
  <si>
    <t>Hiring Date</t>
  </si>
  <si>
    <t>Hours/Kms</t>
  </si>
  <si>
    <t>Amount of hiring* (Rs)</t>
  </si>
  <si>
    <t>Qty of POL Issued</t>
  </si>
  <si>
    <t>Amount of Fuel Issued (Rs)</t>
  </si>
  <si>
    <t>Repair/ Maint (Rs)</t>
  </si>
  <si>
    <t>Total Amount (Rs)</t>
  </si>
  <si>
    <t>Total Amount  (Rs)</t>
  </si>
  <si>
    <t>Plant &amp; Machinery (Hired)</t>
  </si>
  <si>
    <t xml:space="preserve">NLC Own Vehicle </t>
  </si>
  <si>
    <t>Total Amounts (M)</t>
  </si>
  <si>
    <t>STATUS OF INTERIM PAYMENT CERTIFICATES</t>
  </si>
  <si>
    <t>Received</t>
  </si>
  <si>
    <t>STATE OF CLAIMS / VARIATION ORDERS</t>
  </si>
  <si>
    <t>Type of Claim</t>
  </si>
  <si>
    <t xml:space="preserve">Revenue Claimed </t>
  </si>
  <si>
    <t xml:space="preserve">Vetted Cost by Client </t>
  </si>
  <si>
    <t>During Month</t>
  </si>
  <si>
    <t>Update</t>
  </si>
  <si>
    <t xml:space="preserve">PST 5% </t>
  </si>
  <si>
    <t>Total EPCs</t>
  </si>
  <si>
    <t>LIST OF ASSETS</t>
  </si>
  <si>
    <t>Category of Asset</t>
  </si>
  <si>
    <t>Purchase Cost 
(Rs)</t>
  </si>
  <si>
    <t xml:space="preserve">Monthly Depreciation </t>
  </si>
  <si>
    <t>Depreciation 
Year to Date</t>
  </si>
  <si>
    <t>Depreciation 
up to Date</t>
  </si>
  <si>
    <t>Asset's Value</t>
  </si>
  <si>
    <t>Anx "M"</t>
  </si>
  <si>
    <t>DETAILS OF LIABILITIES</t>
  </si>
  <si>
    <t>Against Contractor/Supplier</t>
  </si>
  <si>
    <t>Amount (M)</t>
  </si>
  <si>
    <t>Payable to contrs ( VWD)</t>
  </si>
  <si>
    <t>-</t>
  </si>
  <si>
    <t xml:space="preserve">Payable against Un Vetted Work Done </t>
  </si>
  <si>
    <t>Vetted Laib contr</t>
  </si>
  <si>
    <t>Rentention Money Payable</t>
  </si>
  <si>
    <t>Const Mat</t>
  </si>
  <si>
    <t>Sub Total</t>
  </si>
  <si>
    <t>Other Payables</t>
  </si>
  <si>
    <t xml:space="preserve">Payable against Mob Adv received from Client </t>
  </si>
  <si>
    <t xml:space="preserve">Payable against Sec Adv received from Client </t>
  </si>
  <si>
    <t xml:space="preserve">Payable against Hiring Charges </t>
  </si>
  <si>
    <t>Anx "N"</t>
  </si>
  <si>
    <t>BUDGETING OF PROJECT</t>
  </si>
  <si>
    <t>Total Expenditure as per Exec Plan</t>
  </si>
  <si>
    <t>Million</t>
  </si>
  <si>
    <t>Already Expended Amount Uptodate</t>
  </si>
  <si>
    <t>Work Done Uptodate</t>
  </si>
  <si>
    <t>Bal Amount to be Expended</t>
  </si>
  <si>
    <t>Bal Work Done to be Done</t>
  </si>
  <si>
    <t>Rs. In Million</t>
  </si>
  <si>
    <t>Exp as per Exec Plan</t>
  </si>
  <si>
    <t>Already Expended</t>
  </si>
  <si>
    <t>Exp on Bal Work</t>
  </si>
  <si>
    <t>Amount In Million</t>
  </si>
  <si>
    <t xml:space="preserve">Stores </t>
  </si>
  <si>
    <t>Const Mat &amp; EQPT</t>
  </si>
  <si>
    <t>Engr Facility</t>
  </si>
  <si>
    <t>a. Hiring Charges / POL</t>
  </si>
  <si>
    <t>b. Repair/ Maint</t>
  </si>
  <si>
    <t>Lab test</t>
  </si>
  <si>
    <t>Self Execution</t>
  </si>
  <si>
    <t>b. Salaries Civilian Personals</t>
  </si>
  <si>
    <t>d. PC Bills</t>
  </si>
  <si>
    <t>a. Depreciation against FA</t>
  </si>
  <si>
    <t>b. Expense against rent</t>
  </si>
  <si>
    <t>c. Proj Maint cost</t>
  </si>
  <si>
    <t>Overhead Expenditures</t>
  </si>
  <si>
    <t>Salary</t>
  </si>
  <si>
    <t>POL</t>
  </si>
  <si>
    <t>Utilities - Electricity</t>
  </si>
  <si>
    <t>Utilities - Water</t>
  </si>
  <si>
    <t>Utilities - Telephone/ Mob</t>
  </si>
  <si>
    <t>Utilities - Internet</t>
  </si>
  <si>
    <t>Utilities - Gas/LPG</t>
  </si>
  <si>
    <t>Postage &amp; Courier</t>
  </si>
  <si>
    <t>i.</t>
  </si>
  <si>
    <t>Entertainment</t>
  </si>
  <si>
    <t>Printing &amp; Stationery</t>
  </si>
  <si>
    <t>Carriage &amp; Freight Charges</t>
  </si>
  <si>
    <t>Legal Expenses</t>
  </si>
  <si>
    <t>Office Contingencies</t>
  </si>
  <si>
    <t xml:space="preserve">Spare </t>
  </si>
  <si>
    <t>Office Eqpts</t>
  </si>
  <si>
    <t>Furniture &amp; Fixture</t>
  </si>
  <si>
    <t>Medicine</t>
  </si>
  <si>
    <t>Repair - Vehs</t>
  </si>
  <si>
    <t>Repair - Furniture</t>
  </si>
  <si>
    <t>Repair - Computer &amp; Eqpt</t>
  </si>
  <si>
    <t>Repair - Other</t>
  </si>
  <si>
    <t>Gifts/ Souvenirs</t>
  </si>
  <si>
    <t>w.</t>
  </si>
  <si>
    <t xml:space="preserve">Lab Estab/ Testing Equipment </t>
  </si>
  <si>
    <t>x.</t>
  </si>
  <si>
    <t>Insurance 0.25% of Project Cost</t>
  </si>
  <si>
    <t>y.</t>
  </si>
  <si>
    <t>Sports/ CSR</t>
  </si>
  <si>
    <t>z.</t>
  </si>
  <si>
    <t>Welfare/ Charity Donations</t>
  </si>
  <si>
    <t>aa.</t>
  </si>
  <si>
    <t>Funeral Charges</t>
  </si>
  <si>
    <t>bb.</t>
  </si>
  <si>
    <t>Cash awards - NLC Staff</t>
  </si>
  <si>
    <t>cc.</t>
  </si>
  <si>
    <t>TA/ DA Expenditure</t>
  </si>
  <si>
    <t>dd.</t>
  </si>
  <si>
    <t>Toll Taxes - Parking Tickets</t>
  </si>
  <si>
    <t>ee.</t>
  </si>
  <si>
    <t>Newpapers &amp; Periodicals</t>
  </si>
  <si>
    <t>ff.</t>
  </si>
  <si>
    <t>Fin Charges</t>
  </si>
  <si>
    <t>gg.</t>
  </si>
  <si>
    <t>Hiring of Site Accomodations</t>
  </si>
  <si>
    <t>hh.</t>
  </si>
  <si>
    <t>Batching Plant - Running Exp</t>
  </si>
  <si>
    <t>jj.</t>
  </si>
  <si>
    <t xml:space="preserve">Water Facility - Camp Site </t>
  </si>
  <si>
    <t>kk.</t>
  </si>
  <si>
    <t>Site Establishment Charges</t>
  </si>
  <si>
    <t>Total Expected Revenue Incl Claims / VOs</t>
  </si>
  <si>
    <t>Total Expected Expenditure on Completion</t>
  </si>
  <si>
    <t xml:space="preserve">PST </t>
  </si>
  <si>
    <t>OH Expense</t>
  </si>
  <si>
    <t>Total Exp</t>
  </si>
  <si>
    <t>Net Profit / (Loss)</t>
  </si>
  <si>
    <t>Net Profit %age</t>
  </si>
  <si>
    <t>DETAIL OF RECOVERIES FROM SUBCONTRACTORS</t>
  </si>
  <si>
    <t xml:space="preserve">Amount in Rs </t>
  </si>
  <si>
    <t>Total up to Date</t>
  </si>
  <si>
    <t>Chq Nos</t>
  </si>
  <si>
    <t>Chq Amount</t>
  </si>
  <si>
    <t>Bank Profit Received</t>
  </si>
  <si>
    <t>Anx "Q"</t>
  </si>
  <si>
    <t>DETAIL OF ASPHALT EXECUTED AT SITE</t>
  </si>
  <si>
    <t>FROM NIL TO NIL</t>
  </si>
  <si>
    <t>Location</t>
  </si>
  <si>
    <t>Side</t>
  </si>
  <si>
    <t>Rd</t>
  </si>
  <si>
    <t>Asphalt Qty (Ton)</t>
  </si>
  <si>
    <t>From</t>
  </si>
  <si>
    <t>to</t>
  </si>
  <si>
    <t>Rate as per Asphalt Plt Bill (Avg Rate)</t>
  </si>
  <si>
    <t>Rs.</t>
  </si>
  <si>
    <t xml:space="preserve">Total Cost </t>
  </si>
  <si>
    <t>Actual Cost to be booked</t>
  </si>
  <si>
    <t>Bill received from PM Asphalt Plt &amp; already booked as Cost</t>
  </si>
  <si>
    <t>Revenue</t>
  </si>
  <si>
    <t>Client Rate incl 10% Preminum (Avg Rate)</t>
  </si>
  <si>
    <t xml:space="preserve">Reversal of own WD ABC &amp; AWC </t>
  </si>
  <si>
    <t xml:space="preserve">Revenue booked 2 </t>
  </si>
  <si>
    <t>Net Value of Revenue</t>
  </si>
  <si>
    <t>Anx "R"</t>
  </si>
  <si>
    <t>PROJ CON LHR ENGRS NLC</t>
  </si>
  <si>
    <r>
      <t>DETAIL OF ASPHALT WORKS</t>
    </r>
    <r>
      <rPr>
        <b/>
        <u/>
        <sz val="14"/>
        <color indexed="8"/>
        <rFont val="Times New Roman"/>
        <family val="1"/>
      </rPr>
      <t/>
    </r>
  </si>
  <si>
    <t>S. No</t>
  </si>
  <si>
    <t>Site / Pkg</t>
  </si>
  <si>
    <t>BQ Qty (to be converted in Tons)</t>
  </si>
  <si>
    <t>Demand Placed to PM Asphalt (Tons)</t>
  </si>
  <si>
    <t>Qty Received (Tons)</t>
  </si>
  <si>
    <t>Claimed in IPC (Tons)</t>
  </si>
  <si>
    <t>Paid by Client (Tons)</t>
  </si>
  <si>
    <t>*With held by Client against Claimed Qty (Tons)</t>
  </si>
  <si>
    <t>Qty pending due to core test (Tons)</t>
  </si>
  <si>
    <t>Esclation Claimed
(M)</t>
  </si>
  <si>
    <t>Esclation to be claimed
(M)</t>
  </si>
  <si>
    <t>Payment made to PM Asphalt 
by PM Proj
(M)</t>
  </si>
  <si>
    <t>Bal Payment based on Asphalt provided by PM Asphalt (M)</t>
  </si>
  <si>
    <t>ABC</t>
  </si>
  <si>
    <t>AWC</t>
  </si>
  <si>
    <t>S CURVE</t>
  </si>
  <si>
    <t>MONTHLY</t>
  </si>
  <si>
    <t>Planned</t>
  </si>
  <si>
    <t>Achived</t>
  </si>
  <si>
    <t>UTD PROGRESS</t>
  </si>
  <si>
    <t>S</t>
  </si>
  <si>
    <t>Appx I to Anx "A"</t>
  </si>
  <si>
    <t>CA Amount (As per Ltr of Award)</t>
  </si>
  <si>
    <t xml:space="preserve">Revised CA Amount Addl Work </t>
  </si>
  <si>
    <t>Start Date (As per Ltr of Award)</t>
  </si>
  <si>
    <t>Completion Date (As per Ltr of Award)</t>
  </si>
  <si>
    <t>Progressive (Upto Date)</t>
  </si>
  <si>
    <t>Upto Date Progress %</t>
  </si>
  <si>
    <t>Achieved</t>
  </si>
  <si>
    <t>Petty-7,8,9,10</t>
  </si>
  <si>
    <t xml:space="preserve"> M/S Yukon Builders &amp; Developers  </t>
  </si>
  <si>
    <t xml:space="preserve">M/S Yukon Builders &amp; Developers </t>
  </si>
  <si>
    <t>Previous month</t>
  </si>
  <si>
    <t>Diff</t>
  </si>
  <si>
    <t>JMF</t>
  </si>
  <si>
    <t>C/2023/P0468/CBD-ADA-Nallah/Pkg-I/Petty-3</t>
  </si>
  <si>
    <t>C/2023/P0468/CBD-ADA-Nallah/Pkg-I/Petty-4</t>
  </si>
  <si>
    <t>C/2023/P0468/CBD-ADA-Nallah/Pkg-I/Petty-5</t>
  </si>
  <si>
    <t>C/2023/P0468/CBD-ADA-Nallah/Pkg-I/Petty-6</t>
  </si>
  <si>
    <t>C/2023/PO468/CBD ADA Nullah/Pkg-1/petty-1</t>
  </si>
  <si>
    <t>C/2023/PO468/CBD ADA Nullah/Pkg-1/-2</t>
  </si>
  <si>
    <t xml:space="preserve"> (M/S BA Construction &amp; Co)</t>
  </si>
  <si>
    <t>C/2023/PO468/CBD ADA Nullah/Pkg-1/petty-12</t>
  </si>
  <si>
    <t xml:space="preserve"> (M/S BA Construction &amp; Co)  </t>
  </si>
  <si>
    <t>ADA Nullah Part-A</t>
  </si>
  <si>
    <t>C/2023/PO468/CBD ADA Nullah/Pkg-1/petty-13</t>
  </si>
  <si>
    <t>ADA Nullah Part-B</t>
  </si>
  <si>
    <t>C/2023/PO468/CBD ADA Nullah/Pkg-1/petty-14</t>
  </si>
  <si>
    <t xml:space="preserve"> (M/S Reckon Enterprises)  </t>
  </si>
  <si>
    <t>Sewerage &amp; Conduit Work</t>
  </si>
  <si>
    <t>C/2023/PO468/CBD ADA Nullah/Pkg-1/petty-15</t>
  </si>
  <si>
    <t>C/2023/P0468/CBD-ADA-Nallah/Pkg-I-01</t>
  </si>
  <si>
    <t>C/2023/P0468/CBD-ADA-Nallah/Pkg-I-02</t>
  </si>
  <si>
    <t>C/2023/P0468/CBD-ADA-Nallah/Pkg-I-03</t>
  </si>
  <si>
    <t>Conduit Works &amp; Disposal station-Sub pkg-4 Part A</t>
  </si>
  <si>
    <t>C/2023/P0468/CBD-ADA-Nallah/Pkg-I-04</t>
  </si>
  <si>
    <t>C/2023/P0468/CBD-ADA-Nallah/Pkg-I-05</t>
  </si>
  <si>
    <t>C/2023/P0468/CBD-ADA-Nallah/Pkg-I-</t>
  </si>
  <si>
    <t>IPC # 10</t>
  </si>
  <si>
    <t>Pipe 27" Dia</t>
  </si>
  <si>
    <t>Pipe 30" Dia</t>
  </si>
  <si>
    <t>Pipe 36" Dia</t>
  </si>
  <si>
    <t>Pipe 42" Dia</t>
  </si>
  <si>
    <t>Pipe 48" Dia</t>
  </si>
  <si>
    <t>Pipe 54" Dia</t>
  </si>
  <si>
    <t>Issued to contractor/ Concrete Production</t>
  </si>
  <si>
    <t xml:space="preserve">Provision for accrued exp </t>
  </si>
  <si>
    <t>Handling Charges recoverd from Contr at Mat</t>
  </si>
  <si>
    <t>IPC # 11</t>
  </si>
  <si>
    <t>IPC # 12</t>
  </si>
  <si>
    <t>Northland</t>
  </si>
  <si>
    <t>Sapper</t>
  </si>
  <si>
    <t>IPC # 07</t>
  </si>
  <si>
    <t>Sec Adv</t>
  </si>
  <si>
    <t>IPC # 13</t>
  </si>
  <si>
    <t>Civ Personals/benefits/Salaries/welfare</t>
  </si>
  <si>
    <t>M/S North Land</t>
  </si>
  <si>
    <t>Submersiable Pump</t>
  </si>
  <si>
    <t>Rft</t>
  </si>
  <si>
    <t>5000 Psi</t>
  </si>
  <si>
    <t>IPC # 14</t>
  </si>
  <si>
    <t>Note :</t>
  </si>
  <si>
    <t>Detail of Escalation Cost</t>
  </si>
  <si>
    <t>Amount</t>
  </si>
  <si>
    <t>Contractor Escalation (Detail Att</t>
  </si>
  <si>
    <t xml:space="preserve">5000 PSI Conc.
 </t>
  </si>
  <si>
    <t>M/S Inzi</t>
  </si>
  <si>
    <t>HDP Pipes 1200mm</t>
  </si>
  <si>
    <t>HDP Pipes 630mm</t>
  </si>
  <si>
    <t>Asphalt Base Course</t>
  </si>
  <si>
    <t>Machinacal Work</t>
  </si>
  <si>
    <t xml:space="preserve">M/S Best Builder </t>
  </si>
  <si>
    <t>Pedestrain Bridge</t>
  </si>
  <si>
    <t>Hiring Recovery</t>
  </si>
  <si>
    <t>POL Recovery</t>
  </si>
  <si>
    <t>Lab Test</t>
  </si>
  <si>
    <t>4" UPVC Pipe Class-D</t>
  </si>
  <si>
    <t>6" UPVC Pipe Class-D</t>
  </si>
  <si>
    <t>8" UPVC Pipe Class-D</t>
  </si>
  <si>
    <t>rft</t>
  </si>
  <si>
    <t>HDP Pipes 900mm</t>
  </si>
  <si>
    <t>mtr</t>
  </si>
  <si>
    <t>Date of Submission</t>
  </si>
  <si>
    <t>Date of Vetting</t>
  </si>
  <si>
    <t>Escl</t>
  </si>
  <si>
    <t>S. Adv</t>
  </si>
  <si>
    <t>With Held</t>
  </si>
  <si>
    <t>Retension Money</t>
  </si>
  <si>
    <t>PRA 5%</t>
  </si>
  <si>
    <t>PRA PSID</t>
  </si>
  <si>
    <t xml:space="preserve">IT Tax </t>
  </si>
  <si>
    <t>Total Deductions</t>
  </si>
  <si>
    <t>IPC # 01 Mob Adv</t>
  </si>
  <si>
    <t xml:space="preserve">  </t>
  </si>
  <si>
    <t>IPC # 03 Mob Adv</t>
  </si>
  <si>
    <t>IPC # 04</t>
  </si>
  <si>
    <t>IPC # 05</t>
  </si>
  <si>
    <t>IPC # 06</t>
  </si>
  <si>
    <t>IPC # 08</t>
  </si>
  <si>
    <t>IPC # 09</t>
  </si>
  <si>
    <t>IPC # 11-Balance</t>
  </si>
  <si>
    <t xml:space="preserve">IPC # 15 </t>
  </si>
  <si>
    <t>C/2023/PO468/CBD ADA Nullah/Pkg-1/petty-26</t>
  </si>
  <si>
    <t>C/2023/PO468/CBD ADA Nullah/Pkg-1/petty-27</t>
  </si>
  <si>
    <t>M/S Land Lad</t>
  </si>
  <si>
    <t>HDP Pipes 250mm</t>
  </si>
  <si>
    <t>HDP Pipes 160mm</t>
  </si>
  <si>
    <t>i</t>
  </si>
  <si>
    <t>ii</t>
  </si>
  <si>
    <t>Sewerage Rider &amp; Drainage</t>
  </si>
  <si>
    <t>Anx-J</t>
  </si>
  <si>
    <t>IPC # 16</t>
  </si>
  <si>
    <t>Only Deducted income Tax</t>
  </si>
  <si>
    <t>Net Profit before Income Tax (Million)</t>
  </si>
  <si>
    <t>Forceman HDPE Pipe 1200 mm &amp; 900</t>
  </si>
  <si>
    <t>C/2023/PO468/CBD ADA Nullah/Pkg-1/petty-2</t>
  </si>
  <si>
    <t>C/2023/PO468/CBD ADA Nullah/Pkg-1/petty-34 &amp; 36</t>
  </si>
  <si>
    <t>Sewerage Thrust Bore</t>
  </si>
  <si>
    <t>C/2023/PO468/CBD ADA Nullah/Pkg-1/petty-31</t>
  </si>
  <si>
    <t>Sewerage Diplomatic Ecclave Link Road</t>
  </si>
  <si>
    <t>Sewerage Rider Sewer</t>
  </si>
  <si>
    <t>C/2023/PO468/CBD ADA Nullah/Pkg-1/petty-29</t>
  </si>
  <si>
    <t>C/2023/PO468/CBD ADA Nullah/Pkg-1/petty-28</t>
  </si>
  <si>
    <t>72", 66" Dia Pipe Laying</t>
  </si>
  <si>
    <t>C/2023/PO468/CBD ADA Nullah/Pkg-1/petty-30</t>
  </si>
  <si>
    <t>C/2023/PO468/CBD ADA Nullah/Pkg-1/petty-32</t>
  </si>
  <si>
    <t>M/S BuildBest Builder</t>
  </si>
  <si>
    <t xml:space="preserve">C/2023/PO468/CBD ADA Nullah/Pkg-1/petty-24 </t>
  </si>
  <si>
    <t>C/2023/PO468/CBD ADA Nullah/Pkg-1/petty-39</t>
  </si>
  <si>
    <t>C/2023/PO468/CBD ADA Nullah/Pkg-1/petty-</t>
  </si>
  <si>
    <t>M/S Choudary Sons</t>
  </si>
  <si>
    <t>De Sitting of Nullah Work Army Area</t>
  </si>
  <si>
    <t>C/2023/P0468/CBD-ADA-Nallah/Pkg-I-06</t>
  </si>
  <si>
    <t>C/2023/P0468/CBD-ADA-Nallah/Pkg-I-09</t>
  </si>
  <si>
    <t>C/2023/P0468/CBD-ADA-Nallah/Pkg-I-10</t>
  </si>
  <si>
    <t>C/2023/P0468/CBD-ADA-Nallah/Pkg-I-11</t>
  </si>
  <si>
    <t>C/2023/PO468/CBD ADA Nullah/Pkg-1/petty-16</t>
  </si>
  <si>
    <t>HDP Pipes 1200mm - Alpha</t>
  </si>
  <si>
    <t>4" UPVC Pipe Class-B</t>
  </si>
  <si>
    <t>Rm</t>
  </si>
  <si>
    <t>2" UPVC Pipe Class-B</t>
  </si>
  <si>
    <t>HDP Fitting Butt Fusion Stub End</t>
  </si>
  <si>
    <t>630 KVA Transformer</t>
  </si>
  <si>
    <t>400KVA Transformer</t>
  </si>
  <si>
    <t>Repair &amp; Maint (Cptr, Electric,Building and Genral) / Office Contingency</t>
  </si>
  <si>
    <t>Site Estab Rs.21.50 M)</t>
  </si>
  <si>
    <t>EPC-2 IPC # 14</t>
  </si>
  <si>
    <t>EPC-1</t>
  </si>
  <si>
    <t>Under Process</t>
  </si>
  <si>
    <t>C/2023/P0468/CBD-ADA-Nallah/Pkg-I-14</t>
  </si>
  <si>
    <t>C/2023/P0468/CBD-ADA-Nallah/Pkg-I-08</t>
  </si>
  <si>
    <t>C/2023/P0468/CBD-ADA-Nallah/Pkg-I-12</t>
  </si>
  <si>
    <t>Sewerage Works (Rcc Pipe 72" &amp; 66"</t>
  </si>
  <si>
    <t>Pump Motor &amp; Mechinal</t>
  </si>
  <si>
    <t>M/S Youkon Builder &amp; Developers</t>
  </si>
  <si>
    <t xml:space="preserve">Operational Work of Disposal Work </t>
  </si>
  <si>
    <t>2 x CA Inprogress</t>
  </si>
  <si>
    <t>C/2023/PO468/CBD ADA Nullah/Pkg-1/petty-17</t>
  </si>
  <si>
    <t>M/S BA Construction</t>
  </si>
  <si>
    <t>M/S Shah Developers</t>
  </si>
  <si>
    <t>4" UPVC Pipe Class-D 100 MM Dia</t>
  </si>
  <si>
    <t>Road Light  120W</t>
  </si>
  <si>
    <t>Road Light  150W</t>
  </si>
  <si>
    <t>Road Light  180W</t>
  </si>
  <si>
    <t>4 Core 35mm</t>
  </si>
  <si>
    <t>Mtr</t>
  </si>
  <si>
    <t>4 Core 25mm</t>
  </si>
  <si>
    <t>Single Core 16mm</t>
  </si>
  <si>
    <t>Single Core 2.5mm</t>
  </si>
  <si>
    <t>Single Core 300mm</t>
  </si>
  <si>
    <t>Single Core 120mm</t>
  </si>
  <si>
    <t>Single Core 150mm</t>
  </si>
  <si>
    <t>Single Core 70mm</t>
  </si>
  <si>
    <t>12 mtr Electric Pole Double Arm</t>
  </si>
  <si>
    <t>10 Mtr Single Arm</t>
  </si>
  <si>
    <t>10 Mtr Double Arm</t>
  </si>
  <si>
    <t>12 mtr Electric Pole Single Arm</t>
  </si>
  <si>
    <t xml:space="preserve">Repair/ Maint </t>
  </si>
  <si>
    <t>IPC # 17</t>
  </si>
  <si>
    <t>C/2023/P0468/CBD-ADA-Nallah/Pkg-I/Petty-11</t>
  </si>
  <si>
    <t>Vetted</t>
  </si>
  <si>
    <t>Performance Guarantee</t>
  </si>
  <si>
    <r>
      <rPr>
        <sz val="9.5"/>
        <rFont val="Calibri"/>
        <family val="1"/>
      </rPr>
      <t>-</t>
    </r>
  </si>
  <si>
    <t>Oct</t>
  </si>
  <si>
    <t>Nov</t>
  </si>
  <si>
    <r>
      <rPr>
        <sz val="8.5"/>
        <rFont val="Calibri"/>
        <family val="1"/>
      </rPr>
      <t>-</t>
    </r>
  </si>
  <si>
    <t>Name of Contractor</t>
  </si>
  <si>
    <t>Reckon</t>
  </si>
  <si>
    <t>BA</t>
  </si>
  <si>
    <t>Inzi</t>
  </si>
  <si>
    <t>Landloard</t>
  </si>
  <si>
    <t>Build Best</t>
  </si>
  <si>
    <t>Chaudhary</t>
  </si>
  <si>
    <t>Shah Developers</t>
  </si>
  <si>
    <t>C/2023/PO468/CBD ADA Nullah/Pkg-1/petty-x 7 CA #33,35,37,38,40,48,51</t>
  </si>
  <si>
    <t>C/2023/P0468/CBD-ADA-Nallah/Pkg-I-07</t>
  </si>
  <si>
    <t>C/2023/PO468/CBD ADA Nullah/Pkg-1/petty-52</t>
  </si>
  <si>
    <t>M/S Teepu Engineering Services</t>
  </si>
  <si>
    <t>Mechinal Disposal Work</t>
  </si>
  <si>
    <t>Disposal Pump Repair &amp; Maint (Aproxx</t>
  </si>
  <si>
    <t>Light Control Pannel</t>
  </si>
  <si>
    <t>iii</t>
  </si>
  <si>
    <t>3500 Psi</t>
  </si>
  <si>
    <t xml:space="preserve"> 3500 PSI Conc.
 </t>
  </si>
  <si>
    <t>EPC - 1</t>
  </si>
  <si>
    <t>Ductile Iron Cover &amp; Frame</t>
  </si>
  <si>
    <t>Ancillary Works - Kerber</t>
  </si>
  <si>
    <t>C/2023/P0468/CBD-ADA-Nallah/Pkg-I-20</t>
  </si>
  <si>
    <t>(M/S INZI</t>
  </si>
  <si>
    <t>IPC # 18</t>
  </si>
  <si>
    <t xml:space="preserve">CA in Progress </t>
  </si>
  <si>
    <t>tax deduction at source</t>
  </si>
  <si>
    <t>Profit after Tax</t>
  </si>
  <si>
    <t>d. Total Funds Released to Project by PD Office</t>
  </si>
  <si>
    <t>Zashpak</t>
  </si>
  <si>
    <t>Teepu Engineering</t>
  </si>
  <si>
    <t>HDP Pipes 450mm</t>
  </si>
  <si>
    <t>6" UPVC Pipe Class-B</t>
  </si>
  <si>
    <t>ATB Box</t>
  </si>
  <si>
    <t>Barrier</t>
  </si>
  <si>
    <t>IPC # 19</t>
  </si>
  <si>
    <t>L</t>
  </si>
  <si>
    <t xml:space="preserve"> (M/S Saddaqat Builders) Part D</t>
  </si>
  <si>
    <t>C/2023/P0468/CBD-ADA-Nallah/Pkg-I/Petty</t>
  </si>
  <si>
    <t>Misc Recovery</t>
  </si>
  <si>
    <t xml:space="preserve">Safty </t>
  </si>
  <si>
    <t>Deductions</t>
  </si>
  <si>
    <t>90",45" Bend 900 mm</t>
  </si>
  <si>
    <t>50KVA Transformer</t>
  </si>
  <si>
    <t>4 Core 50mm</t>
  </si>
  <si>
    <t>4 Core 16mm</t>
  </si>
  <si>
    <t>iv</t>
  </si>
  <si>
    <t>Cement Concrete Plain incl placing ration 1.2.4</t>
  </si>
  <si>
    <t>Civil Works Bailing Water Pump</t>
  </si>
  <si>
    <t xml:space="preserve">ALDO International </t>
  </si>
  <si>
    <t xml:space="preserve">Ancilary Work </t>
  </si>
  <si>
    <t xml:space="preserve">M/S Tuba </t>
  </si>
  <si>
    <t>Electric Work</t>
  </si>
  <si>
    <t>The Land Lord Group</t>
  </si>
  <si>
    <t>Thrust Bore Forceman</t>
  </si>
  <si>
    <t>Providing &amp; Installing M.S Blind Pipe Socketed</t>
  </si>
  <si>
    <t>In process</t>
  </si>
  <si>
    <t>IPC # 20</t>
  </si>
  <si>
    <t>c. Total Funds Received from Client incl Mob Adv and income tax</t>
  </si>
  <si>
    <t>b. Revised Cost Est Cost ( Incl PSt 5% ) (VO in process)</t>
  </si>
  <si>
    <t>Anx J</t>
  </si>
  <si>
    <t>Anx A</t>
  </si>
  <si>
    <t>Under Process RARs</t>
  </si>
  <si>
    <t xml:space="preserve">Work Done </t>
  </si>
  <si>
    <t xml:space="preserve">Vetted Work Done </t>
  </si>
  <si>
    <t>Vetted Escl</t>
  </si>
  <si>
    <t>Additions</t>
  </si>
  <si>
    <t xml:space="preserve">Net Receivable </t>
  </si>
  <si>
    <t>Vetted Receivables</t>
  </si>
  <si>
    <t>CA No.57,58,61,62,63</t>
  </si>
  <si>
    <t>RBC</t>
  </si>
  <si>
    <t>Asphalt Work</t>
  </si>
  <si>
    <t>C/2023/P0468/CBD-ADA-Nallah/Pkg-I-19</t>
  </si>
  <si>
    <t>C/2023/P0468/CBD-ADA-Nallah/Pkg-I- 68</t>
  </si>
  <si>
    <t xml:space="preserve">Ne M Shafi </t>
  </si>
  <si>
    <t>Electrical &amp; Machinacal Work</t>
  </si>
  <si>
    <t>1.Drainage, Erosion Works &amp; Box Culverts (630mm HDPE Pipe with Chamber</t>
  </si>
  <si>
    <t>ii.Utilities Crossing 4"6"8"</t>
  </si>
  <si>
    <t>iii.Utilities Crossing 250" &amp; 315" dia pipe</t>
  </si>
  <si>
    <t xml:space="preserve">C/2023/PO468/CBD ADA Nullah/Pkg-1/petty- </t>
  </si>
  <si>
    <t>C/2023/PO468/CBD ADA Nullah/Pkg-1/petty- 44&amp;45</t>
  </si>
  <si>
    <t>Running &amp; Operational Disp 1</t>
  </si>
  <si>
    <t>C/2023/PO468/CBD ADA Nullah/Pkg-1/petty-66</t>
  </si>
  <si>
    <t>C/2023/P0468/CBD-ADA-Nallah/Pkg-I- 22</t>
  </si>
  <si>
    <t>(M/S Land Lord</t>
  </si>
  <si>
    <t>Mechinal Work</t>
  </si>
  <si>
    <t>Cobble Stone</t>
  </si>
  <si>
    <t>HDP Pipes 125mm</t>
  </si>
  <si>
    <t>45 DEG Elbow Dia 4"</t>
  </si>
  <si>
    <t>C/2023/PO468/CBD ADA Nullah/Pkg-1/petty-49</t>
  </si>
  <si>
    <t>C/2023/PO468/CBD ADA Nullah/Pkg-1/petty-54,55</t>
  </si>
  <si>
    <t>RBC Receovery of Machinery/Lying of Asphalt</t>
  </si>
  <si>
    <t>HDPE Bend 90 Dia 1200mm</t>
  </si>
  <si>
    <t>HDP Pipes 1200mm - Plascoo</t>
  </si>
  <si>
    <t>IPC # 21</t>
  </si>
  <si>
    <t>IPC # 22</t>
  </si>
  <si>
    <t xml:space="preserve">6000 PSI Conc.
 </t>
  </si>
  <si>
    <t>NERO</t>
  </si>
  <si>
    <t>1x1.15mm  450/750 , Red/Black. Green</t>
  </si>
  <si>
    <t>1x6mm  450/750 , Red/Black. Green</t>
  </si>
  <si>
    <t>1x4mm  450/750 , Red/Black. Green</t>
  </si>
  <si>
    <t>Coil</t>
  </si>
  <si>
    <t>Toll Tax Tokken</t>
  </si>
  <si>
    <t>SUPPLY OF 3000 &amp; 4000 PSI CONCRETE UPTO Jun 2025</t>
  </si>
  <si>
    <t>Manhole Covers - RPC</t>
  </si>
  <si>
    <t>Tuff Apver Gray 60mm</t>
  </si>
  <si>
    <t>Kerb Stone 6"x12"x14"</t>
  </si>
  <si>
    <t>Grating as per Drawing 2'x7"</t>
  </si>
  <si>
    <t>Electric Work Part A&amp;B</t>
  </si>
  <si>
    <t>Paid against Provisioanl Exp (POL) Reoceverd from Contr  (Shift To Other Income</t>
  </si>
  <si>
    <t xml:space="preserve">Gen Set 400KVA Diesel </t>
  </si>
  <si>
    <t xml:space="preserve">Cilent Facility - Veh </t>
  </si>
  <si>
    <t>UP</t>
  </si>
  <si>
    <t>ERP OK</t>
  </si>
  <si>
    <t xml:space="preserve">ERP OK </t>
  </si>
  <si>
    <t xml:space="preserve">Tuba </t>
  </si>
  <si>
    <t>Petty General Labour (Salary)</t>
  </si>
  <si>
    <t>Direct Labour / Salary</t>
  </si>
  <si>
    <t>Re-revise Approx Co,pletion Cost  : 10395.1</t>
  </si>
  <si>
    <t>(2) Achieved (As per Expected Completion Cost)</t>
  </si>
  <si>
    <t xml:space="preserve">c. 1st EOT </t>
  </si>
  <si>
    <t>PROJ HIGHLIGHTS AS ON JUL-25</t>
  </si>
  <si>
    <t>JUL, 2025</t>
  </si>
  <si>
    <t>EPC PST 5%</t>
  </si>
  <si>
    <t xml:space="preserve">Depreciation of Operating Assets as per ERP </t>
  </si>
  <si>
    <t>IPC # 21 Balance</t>
  </si>
  <si>
    <t>Cement Mixers</t>
  </si>
  <si>
    <t>Single cabins</t>
  </si>
  <si>
    <t>Printers</t>
  </si>
  <si>
    <t>Bikes</t>
  </si>
  <si>
    <t>Motor Pump</t>
  </si>
  <si>
    <t>Generators</t>
  </si>
  <si>
    <t>Testing and Lab Equipment</t>
  </si>
  <si>
    <t>Fork Lifters</t>
  </si>
  <si>
    <t>Motor graders</t>
  </si>
  <si>
    <t>Road Rollers - PTR</t>
  </si>
  <si>
    <t>Tractors</t>
  </si>
  <si>
    <t>Trolleys</t>
  </si>
  <si>
    <t>Cranes</t>
  </si>
  <si>
    <t>Excavators</t>
  </si>
  <si>
    <t>Dump Trucks</t>
  </si>
  <si>
    <t>Double cabins</t>
  </si>
  <si>
    <t>Batching Plants</t>
  </si>
  <si>
    <t>Trailors</t>
  </si>
  <si>
    <t>Porta Cabins</t>
  </si>
  <si>
    <t>Laptops</t>
  </si>
  <si>
    <t>Tankers / Bowsers</t>
  </si>
  <si>
    <t>Motor Water Pump</t>
  </si>
  <si>
    <t>PCs</t>
  </si>
  <si>
    <t>Racks &amp; Armoire</t>
  </si>
  <si>
    <t>Deep-Freezer</t>
  </si>
  <si>
    <t>Photocopy Machine</t>
  </si>
  <si>
    <t>Air Conditioner</t>
  </si>
  <si>
    <t>Pd Cen P0421 Transit Mixer (Ma</t>
  </si>
  <si>
    <t>Toyota Single Cabin LEG-17-2891</t>
  </si>
  <si>
    <t>Printers-HP IJ 125 SR # L9 X 8</t>
  </si>
  <si>
    <t>Printer</t>
  </si>
  <si>
    <t>PRINTER</t>
  </si>
  <si>
    <t>MOTOR BIKE</t>
  </si>
  <si>
    <t>Motor Bike Honda 70-</t>
  </si>
  <si>
    <t>PRINTER BLACK LBP-2900B FOR SITE OFFICE</t>
  </si>
  <si>
    <t>GENERATOR</t>
  </si>
  <si>
    <t>Tools &amp; Equipment</t>
  </si>
  <si>
    <t>45 Pole Lifter Machine</t>
  </si>
  <si>
    <t>TOTAL STATION -Nikon DTM-322+ (Sr # D330727)</t>
  </si>
  <si>
    <t>Pd C P0414 Gen Set 45 Kva</t>
  </si>
  <si>
    <t>Pd C P0400 Gen Set 60 Kva</t>
  </si>
  <si>
    <t>Pd Cen P0415 Motor Grader Mits</t>
  </si>
  <si>
    <t>Pd Cen P0415 Road Roller Vib 1</t>
  </si>
  <si>
    <t>Pd C P0400 Millat Tractor 4x4</t>
  </si>
  <si>
    <t>Hyd Pripping Trolley with Pintle Hook</t>
  </si>
  <si>
    <t>Pd Cen P0341 Gen Set 100 Kva D</t>
  </si>
  <si>
    <t>Pd Cen P0415 Transit Mixer (As</t>
  </si>
  <si>
    <t>Pdc P0341 Crane Kato Sr 250 Ri</t>
  </si>
  <si>
    <t>Pdc P0411 Excavator Wheel Hita</t>
  </si>
  <si>
    <t>Pdc P0341 Dump Trk Man Tgs Ww</t>
  </si>
  <si>
    <t>Transit Mixture 7619</t>
  </si>
  <si>
    <t>Gen Set 45 Kva Boos</t>
  </si>
  <si>
    <t>Generator 3000 Watt</t>
  </si>
  <si>
    <t>Generator</t>
  </si>
  <si>
    <t>Double Cabin - Hilux</t>
  </si>
  <si>
    <t>Toyota Hilux 4x4</t>
  </si>
  <si>
    <t>20x M/Cycle</t>
  </si>
  <si>
    <t>payment against purchase of printer</t>
  </si>
  <si>
    <t>Batching Plant 60 Cum</t>
  </si>
  <si>
    <t>70% Payment  Batching Plant (HQ PD Sindh) IFO "Global Technologies</t>
  </si>
  <si>
    <t>30% BALANCE PAYMENT OF 1 X BATCHING PLANT, 2 X CEMENT SILO, 1 X CEMENT SCREW AND</t>
  </si>
  <si>
    <t>PAYMENT AGAINST PURCHASE OF 1 X ISUZU TRUCK FOR PERI URBAN FSD SARGODHA PROJ PD</t>
  </si>
  <si>
    <t>PORTA CABIN 8'X20'</t>
  </si>
  <si>
    <t>Remaining payment against Supply of 14 x tractors along with attachments for PD</t>
  </si>
  <si>
    <t>HP Pro Book 450 G8/ Intel Core i-5 /11th Gen/8 GB/512GB SSD PCIENVME/15.6</t>
  </si>
  <si>
    <t>Water Bowser  8000 L</t>
  </si>
  <si>
    <t>Dewatering Pump (MT-6) with 50 HP Engine</t>
  </si>
  <si>
    <t>Dewatering Pump (MT-10) with 75 HP Engine</t>
  </si>
  <si>
    <t>Toyota Single cabin (8x proc)</t>
  </si>
  <si>
    <t>HP 4345 MFP Printer</t>
  </si>
  <si>
    <t>PC Dell  Ci5 6th Generation   8GB RAM, 250 GB HD, 24 LED (All Accessories)</t>
  </si>
  <si>
    <t>Steel Cabinet</t>
  </si>
  <si>
    <t>Porta Cabin 10'x20'-P0468</t>
  </si>
  <si>
    <t>PORTA CABIN 10'X40'-P0468</t>
  </si>
  <si>
    <t>Deep Freezer 70-155</t>
  </si>
  <si>
    <t>Laptop Normal/HP Pro Book 450 G9/ Intel Core i-5 /12th Gen/8 GB/512 SSD/15.6" FH</t>
  </si>
  <si>
    <t>Photocopier Ricoh MP 301</t>
  </si>
  <si>
    <t>Dell 7050 Tower ,Ci-7th Gen 7700</t>
  </si>
  <si>
    <t>AC 1.5 Ton (CHIQ)</t>
  </si>
  <si>
    <t>AC 1 Ton  (Haier)</t>
  </si>
  <si>
    <t>PC-HP Pavilion 10th Gen Ram 8 GB , HD 256 GB ,I3 Processor with All Accessories</t>
  </si>
  <si>
    <t>Accum Dep of Assets from other Proj not booked to ADA Nullah</t>
  </si>
  <si>
    <t>Opening Dep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</si>
</sst>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0.000&quot; M&quot;"/>
    <numFmt numFmtId="167" formatCode="_(* #,##0.000_);_(* \(#,##0.000\);_(* &quot;-&quot;??_);_(@_)"/>
    <numFmt numFmtId="168" formatCode="0.00&quot; M&quot;"/>
    <numFmt numFmtId="169" formatCode="[$-409]d/mmm/yy;@"/>
    <numFmt numFmtId="170" formatCode="0.000"/>
    <numFmt numFmtId="171" formatCode="_(* #,##0.000000_);_(* \(#,##0.000000\);_(* &quot;-&quot;??_);_(@_)"/>
    <numFmt numFmtId="172" formatCode="_(* #,##0_);_(* \(#,##0\);_(* &quot;-&quot;??_);_(@_)"/>
    <numFmt numFmtId="173" formatCode="0.0000"/>
    <numFmt numFmtId="174" formatCode="_(* #,##0.0000_);_(* \(#,##0.0000\);_(* &quot;-&quot;??_);_(@_)"/>
    <numFmt numFmtId="175" formatCode="_-* #,##0_-;\-* #,##0_-;_-* &quot;-&quot;??_-;_-@_-"/>
    <numFmt numFmtId="176" formatCode="_-* #,##0.000_-;\-* #,##0.000_-;_-* &quot;-&quot;??_-;_-@_-"/>
    <numFmt numFmtId="177" formatCode="_(* #,##0.0_);_(* \(#,##0.0\);_(* &quot;-&quot;??_);_(@_)"/>
    <numFmt numFmtId="178" formatCode="0.0%"/>
    <numFmt numFmtId="179" formatCode="_-* #,##0.000_-;\-* #,##0.000_-;_-* &quot;-&quot;???_-;_-@_-"/>
    <numFmt numFmtId="180" formatCode="_-* #,##0.0000_-;\-* #,##0.0000_-;_-* &quot;-&quot;??_-;_-@_-"/>
    <numFmt numFmtId="181" formatCode="_-* #,##0.000000_-;\-* #,##0.000000_-;_-* &quot;-&quot;??_-;_-@_-"/>
    <numFmt numFmtId="182" formatCode="[$]dd\-mmm\-yyyy;@"/>
    <numFmt numFmtId="183" formatCode="0.000%"/>
    <numFmt numFmtId="184" formatCode="_(* #,##0.0_);_(* \(#,##0.0\);_(* &quot;-&quot;?_);_(@_)"/>
    <numFmt numFmtId="185" formatCode="_-* #,##0.0_-;\-* #,##0.0_-;_-* &quot;-&quot;??_-;_-@_-"/>
    <numFmt numFmtId="186" formatCode="_(* #,##0.000_);_(* \(#,##0.000\);_(* &quot;-&quot;???_);_(@_)"/>
    <numFmt numFmtId="187" formatCode="_(* #,##0.0000000_);_(* \(#,##0.0000000\);_(* &quot;-&quot;??_);_(@_)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u/>
      <sz val="14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6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"/>
      <name val="Arial"/>
      <family val="2"/>
    </font>
    <font>
      <b/>
      <u/>
      <sz val="9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12"/>
      <color indexed="8"/>
      <name val="Calibri"/>
      <family val="2"/>
    </font>
    <font>
      <u/>
      <sz val="10"/>
      <name val="Arial"/>
      <family val="2"/>
    </font>
    <font>
      <b/>
      <u/>
      <sz val="16"/>
      <color indexed="8"/>
      <name val="Arial"/>
      <family val="2"/>
    </font>
    <font>
      <b/>
      <u/>
      <sz val="14"/>
      <color indexed="8"/>
      <name val="Times New Roman"/>
      <family val="1"/>
    </font>
    <font>
      <b/>
      <sz val="16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9.5"/>
      <name val="Calibri"/>
      <family val="2"/>
    </font>
    <font>
      <sz val="9.5"/>
      <name val="Calibri"/>
      <family val="1"/>
    </font>
    <font>
      <sz val="9.5"/>
      <color rgb="FF000000"/>
      <name val="Calibri"/>
      <family val="2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8.5"/>
      <name val="Calibri"/>
      <family val="1"/>
    </font>
    <font>
      <b/>
      <sz val="8"/>
      <name val="Arial Narrow"/>
      <family val="2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</cellStyleXfs>
  <cellXfs count="902">
    <xf numFmtId="0" fontId="0" fillId="0" borderId="0" xfId="0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7" fillId="0" borderId="0" xfId="0" quotePrefix="1" applyNumberFormat="1" applyFont="1" applyAlignment="1">
      <alignment horizontal="righ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top"/>
    </xf>
    <xf numFmtId="0" fontId="9" fillId="0" borderId="0" xfId="0" quotePrefix="1" applyFont="1" applyAlignment="1">
      <alignment horizontal="left" vertical="top"/>
    </xf>
    <xf numFmtId="2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166" fontId="11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11" fillId="0" borderId="0" xfId="0" applyFont="1" applyFill="1" applyAlignment="1">
      <alignment vertical="top"/>
    </xf>
    <xf numFmtId="166" fontId="11" fillId="0" borderId="0" xfId="0" applyNumberFormat="1" applyFont="1" applyFill="1" applyAlignment="1">
      <alignment vertical="top"/>
    </xf>
    <xf numFmtId="167" fontId="11" fillId="0" borderId="0" xfId="1" applyNumberFormat="1" applyFont="1" applyAlignment="1">
      <alignment vertical="top"/>
    </xf>
    <xf numFmtId="167" fontId="9" fillId="0" borderId="0" xfId="1" applyNumberFormat="1" applyFont="1" applyAlignment="1">
      <alignment vertical="top"/>
    </xf>
    <xf numFmtId="0" fontId="9" fillId="0" borderId="0" xfId="0" quotePrefix="1" applyFont="1" applyAlignment="1">
      <alignment vertical="top"/>
    </xf>
    <xf numFmtId="0" fontId="9" fillId="0" borderId="0" xfId="0" quotePrefix="1" applyFont="1" applyFill="1" applyAlignment="1">
      <alignment vertical="top"/>
    </xf>
    <xf numFmtId="0" fontId="6" fillId="0" borderId="0" xfId="0" applyFont="1" applyAlignment="1">
      <alignment vertical="top"/>
    </xf>
    <xf numFmtId="0" fontId="9" fillId="0" borderId="0" xfId="0" applyFont="1" applyFill="1" applyAlignment="1">
      <alignment vertical="top"/>
    </xf>
    <xf numFmtId="168" fontId="9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9" fontId="11" fillId="0" borderId="0" xfId="0" applyNumberFormat="1" applyFont="1" applyAlignment="1">
      <alignment vertical="center"/>
    </xf>
    <xf numFmtId="164" fontId="9" fillId="0" borderId="0" xfId="1" applyFont="1" applyAlignment="1">
      <alignment vertical="center"/>
    </xf>
    <xf numFmtId="14" fontId="6" fillId="0" borderId="0" xfId="0" applyNumberFormat="1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170" fontId="9" fillId="0" borderId="0" xfId="0" applyNumberFormat="1" applyFont="1" applyFill="1" applyAlignment="1">
      <alignment vertical="center"/>
    </xf>
    <xf numFmtId="10" fontId="9" fillId="0" borderId="0" xfId="1" applyNumberFormat="1" applyFont="1" applyFill="1" applyAlignment="1">
      <alignment vertical="center"/>
    </xf>
    <xf numFmtId="167" fontId="9" fillId="0" borderId="0" xfId="1" applyNumberFormat="1" applyFont="1" applyFill="1" applyAlignment="1">
      <alignment vertical="center"/>
    </xf>
    <xf numFmtId="10" fontId="9" fillId="0" borderId="0" xfId="2" applyNumberFormat="1" applyFont="1" applyFill="1" applyAlignment="1">
      <alignment vertical="center"/>
    </xf>
    <xf numFmtId="170" fontId="9" fillId="0" borderId="0" xfId="1" applyNumberFormat="1" applyFont="1" applyAlignment="1">
      <alignment vertical="center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43" fontId="9" fillId="0" borderId="0" xfId="0" applyNumberFormat="1" applyFont="1" applyFill="1" applyAlignment="1">
      <alignment horizontal="left" vertical="center"/>
    </xf>
    <xf numFmtId="170" fontId="9" fillId="0" borderId="0" xfId="0" applyNumberFormat="1" applyFont="1" applyFill="1" applyAlignment="1">
      <alignment horizontal="left" vertical="center"/>
    </xf>
    <xf numFmtId="170" fontId="8" fillId="0" borderId="0" xfId="0" applyNumberFormat="1" applyFont="1" applyAlignment="1">
      <alignment horizontal="left" vertical="center"/>
    </xf>
    <xf numFmtId="43" fontId="9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167" fontId="9" fillId="0" borderId="0" xfId="0" applyNumberFormat="1" applyFont="1" applyAlignment="1">
      <alignment horizontal="left" vertical="center"/>
    </xf>
    <xf numFmtId="167" fontId="9" fillId="0" borderId="0" xfId="1" applyNumberFormat="1" applyFont="1" applyAlignment="1">
      <alignment vertical="center"/>
    </xf>
    <xf numFmtId="0" fontId="9" fillId="0" borderId="0" xfId="0" applyFont="1" applyFill="1" applyAlignment="1">
      <alignment horizontal="left" vertical="center"/>
    </xf>
    <xf numFmtId="171" fontId="13" fillId="0" borderId="0" xfId="0" applyNumberFormat="1" applyFont="1" applyFill="1" applyAlignment="1">
      <alignment vertical="center"/>
    </xf>
    <xf numFmtId="164" fontId="9" fillId="0" borderId="0" xfId="1" applyFont="1" applyFill="1" applyAlignment="1">
      <alignment vertical="center"/>
    </xf>
    <xf numFmtId="0" fontId="11" fillId="0" borderId="0" xfId="0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43" fontId="6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7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7" fontId="6" fillId="0" borderId="5" xfId="1" applyNumberFormat="1" applyFont="1" applyFill="1" applyBorder="1" applyAlignment="1">
      <alignment vertical="center"/>
    </xf>
    <xf numFmtId="167" fontId="6" fillId="0" borderId="6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0" fontId="6" fillId="0" borderId="5" xfId="2" applyNumberFormat="1" applyFont="1" applyBorder="1" applyAlignment="1">
      <alignment vertical="center"/>
    </xf>
    <xf numFmtId="10" fontId="6" fillId="0" borderId="0" xfId="2" applyNumberFormat="1" applyFont="1" applyBorder="1" applyAlignment="1">
      <alignment vertical="center"/>
    </xf>
    <xf numFmtId="167" fontId="11" fillId="0" borderId="0" xfId="0" applyNumberFormat="1" applyFont="1" applyAlignment="1">
      <alignment vertical="center"/>
    </xf>
    <xf numFmtId="10" fontId="9" fillId="0" borderId="0" xfId="1" applyNumberFormat="1" applyFont="1" applyAlignment="1">
      <alignment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6" fillId="0" borderId="5" xfId="3" applyFont="1" applyFill="1" applyBorder="1" applyAlignment="1">
      <alignment horizontal="center" vertical="center" wrapText="1"/>
    </xf>
    <xf numFmtId="172" fontId="17" fillId="0" borderId="5" xfId="3" applyNumberFormat="1" applyFont="1" applyFill="1" applyBorder="1" applyAlignment="1">
      <alignment vertical="center" wrapText="1"/>
    </xf>
    <xf numFmtId="172" fontId="16" fillId="0" borderId="5" xfId="3" applyNumberFormat="1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22" fillId="0" borderId="5" xfId="0" applyNumberFormat="1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167" fontId="23" fillId="0" borderId="5" xfId="4" applyNumberFormat="1" applyFont="1" applyFill="1" applyBorder="1" applyAlignment="1">
      <alignment vertical="center"/>
    </xf>
    <xf numFmtId="0" fontId="23" fillId="0" borderId="5" xfId="5" applyNumberFormat="1" applyFont="1" applyFill="1" applyBorder="1" applyAlignment="1">
      <alignment vertical="center"/>
    </xf>
    <xf numFmtId="9" fontId="23" fillId="0" borderId="5" xfId="2" applyFont="1" applyFill="1" applyBorder="1" applyAlignment="1">
      <alignment vertical="center"/>
    </xf>
    <xf numFmtId="10" fontId="23" fillId="0" borderId="5" xfId="2" applyNumberFormat="1" applyFont="1" applyFill="1" applyBorder="1" applyAlignment="1">
      <alignment vertical="center"/>
    </xf>
    <xf numFmtId="167" fontId="11" fillId="0" borderId="5" xfId="4" applyNumberFormat="1" applyFont="1" applyFill="1" applyBorder="1" applyAlignment="1">
      <alignment vertical="center"/>
    </xf>
    <xf numFmtId="167" fontId="24" fillId="0" borderId="5" xfId="4" applyNumberFormat="1" applyFont="1" applyFill="1" applyBorder="1" applyAlignment="1">
      <alignment vertical="center"/>
    </xf>
    <xf numFmtId="173" fontId="24" fillId="0" borderId="5" xfId="5" applyNumberFormat="1" applyFont="1" applyFill="1" applyBorder="1" applyAlignment="1">
      <alignment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1" fillId="0" borderId="5" xfId="5" applyNumberFormat="1" applyFont="1" applyFill="1" applyBorder="1" applyAlignment="1">
      <alignment vertical="center"/>
    </xf>
    <xf numFmtId="170" fontId="23" fillId="0" borderId="5" xfId="5" applyNumberFormat="1" applyFont="1" applyFill="1" applyBorder="1" applyAlignment="1">
      <alignment vertical="center"/>
    </xf>
    <xf numFmtId="173" fontId="23" fillId="0" borderId="5" xfId="5" applyNumberFormat="1" applyFont="1" applyFill="1" applyBorder="1" applyAlignment="1">
      <alignment vertical="center"/>
    </xf>
    <xf numFmtId="0" fontId="18" fillId="0" borderId="5" xfId="0" applyNumberFormat="1" applyFont="1" applyFill="1" applyBorder="1" applyAlignment="1">
      <alignment horizontal="left" vertical="center"/>
    </xf>
    <xf numFmtId="9" fontId="23" fillId="0" borderId="5" xfId="7" applyFont="1" applyFill="1" applyBorder="1" applyAlignment="1">
      <alignment vertical="center"/>
    </xf>
    <xf numFmtId="43" fontId="6" fillId="0" borderId="5" xfId="4" applyNumberFormat="1" applyFont="1" applyFill="1" applyBorder="1" applyAlignment="1">
      <alignment vertical="center"/>
    </xf>
    <xf numFmtId="167" fontId="6" fillId="0" borderId="5" xfId="4" applyNumberFormat="1" applyFont="1" applyFill="1" applyBorder="1" applyAlignment="1">
      <alignment vertical="center"/>
    </xf>
    <xf numFmtId="0" fontId="28" fillId="0" borderId="5" xfId="0" applyFont="1" applyBorder="1" applyAlignment="1">
      <alignment horizontal="center" vertical="center" wrapText="1"/>
    </xf>
    <xf numFmtId="167" fontId="15" fillId="0" borderId="5" xfId="6" applyNumberFormat="1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167" fontId="15" fillId="0" borderId="10" xfId="6" applyNumberFormat="1" applyFont="1" applyFill="1" applyBorder="1" applyAlignment="1">
      <alignment horizontal="center" vertical="center" wrapText="1"/>
    </xf>
    <xf numFmtId="167" fontId="15" fillId="0" borderId="10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167" fontId="30" fillId="0" borderId="5" xfId="6" applyNumberFormat="1" applyFont="1" applyFill="1" applyBorder="1" applyAlignment="1">
      <alignment horizontal="center" vertical="center" wrapText="1"/>
    </xf>
    <xf numFmtId="174" fontId="15" fillId="0" borderId="5" xfId="6" applyNumberFormat="1" applyFont="1" applyFill="1" applyBorder="1" applyAlignment="1">
      <alignment horizontal="center" vertical="center" wrapText="1"/>
    </xf>
    <xf numFmtId="167" fontId="30" fillId="0" borderId="5" xfId="5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167" fontId="15" fillId="0" borderId="5" xfId="5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7" fontId="31" fillId="0" borderId="5" xfId="6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5" xfId="0" applyFill="1" applyBorder="1" applyAlignment="1">
      <alignment vertical="center"/>
    </xf>
    <xf numFmtId="175" fontId="0" fillId="0" borderId="5" xfId="4" applyNumberFormat="1" applyFont="1" applyFill="1" applyBorder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13" fillId="0" borderId="5" xfId="0" applyFont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9" fillId="0" borderId="0" xfId="0" applyFont="1" applyFill="1" applyAlignment="1">
      <alignment horizontal="right" vertical="center"/>
    </xf>
    <xf numFmtId="167" fontId="29" fillId="0" borderId="0" xfId="6" applyNumberFormat="1" applyFont="1" applyFill="1" applyAlignment="1">
      <alignment horizontal="right" vertical="center"/>
    </xf>
    <xf numFmtId="0" fontId="28" fillId="0" borderId="0" xfId="0" applyFont="1" applyFill="1" applyAlignment="1">
      <alignment horizontal="right" vertical="center"/>
    </xf>
    <xf numFmtId="0" fontId="15" fillId="0" borderId="5" xfId="0" applyFont="1" applyFill="1" applyBorder="1" applyAlignment="1">
      <alignment vertical="center" wrapText="1"/>
    </xf>
    <xf numFmtId="0" fontId="29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167" fontId="15" fillId="0" borderId="5" xfId="6" applyNumberFormat="1" applyFont="1" applyFill="1" applyBorder="1" applyAlignment="1">
      <alignment horizontal="left" vertical="center"/>
    </xf>
    <xf numFmtId="172" fontId="15" fillId="0" borderId="5" xfId="0" applyNumberFormat="1" applyFont="1" applyFill="1" applyBorder="1" applyAlignment="1">
      <alignment horizontal="left" vertical="center"/>
    </xf>
    <xf numFmtId="43" fontId="15" fillId="0" borderId="5" xfId="6" applyFont="1" applyFill="1" applyBorder="1" applyAlignment="1">
      <alignment horizontal="left" vertical="center"/>
    </xf>
    <xf numFmtId="43" fontId="15" fillId="0" borderId="5" xfId="0" applyNumberFormat="1" applyFont="1" applyFill="1" applyBorder="1" applyAlignment="1">
      <alignment horizontal="left" vertical="center"/>
    </xf>
    <xf numFmtId="43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textRotation="90" wrapText="1"/>
    </xf>
    <xf numFmtId="0" fontId="15" fillId="0" borderId="11" xfId="0" applyFont="1" applyFill="1" applyBorder="1" applyAlignment="1">
      <alignment horizontal="center" vertical="center" wrapText="1"/>
    </xf>
    <xf numFmtId="43" fontId="15" fillId="0" borderId="5" xfId="6" applyNumberFormat="1" applyFont="1" applyFill="1" applyBorder="1" applyAlignment="1">
      <alignment horizontal="center" vertical="center" wrapText="1"/>
    </xf>
    <xf numFmtId="172" fontId="15" fillId="0" borderId="5" xfId="4" applyNumberFormat="1" applyFont="1" applyFill="1" applyBorder="1" applyAlignment="1">
      <alignment vertical="center" wrapText="1"/>
    </xf>
    <xf numFmtId="167" fontId="15" fillId="5" borderId="5" xfId="4" applyNumberFormat="1" applyFont="1" applyFill="1" applyBorder="1" applyAlignment="1">
      <alignment horizontal="center" vertical="center" wrapText="1"/>
    </xf>
    <xf numFmtId="167" fontId="15" fillId="0" borderId="5" xfId="4" applyNumberFormat="1" applyFont="1" applyFill="1" applyBorder="1" applyAlignment="1">
      <alignment horizontal="center" vertical="center" wrapText="1"/>
    </xf>
    <xf numFmtId="174" fontId="15" fillId="0" borderId="5" xfId="4" applyNumberFormat="1" applyFont="1" applyFill="1" applyBorder="1" applyAlignment="1">
      <alignment horizontal="center" vertical="center" wrapText="1"/>
    </xf>
    <xf numFmtId="177" fontId="15" fillId="0" borderId="5" xfId="4" applyNumberFormat="1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left" vertical="center" wrapText="1"/>
    </xf>
    <xf numFmtId="172" fontId="15" fillId="0" borderId="5" xfId="6" applyNumberFormat="1" applyFont="1" applyFill="1" applyBorder="1" applyAlignment="1">
      <alignment horizontal="center" vertical="center" wrapText="1"/>
    </xf>
    <xf numFmtId="172" fontId="15" fillId="0" borderId="5" xfId="6" applyNumberFormat="1" applyFont="1" applyFill="1" applyBorder="1" applyAlignment="1">
      <alignment vertical="center" wrapText="1"/>
    </xf>
    <xf numFmtId="43" fontId="15" fillId="0" borderId="5" xfId="4" applyNumberFormat="1" applyFont="1" applyFill="1" applyBorder="1" applyAlignment="1">
      <alignment horizontal="left" vertical="center" wrapText="1" indent="2"/>
    </xf>
    <xf numFmtId="0" fontId="15" fillId="0" borderId="18" xfId="0" applyFont="1" applyFill="1" applyBorder="1" applyAlignment="1">
      <alignment vertical="center" wrapText="1"/>
    </xf>
    <xf numFmtId="43" fontId="15" fillId="0" borderId="10" xfId="4" applyFont="1" applyFill="1" applyBorder="1" applyAlignment="1">
      <alignment vertical="center" wrapText="1"/>
    </xf>
    <xf numFmtId="43" fontId="15" fillId="0" borderId="5" xfId="4" applyNumberFormat="1" applyFont="1" applyFill="1" applyBorder="1" applyAlignment="1">
      <alignment vertical="center" wrapText="1"/>
    </xf>
    <xf numFmtId="43" fontId="15" fillId="0" borderId="5" xfId="4" applyFont="1" applyFill="1" applyBorder="1" applyAlignment="1">
      <alignment horizontal="center" vertical="center" wrapText="1"/>
    </xf>
    <xf numFmtId="43" fontId="15" fillId="0" borderId="5" xfId="6" applyFont="1" applyFill="1" applyBorder="1" applyAlignment="1">
      <alignment horizontal="center" vertical="center" wrapText="1"/>
    </xf>
    <xf numFmtId="167" fontId="28" fillId="0" borderId="5" xfId="6" applyNumberFormat="1" applyFont="1" applyFill="1" applyBorder="1" applyAlignment="1">
      <alignment horizontal="center" vertical="center" wrapText="1"/>
    </xf>
    <xf numFmtId="0" fontId="33" fillId="0" borderId="0" xfId="9" applyFont="1" applyAlignment="1">
      <alignment horizontal="center" vertical="center"/>
    </xf>
    <xf numFmtId="0" fontId="34" fillId="0" borderId="0" xfId="0" applyFont="1" applyAlignment="1">
      <alignment vertical="center"/>
    </xf>
    <xf numFmtId="0" fontId="23" fillId="0" borderId="0" xfId="9" applyFont="1"/>
    <xf numFmtId="0" fontId="23" fillId="0" borderId="0" xfId="9" applyFont="1" applyAlignment="1">
      <alignment horizontal="center"/>
    </xf>
    <xf numFmtId="16" fontId="21" fillId="0" borderId="22" xfId="9" quotePrefix="1" applyNumberFormat="1" applyFont="1" applyBorder="1" applyAlignment="1">
      <alignment horizontal="center" vertical="center" wrapText="1"/>
    </xf>
    <xf numFmtId="0" fontId="21" fillId="0" borderId="22" xfId="9" quotePrefix="1" applyFont="1" applyBorder="1" applyAlignment="1">
      <alignment horizontal="center" vertical="center" wrapText="1"/>
    </xf>
    <xf numFmtId="0" fontId="21" fillId="0" borderId="22" xfId="9" applyFont="1" applyBorder="1" applyAlignment="1">
      <alignment horizontal="center" vertical="center" wrapText="1"/>
    </xf>
    <xf numFmtId="0" fontId="21" fillId="4" borderId="25" xfId="9" applyFont="1" applyFill="1" applyBorder="1" applyAlignment="1">
      <alignment horizontal="center" vertical="center"/>
    </xf>
    <xf numFmtId="0" fontId="21" fillId="4" borderId="5" xfId="9" applyFont="1" applyFill="1" applyBorder="1" applyAlignment="1">
      <alignment horizontal="center" vertical="center"/>
    </xf>
    <xf numFmtId="0" fontId="21" fillId="0" borderId="0" xfId="9" applyFont="1" applyAlignment="1">
      <alignment horizontal="left" vertical="center"/>
    </xf>
    <xf numFmtId="0" fontId="21" fillId="0" borderId="0" xfId="9" applyFont="1" applyAlignment="1">
      <alignment horizontal="right" vertical="center"/>
    </xf>
    <xf numFmtId="172" fontId="21" fillId="0" borderId="0" xfId="6" applyNumberFormat="1" applyFont="1" applyAlignment="1">
      <alignment horizontal="right" vertical="center"/>
    </xf>
    <xf numFmtId="0" fontId="25" fillId="0" borderId="0" xfId="0" applyFont="1" applyBorder="1" applyAlignment="1">
      <alignment horizontal="right" vertical="center" wrapText="1"/>
    </xf>
    <xf numFmtId="0" fontId="26" fillId="0" borderId="0" xfId="0" applyNumberFormat="1" applyFont="1" applyAlignment="1">
      <alignment horizontal="right"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textRotation="90" wrapText="1"/>
    </xf>
    <xf numFmtId="0" fontId="28" fillId="8" borderId="5" xfId="0" applyFont="1" applyFill="1" applyBorder="1" applyAlignment="1">
      <alignment horizontal="center" vertical="center" textRotation="90" wrapText="1"/>
    </xf>
    <xf numFmtId="0" fontId="28" fillId="9" borderId="5" xfId="0" applyFont="1" applyFill="1" applyBorder="1" applyAlignment="1">
      <alignment horizontal="center" vertical="center" textRotation="90" wrapText="1"/>
    </xf>
    <xf numFmtId="0" fontId="29" fillId="0" borderId="5" xfId="0" applyFont="1" applyBorder="1" applyAlignment="1">
      <alignment vertical="center" wrapText="1"/>
    </xf>
    <xf numFmtId="43" fontId="15" fillId="0" borderId="5" xfId="4" applyFont="1" applyBorder="1" applyAlignment="1">
      <alignment horizontal="center" vertical="center" wrapText="1"/>
    </xf>
    <xf numFmtId="167" fontId="15" fillId="0" borderId="5" xfId="5" applyNumberFormat="1" applyFont="1" applyBorder="1" applyAlignment="1">
      <alignment vertical="center" wrapText="1"/>
    </xf>
    <xf numFmtId="172" fontId="15" fillId="0" borderId="5" xfId="5" applyNumberFormat="1" applyFont="1" applyBorder="1" applyAlignment="1">
      <alignment vertical="center" wrapText="1"/>
    </xf>
    <xf numFmtId="172" fontId="15" fillId="0" borderId="5" xfId="4" applyNumberFormat="1" applyFont="1" applyBorder="1" applyAlignment="1">
      <alignment vertical="center" wrapText="1"/>
    </xf>
    <xf numFmtId="43" fontId="15" fillId="0" borderId="5" xfId="4" applyNumberFormat="1" applyFont="1" applyBorder="1" applyAlignment="1">
      <alignment vertical="center" wrapText="1"/>
    </xf>
    <xf numFmtId="167" fontId="15" fillId="0" borderId="5" xfId="4" applyNumberFormat="1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167" fontId="15" fillId="0" borderId="5" xfId="4" applyNumberFormat="1" applyFont="1" applyBorder="1" applyAlignment="1">
      <alignment vertical="center" wrapText="1"/>
    </xf>
    <xf numFmtId="43" fontId="15" fillId="0" borderId="5" xfId="0" applyNumberFormat="1" applyFont="1" applyBorder="1" applyAlignment="1">
      <alignment horizontal="center" vertical="center" wrapText="1"/>
    </xf>
    <xf numFmtId="167" fontId="15" fillId="0" borderId="5" xfId="0" applyNumberFormat="1" applyFont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left" vertical="center"/>
    </xf>
    <xf numFmtId="165" fontId="35" fillId="0" borderId="5" xfId="0" applyNumberFormat="1" applyFont="1" applyFill="1" applyBorder="1" applyAlignment="1">
      <alignment horizontal="left" vertical="center"/>
    </xf>
    <xf numFmtId="167" fontId="15" fillId="0" borderId="5" xfId="5" applyNumberFormat="1" applyFont="1" applyFill="1" applyBorder="1" applyAlignment="1">
      <alignment vertical="center" wrapText="1"/>
    </xf>
    <xf numFmtId="167" fontId="15" fillId="0" borderId="5" xfId="4" applyNumberFormat="1" applyFont="1" applyFill="1" applyBorder="1" applyAlignment="1">
      <alignment vertical="center" wrapText="1"/>
    </xf>
    <xf numFmtId="177" fontId="15" fillId="0" borderId="5" xfId="4" applyNumberFormat="1" applyFont="1" applyFill="1" applyBorder="1" applyAlignment="1">
      <alignment vertical="center" wrapText="1"/>
    </xf>
    <xf numFmtId="0" fontId="35" fillId="4" borderId="5" xfId="0" applyFont="1" applyFill="1" applyBorder="1" applyAlignment="1">
      <alignment horizontal="left" vertical="center"/>
    </xf>
    <xf numFmtId="172" fontId="15" fillId="4" borderId="5" xfId="4" applyNumberFormat="1" applyFont="1" applyFill="1" applyBorder="1" applyAlignment="1">
      <alignment vertical="center" wrapText="1"/>
    </xf>
    <xf numFmtId="43" fontId="15" fillId="0" borderId="5" xfId="5" applyNumberFormat="1" applyFont="1" applyFill="1" applyBorder="1" applyAlignment="1">
      <alignment vertical="center" wrapText="1"/>
    </xf>
    <xf numFmtId="0" fontId="36" fillId="4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 wrapText="1"/>
    </xf>
    <xf numFmtId="43" fontId="15" fillId="4" borderId="5" xfId="4" applyFont="1" applyFill="1" applyBorder="1" applyAlignment="1">
      <alignment horizontal="center" vertical="center" wrapText="1"/>
    </xf>
    <xf numFmtId="167" fontId="15" fillId="4" borderId="5" xfId="5" applyNumberFormat="1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167" fontId="15" fillId="4" borderId="5" xfId="4" applyNumberFormat="1" applyFont="1" applyFill="1" applyBorder="1" applyAlignment="1">
      <alignment vertical="center" wrapText="1"/>
    </xf>
    <xf numFmtId="167" fontId="15" fillId="4" borderId="5" xfId="4" applyNumberFormat="1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35" fillId="5" borderId="5" xfId="0" applyFont="1" applyFill="1" applyBorder="1" applyAlignment="1">
      <alignment horizontal="left" vertical="center"/>
    </xf>
    <xf numFmtId="165" fontId="35" fillId="5" borderId="5" xfId="0" applyNumberFormat="1" applyFont="1" applyFill="1" applyBorder="1" applyAlignment="1">
      <alignment horizontal="left" vertical="center"/>
    </xf>
    <xf numFmtId="43" fontId="15" fillId="5" borderId="5" xfId="4" applyFont="1" applyFill="1" applyBorder="1" applyAlignment="1">
      <alignment horizontal="center" vertical="center" wrapText="1"/>
    </xf>
    <xf numFmtId="172" fontId="28" fillId="5" borderId="5" xfId="4" applyNumberFormat="1" applyFont="1" applyFill="1" applyBorder="1" applyAlignment="1">
      <alignment vertical="center" wrapText="1"/>
    </xf>
    <xf numFmtId="172" fontId="15" fillId="5" borderId="5" xfId="4" applyNumberFormat="1" applyFont="1" applyFill="1" applyBorder="1" applyAlignment="1">
      <alignment vertical="center" wrapText="1"/>
    </xf>
    <xf numFmtId="167" fontId="28" fillId="5" borderId="5" xfId="4" applyNumberFormat="1" applyFont="1" applyFill="1" applyBorder="1" applyAlignment="1">
      <alignment horizontal="center" vertical="center" wrapText="1"/>
    </xf>
    <xf numFmtId="0" fontId="15" fillId="5" borderId="5" xfId="0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vertical="center" wrapText="1"/>
    </xf>
    <xf numFmtId="167" fontId="28" fillId="0" borderId="5" xfId="4" applyNumberFormat="1" applyFont="1" applyFill="1" applyBorder="1" applyAlignment="1">
      <alignment horizontal="center" vertical="center" wrapText="1"/>
    </xf>
    <xf numFmtId="43" fontId="15" fillId="4" borderId="5" xfId="0" applyNumberFormat="1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vertical="center" wrapText="1"/>
    </xf>
    <xf numFmtId="167" fontId="7" fillId="5" borderId="5" xfId="0" applyNumberFormat="1" applyFont="1" applyFill="1" applyBorder="1" applyAlignment="1">
      <alignment vertical="center" wrapText="1"/>
    </xf>
    <xf numFmtId="172" fontId="13" fillId="0" borderId="5" xfId="6" applyNumberFormat="1" applyFont="1" applyFill="1" applyBorder="1" applyAlignment="1">
      <alignment horizontal="justify" vertical="center"/>
    </xf>
    <xf numFmtId="0" fontId="9" fillId="0" borderId="0" xfId="0" applyFont="1" applyAlignment="1">
      <alignment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43" fontId="37" fillId="0" borderId="0" xfId="0" applyNumberFormat="1" applyFont="1" applyBorder="1" applyAlignment="1">
      <alignment horizontal="left" vertical="center"/>
    </xf>
    <xf numFmtId="167" fontId="39" fillId="0" borderId="5" xfId="6" applyNumberFormat="1" applyFont="1" applyBorder="1" applyAlignment="1">
      <alignment vertical="center" wrapText="1"/>
    </xf>
    <xf numFmtId="0" fontId="37" fillId="0" borderId="5" xfId="0" applyFont="1" applyBorder="1" applyAlignment="1">
      <alignment horizontal="center" vertical="center" wrapText="1"/>
    </xf>
    <xf numFmtId="167" fontId="37" fillId="0" borderId="5" xfId="6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3" fontId="6" fillId="0" borderId="0" xfId="6" applyFont="1" applyAlignment="1">
      <alignment horizontal="right" vertical="center"/>
    </xf>
    <xf numFmtId="43" fontId="5" fillId="0" borderId="0" xfId="6" applyFont="1" applyAlignment="1">
      <alignment horizontal="right" vertical="center"/>
    </xf>
    <xf numFmtId="43" fontId="9" fillId="0" borderId="0" xfId="6" applyFont="1" applyAlignment="1">
      <alignment vertical="center"/>
    </xf>
    <xf numFmtId="43" fontId="6" fillId="0" borderId="5" xfId="6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43" fontId="9" fillId="0" borderId="5" xfId="0" applyNumberFormat="1" applyFont="1" applyBorder="1" applyAlignment="1" applyProtection="1">
      <alignment vertical="center"/>
      <protection locked="0"/>
    </xf>
    <xf numFmtId="43" fontId="6" fillId="0" borderId="5" xfId="0" applyNumberFormat="1" applyFont="1" applyBorder="1" applyAlignment="1">
      <alignment vertical="center"/>
    </xf>
    <xf numFmtId="0" fontId="5" fillId="0" borderId="0" xfId="0" applyNumberFormat="1" applyFont="1" applyFill="1" applyAlignment="1">
      <alignment horizontal="righ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7" fontId="11" fillId="0" borderId="0" xfId="5" applyNumberFormat="1" applyFont="1" applyFill="1" applyBorder="1" applyAlignment="1">
      <alignment vertical="center"/>
    </xf>
    <xf numFmtId="167" fontId="11" fillId="4" borderId="0" xfId="5" applyNumberFormat="1" applyFont="1" applyFill="1" applyBorder="1" applyAlignment="1">
      <alignment vertical="center"/>
    </xf>
    <xf numFmtId="167" fontId="7" fillId="0" borderId="0" xfId="6" applyNumberFormat="1" applyFont="1" applyFill="1" applyBorder="1" applyAlignment="1">
      <alignment vertical="center"/>
    </xf>
    <xf numFmtId="167" fontId="6" fillId="0" borderId="0" xfId="6" applyNumberFormat="1" applyFont="1" applyFill="1" applyBorder="1" applyAlignment="1">
      <alignment vertical="center"/>
    </xf>
    <xf numFmtId="167" fontId="9" fillId="0" borderId="0" xfId="6" applyNumberFormat="1" applyFont="1" applyFill="1" applyBorder="1" applyAlignment="1">
      <alignment vertical="center"/>
    </xf>
    <xf numFmtId="172" fontId="9" fillId="0" borderId="0" xfId="6" applyNumberFormat="1" applyFont="1" applyFill="1" applyBorder="1" applyAlignment="1">
      <alignment vertical="center"/>
    </xf>
    <xf numFmtId="167" fontId="9" fillId="0" borderId="0" xfId="6" applyNumberFormat="1" applyFont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167" fontId="4" fillId="0" borderId="16" xfId="6" applyNumberFormat="1" applyFont="1" applyBorder="1" applyAlignment="1">
      <alignment horizontal="left" vertical="center" wrapText="1"/>
    </xf>
    <xf numFmtId="167" fontId="13" fillId="0" borderId="10" xfId="6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7" fontId="4" fillId="0" borderId="5" xfId="6" applyNumberFormat="1" applyFont="1" applyBorder="1" applyAlignment="1">
      <alignment horizontal="left" vertical="center" wrapText="1"/>
    </xf>
    <xf numFmtId="167" fontId="13" fillId="0" borderId="5" xfId="6" applyNumberFormat="1" applyFont="1" applyFill="1" applyBorder="1" applyAlignment="1">
      <alignment horizontal="center" vertical="center" wrapText="1"/>
    </xf>
    <xf numFmtId="43" fontId="13" fillId="0" borderId="5" xfId="6" applyFont="1" applyBorder="1" applyAlignment="1">
      <alignment horizontal="center" vertical="center" wrapText="1"/>
    </xf>
    <xf numFmtId="167" fontId="13" fillId="0" borderId="5" xfId="6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167" fontId="13" fillId="0" borderId="5" xfId="6" applyNumberFormat="1" applyFont="1" applyBorder="1" applyAlignment="1">
      <alignment horizontal="left" vertical="center" wrapText="1"/>
    </xf>
    <xf numFmtId="167" fontId="15" fillId="0" borderId="5" xfId="6" applyNumberFormat="1" applyFont="1" applyBorder="1" applyAlignment="1">
      <alignment horizontal="left" vertical="center" wrapText="1"/>
    </xf>
    <xf numFmtId="178" fontId="13" fillId="0" borderId="10" xfId="7" applyNumberFormat="1" applyFont="1" applyBorder="1" applyAlignment="1">
      <alignment horizontal="center" vertical="center" wrapText="1"/>
    </xf>
    <xf numFmtId="9" fontId="13" fillId="0" borderId="5" xfId="7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center" vertical="center" wrapText="1"/>
    </xf>
    <xf numFmtId="167" fontId="13" fillId="0" borderId="18" xfId="6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right" vertical="center" wrapText="1"/>
    </xf>
    <xf numFmtId="167" fontId="14" fillId="6" borderId="4" xfId="6" applyNumberFormat="1" applyFont="1" applyFill="1" applyBorder="1" applyAlignment="1">
      <alignment horizontal="center" vertical="center" wrapText="1"/>
    </xf>
    <xf numFmtId="9" fontId="14" fillId="6" borderId="4" xfId="7" applyFont="1" applyFill="1" applyBorder="1" applyAlignment="1">
      <alignment horizontal="center" vertical="center" wrapText="1"/>
    </xf>
    <xf numFmtId="167" fontId="15" fillId="0" borderId="10" xfId="6" applyNumberFormat="1" applyFont="1" applyBorder="1" applyAlignment="1">
      <alignment horizontal="center" vertical="center" wrapText="1"/>
    </xf>
    <xf numFmtId="0" fontId="15" fillId="0" borderId="5" xfId="11" applyBorder="1" applyAlignment="1">
      <alignment horizontal="center" vertical="center"/>
    </xf>
    <xf numFmtId="0" fontId="0" fillId="0" borderId="5" xfId="0" applyBorder="1"/>
    <xf numFmtId="167" fontId="13" fillId="0" borderId="10" xfId="6" applyNumberFormat="1" applyFont="1" applyBorder="1" applyAlignment="1">
      <alignment horizontal="left" vertical="center" wrapText="1"/>
    </xf>
    <xf numFmtId="0" fontId="0" fillId="5" borderId="5" xfId="0" applyFill="1" applyBorder="1"/>
    <xf numFmtId="0" fontId="4" fillId="0" borderId="6" xfId="0" applyFont="1" applyBorder="1" applyAlignment="1">
      <alignment horizontal="center" vertical="center" wrapText="1"/>
    </xf>
    <xf numFmtId="0" fontId="32" fillId="0" borderId="5" xfId="0" applyFont="1" applyFill="1" applyBorder="1"/>
    <xf numFmtId="9" fontId="14" fillId="6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right" vertical="center" wrapText="1"/>
    </xf>
    <xf numFmtId="167" fontId="14" fillId="0" borderId="0" xfId="6" applyNumberFormat="1" applyFont="1" applyFill="1" applyBorder="1" applyAlignment="1">
      <alignment horizontal="right" vertical="center" wrapText="1"/>
    </xf>
    <xf numFmtId="167" fontId="14" fillId="0" borderId="0" xfId="6" applyNumberFormat="1" applyFont="1" applyFill="1" applyBorder="1" applyAlignment="1">
      <alignment horizontal="center" vertical="center" wrapText="1"/>
    </xf>
    <xf numFmtId="43" fontId="14" fillId="0" borderId="0" xfId="0" applyNumberFormat="1" applyFont="1" applyFill="1" applyBorder="1" applyAlignment="1">
      <alignment horizontal="center" vertical="center" wrapText="1"/>
    </xf>
    <xf numFmtId="167" fontId="9" fillId="0" borderId="11" xfId="6" applyNumberFormat="1" applyFont="1" applyBorder="1" applyAlignment="1">
      <alignment horizontal="center" vertical="center"/>
    </xf>
    <xf numFmtId="167" fontId="9" fillId="0" borderId="0" xfId="6" applyNumberFormat="1" applyFont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67" fontId="9" fillId="0" borderId="12" xfId="6" applyNumberFormat="1" applyFont="1" applyBorder="1" applyAlignment="1">
      <alignment horizontal="center" vertical="center"/>
    </xf>
    <xf numFmtId="167" fontId="9" fillId="0" borderId="10" xfId="6" applyNumberFormat="1" applyFont="1" applyBorder="1" applyAlignment="1">
      <alignment horizontal="center" vertical="center"/>
    </xf>
    <xf numFmtId="167" fontId="9" fillId="0" borderId="5" xfId="6" applyNumberFormat="1" applyFont="1" applyBorder="1" applyAlignment="1">
      <alignment horizontal="center" vertical="center"/>
    </xf>
    <xf numFmtId="43" fontId="6" fillId="0" borderId="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67" fontId="9" fillId="0" borderId="0" xfId="6" applyNumberFormat="1" applyFont="1" applyAlignment="1">
      <alignment horizontal="center" vertical="center" wrapText="1"/>
    </xf>
    <xf numFmtId="10" fontId="6" fillId="0" borderId="5" xfId="7" applyNumberFormat="1" applyFont="1" applyBorder="1" applyAlignment="1">
      <alignment horizontal="right" vertical="center" wrapText="1"/>
    </xf>
    <xf numFmtId="43" fontId="9" fillId="0" borderId="0" xfId="0" applyNumberFormat="1" applyFont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4" fontId="9" fillId="0" borderId="5" xfId="6" applyNumberFormat="1" applyFont="1" applyBorder="1" applyAlignment="1">
      <alignment vertical="center" wrapText="1"/>
    </xf>
    <xf numFmtId="43" fontId="9" fillId="0" borderId="5" xfId="6" applyFont="1" applyBorder="1" applyAlignment="1">
      <alignment vertical="center" wrapText="1"/>
    </xf>
    <xf numFmtId="167" fontId="9" fillId="0" borderId="5" xfId="6" applyNumberFormat="1" applyFont="1" applyBorder="1" applyAlignment="1">
      <alignment vertical="center" wrapText="1"/>
    </xf>
    <xf numFmtId="0" fontId="9" fillId="0" borderId="5" xfId="0" quotePrefix="1" applyFont="1" applyBorder="1" applyAlignment="1">
      <alignment vertical="center"/>
    </xf>
    <xf numFmtId="172" fontId="9" fillId="0" borderId="5" xfId="6" applyNumberFormat="1" applyFont="1" applyBorder="1" applyAlignment="1">
      <alignment vertical="center" wrapText="1"/>
    </xf>
    <xf numFmtId="167" fontId="9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43" fontId="22" fillId="0" borderId="0" xfId="6" applyNumberFormat="1" applyFont="1" applyAlignment="1">
      <alignment vertical="center" wrapText="1"/>
    </xf>
    <xf numFmtId="0" fontId="26" fillId="0" borderId="0" xfId="0" applyFont="1" applyAlignment="1">
      <alignment horizontal="right"/>
    </xf>
    <xf numFmtId="0" fontId="21" fillId="0" borderId="2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170" fontId="21" fillId="0" borderId="22" xfId="0" applyNumberFormat="1" applyFont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NumberFormat="1" applyFont="1" applyAlignment="1">
      <alignment horizontal="left" vertical="center"/>
    </xf>
    <xf numFmtId="43" fontId="15" fillId="0" borderId="0" xfId="6" applyFont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3" fontId="28" fillId="0" borderId="0" xfId="6" applyFont="1" applyBorder="1" applyAlignment="1">
      <alignment horizontal="center" vertical="center" wrapText="1"/>
    </xf>
    <xf numFmtId="43" fontId="28" fillId="0" borderId="22" xfId="6" applyFont="1" applyBorder="1" applyAlignment="1">
      <alignment horizontal="center" vertical="center" wrapText="1"/>
    </xf>
    <xf numFmtId="43" fontId="15" fillId="0" borderId="0" xfId="6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4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" fontId="0" fillId="0" borderId="5" xfId="0" applyNumberFormat="1" applyBorder="1"/>
    <xf numFmtId="43" fontId="2" fillId="0" borderId="5" xfId="6" applyNumberFormat="1" applyFont="1" applyBorder="1"/>
    <xf numFmtId="2" fontId="0" fillId="0" borderId="5" xfId="0" applyNumberFormat="1" applyBorder="1"/>
    <xf numFmtId="43" fontId="0" fillId="0" borderId="0" xfId="0" applyNumberForma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2"/>
    </xf>
    <xf numFmtId="170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22" fillId="0" borderId="0" xfId="0" applyNumberFormat="1" applyFont="1" applyAlignment="1">
      <alignment horizontal="left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17" fontId="46" fillId="0" borderId="33" xfId="0" applyNumberFormat="1" applyFont="1" applyBorder="1" applyAlignment="1">
      <alignment vertical="center"/>
    </xf>
    <xf numFmtId="167" fontId="23" fillId="0" borderId="5" xfId="6" applyNumberFormat="1" applyFont="1" applyBorder="1" applyAlignment="1">
      <alignment horizontal="center" vertical="center"/>
    </xf>
    <xf numFmtId="170" fontId="23" fillId="0" borderId="5" xfId="0" applyNumberFormat="1" applyFont="1" applyFill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10" fontId="22" fillId="0" borderId="10" xfId="7" applyNumberFormat="1" applyFont="1" applyBorder="1" applyAlignment="1">
      <alignment horizontal="center" vertical="center"/>
    </xf>
    <xf numFmtId="10" fontId="22" fillId="0" borderId="34" xfId="7" applyNumberFormat="1" applyFont="1" applyBorder="1" applyAlignment="1">
      <alignment horizontal="center" vertical="center"/>
    </xf>
    <xf numFmtId="2" fontId="23" fillId="0" borderId="5" xfId="0" applyNumberFormat="1" applyFont="1" applyFill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179" fontId="0" fillId="0" borderId="0" xfId="0" applyNumberFormat="1"/>
    <xf numFmtId="164" fontId="0" fillId="0" borderId="0" xfId="0" applyNumberFormat="1"/>
    <xf numFmtId="172" fontId="17" fillId="0" borderId="5" xfId="3" applyNumberFormat="1" applyFont="1" applyFill="1" applyBorder="1" applyAlignment="1">
      <alignment vertical="center"/>
    </xf>
    <xf numFmtId="164" fontId="0" fillId="0" borderId="0" xfId="1" applyFont="1"/>
    <xf numFmtId="0" fontId="0" fillId="0" borderId="0" xfId="0" applyFill="1"/>
    <xf numFmtId="0" fontId="15" fillId="0" borderId="10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left" vertical="center" wrapText="1"/>
    </xf>
    <xf numFmtId="167" fontId="15" fillId="0" borderId="5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167" fontId="28" fillId="0" borderId="14" xfId="6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67" fontId="31" fillId="0" borderId="10" xfId="0" applyNumberFormat="1" applyFont="1" applyFill="1" applyBorder="1" applyAlignment="1">
      <alignment horizontal="center" vertical="center" wrapText="1"/>
    </xf>
    <xf numFmtId="43" fontId="31" fillId="0" borderId="5" xfId="6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left" vertical="center" wrapText="1"/>
    </xf>
    <xf numFmtId="174" fontId="28" fillId="0" borderId="4" xfId="6" applyNumberFormat="1" applyFont="1" applyFill="1" applyBorder="1" applyAlignment="1">
      <alignment horizontal="center" vertical="center" wrapText="1"/>
    </xf>
    <xf numFmtId="164" fontId="0" fillId="0" borderId="0" xfId="1" applyFont="1" applyFill="1"/>
    <xf numFmtId="164" fontId="0" fillId="0" borderId="0" xfId="0" applyNumberFormat="1" applyFill="1"/>
    <xf numFmtId="0" fontId="8" fillId="0" borderId="0" xfId="0" applyFont="1" applyFill="1" applyAlignment="1">
      <alignment horizontal="right" vertical="center" wrapText="1"/>
    </xf>
    <xf numFmtId="10" fontId="11" fillId="0" borderId="5" xfId="2" applyNumberFormat="1" applyFont="1" applyFill="1" applyBorder="1" applyAlignment="1">
      <alignment vertical="center" wrapText="1"/>
    </xf>
    <xf numFmtId="175" fontId="0" fillId="0" borderId="5" xfId="1" applyNumberFormat="1" applyFont="1" applyFill="1" applyBorder="1" applyAlignment="1">
      <alignment vertical="center"/>
    </xf>
    <xf numFmtId="172" fontId="0" fillId="0" borderId="5" xfId="1" applyNumberFormat="1" applyFont="1" applyFill="1" applyBorder="1" applyAlignment="1">
      <alignment vertical="center"/>
    </xf>
    <xf numFmtId="175" fontId="32" fillId="0" borderId="5" xfId="1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167" fontId="9" fillId="0" borderId="0" xfId="6" applyNumberFormat="1" applyFont="1" applyFill="1" applyAlignment="1">
      <alignment vertical="center" wrapText="1"/>
    </xf>
    <xf numFmtId="0" fontId="0" fillId="0" borderId="0" xfId="0" applyFont="1" applyFill="1"/>
    <xf numFmtId="0" fontId="8" fillId="0" borderId="0" xfId="0" applyFont="1" applyFill="1" applyAlignment="1">
      <alignment horizontal="center" vertical="center" wrapText="1"/>
    </xf>
    <xf numFmtId="167" fontId="8" fillId="0" borderId="0" xfId="0" applyNumberFormat="1" applyFont="1" applyFill="1" applyAlignment="1">
      <alignment horizontal="center" vertical="center" wrapText="1"/>
    </xf>
    <xf numFmtId="167" fontId="8" fillId="0" borderId="0" xfId="6" applyNumberFormat="1" applyFont="1" applyFill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9" fillId="0" borderId="5" xfId="0" applyNumberFormat="1" applyFont="1" applyFill="1" applyBorder="1" applyAlignment="1">
      <alignment vertical="center" wrapText="1"/>
    </xf>
    <xf numFmtId="167" fontId="9" fillId="0" borderId="5" xfId="6" applyNumberFormat="1" applyFont="1" applyFill="1" applyBorder="1" applyAlignment="1">
      <alignment vertical="center" wrapText="1"/>
    </xf>
    <xf numFmtId="43" fontId="6" fillId="0" borderId="5" xfId="6" applyFont="1" applyFill="1" applyBorder="1" applyAlignment="1">
      <alignment vertical="center" wrapText="1"/>
    </xf>
    <xf numFmtId="167" fontId="6" fillId="0" borderId="5" xfId="6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164" fontId="15" fillId="0" borderId="5" xfId="1" applyNumberFormat="1" applyFont="1" applyFill="1" applyBorder="1" applyAlignment="1">
      <alignment horizontal="left" vertical="center" wrapText="1" indent="2"/>
    </xf>
    <xf numFmtId="167" fontId="0" fillId="0" borderId="0" xfId="0" applyNumberFormat="1"/>
    <xf numFmtId="176" fontId="0" fillId="0" borderId="0" xfId="1" applyNumberFormat="1" applyFont="1"/>
    <xf numFmtId="17" fontId="8" fillId="0" borderId="0" xfId="0" applyNumberFormat="1" applyFont="1" applyFill="1" applyAlignment="1">
      <alignment horizontal="right" vertical="center"/>
    </xf>
    <xf numFmtId="10" fontId="0" fillId="0" borderId="0" xfId="0" applyNumberFormat="1"/>
    <xf numFmtId="175" fontId="0" fillId="0" borderId="0" xfId="0" applyNumberFormat="1"/>
    <xf numFmtId="0" fontId="23" fillId="4" borderId="5" xfId="0" applyNumberFormat="1" applyFont="1" applyFill="1" applyBorder="1" applyAlignment="1">
      <alignment vertical="center" wrapText="1"/>
    </xf>
    <xf numFmtId="43" fontId="23" fillId="0" borderId="5" xfId="4" applyNumberFormat="1" applyFont="1" applyFill="1" applyBorder="1" applyAlignment="1">
      <alignment horizontal="right" vertical="center"/>
    </xf>
    <xf numFmtId="43" fontId="23" fillId="0" borderId="5" xfId="5" applyNumberFormat="1" applyFont="1" applyFill="1" applyBorder="1" applyAlignment="1">
      <alignment horizontal="right" vertical="center"/>
    </xf>
    <xf numFmtId="172" fontId="47" fillId="0" borderId="5" xfId="3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0" fontId="23" fillId="0" borderId="5" xfId="0" applyNumberFormat="1" applyFont="1" applyFill="1" applyBorder="1" applyAlignment="1">
      <alignment horizontal="left" vertical="center" wrapText="1"/>
    </xf>
    <xf numFmtId="167" fontId="23" fillId="0" borderId="5" xfId="5" applyNumberFormat="1" applyFont="1" applyFill="1" applyBorder="1" applyAlignment="1">
      <alignment vertical="center"/>
    </xf>
    <xf numFmtId="167" fontId="9" fillId="5" borderId="5" xfId="6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43" fontId="23" fillId="0" borderId="0" xfId="9" applyNumberFormat="1" applyFont="1"/>
    <xf numFmtId="172" fontId="0" fillId="0" borderId="0" xfId="0" applyNumberFormat="1"/>
    <xf numFmtId="43" fontId="0" fillId="0" borderId="0" xfId="0" applyNumberFormat="1" applyFill="1"/>
    <xf numFmtId="2" fontId="0" fillId="0" borderId="0" xfId="0" applyNumberFormat="1"/>
    <xf numFmtId="172" fontId="15" fillId="0" borderId="5" xfId="4" applyNumberFormat="1" applyFont="1" applyFill="1" applyBorder="1" applyAlignment="1">
      <alignment horizontal="center" vertical="center" wrapText="1"/>
    </xf>
    <xf numFmtId="43" fontId="6" fillId="0" borderId="0" xfId="4" applyNumberFormat="1" applyFont="1" applyFill="1" applyBorder="1" applyAlignment="1">
      <alignment vertical="center"/>
    </xf>
    <xf numFmtId="167" fontId="6" fillId="0" borderId="0" xfId="4" applyNumberFormat="1" applyFont="1" applyFill="1" applyBorder="1" applyAlignment="1">
      <alignment vertical="center"/>
    </xf>
    <xf numFmtId="176" fontId="0" fillId="0" borderId="0" xfId="0" applyNumberFormat="1"/>
    <xf numFmtId="170" fontId="0" fillId="0" borderId="0" xfId="0" applyNumberFormat="1"/>
    <xf numFmtId="0" fontId="22" fillId="0" borderId="0" xfId="0" applyFont="1" applyAlignment="1">
      <alignment vertical="center"/>
    </xf>
    <xf numFmtId="0" fontId="0" fillId="0" borderId="0" xfId="0" applyAlignment="1"/>
    <xf numFmtId="167" fontId="23" fillId="0" borderId="5" xfId="6" applyNumberFormat="1" applyFont="1" applyFill="1" applyBorder="1" applyAlignment="1">
      <alignment vertical="center"/>
    </xf>
    <xf numFmtId="43" fontId="15" fillId="0" borderId="11" xfId="4" applyFont="1" applyFill="1" applyBorder="1" applyAlignment="1">
      <alignment horizontal="center" vertical="center" wrapText="1"/>
    </xf>
    <xf numFmtId="43" fontId="15" fillId="0" borderId="5" xfId="4" applyFont="1" applyFill="1" applyBorder="1" applyAlignment="1">
      <alignment vertical="center" wrapText="1"/>
    </xf>
    <xf numFmtId="177" fontId="15" fillId="0" borderId="5" xfId="6" applyNumberFormat="1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left" vertical="center"/>
    </xf>
    <xf numFmtId="167" fontId="6" fillId="10" borderId="5" xfId="1" applyNumberFormat="1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167" fontId="9" fillId="10" borderId="0" xfId="1" applyNumberFormat="1" applyFont="1" applyFill="1" applyAlignment="1">
      <alignment vertical="center"/>
    </xf>
    <xf numFmtId="167" fontId="6" fillId="10" borderId="6" xfId="1" applyNumberFormat="1" applyFont="1" applyFill="1" applyBorder="1" applyAlignment="1">
      <alignment vertical="center"/>
    </xf>
    <xf numFmtId="164" fontId="15" fillId="0" borderId="5" xfId="1" applyFont="1" applyFill="1" applyBorder="1" applyAlignment="1">
      <alignment horizontal="center" vertical="center" wrapText="1"/>
    </xf>
    <xf numFmtId="175" fontId="0" fillId="0" borderId="0" xfId="1" applyNumberFormat="1" applyFont="1"/>
    <xf numFmtId="0" fontId="48" fillId="0" borderId="0" xfId="0" applyFont="1"/>
    <xf numFmtId="10" fontId="0" fillId="0" borderId="0" xfId="2" applyNumberFormat="1" applyFont="1"/>
    <xf numFmtId="174" fontId="6" fillId="0" borderId="5" xfId="4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left" vertical="center" wrapText="1"/>
    </xf>
    <xf numFmtId="0" fontId="29" fillId="0" borderId="37" xfId="0" applyFont="1" applyFill="1" applyBorder="1" applyAlignment="1">
      <alignment horizontal="center" vertical="center" wrapText="1"/>
    </xf>
    <xf numFmtId="167" fontId="28" fillId="0" borderId="4" xfId="0" applyNumberFormat="1" applyFont="1" applyFill="1" applyBorder="1" applyAlignment="1">
      <alignment horizontal="center" vertical="center" wrapText="1"/>
    </xf>
    <xf numFmtId="175" fontId="15" fillId="0" borderId="5" xfId="1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43" fontId="15" fillId="0" borderId="5" xfId="4" applyNumberFormat="1" applyFont="1" applyFill="1" applyBorder="1" applyAlignment="1">
      <alignment horizontal="center" vertical="center" wrapText="1"/>
    </xf>
    <xf numFmtId="164" fontId="15" fillId="0" borderId="5" xfId="8" applyNumberFormat="1" applyFont="1" applyFill="1" applyBorder="1" applyAlignment="1">
      <alignment horizontal="left" vertical="center" wrapText="1" indent="2"/>
    </xf>
    <xf numFmtId="0" fontId="48" fillId="0" borderId="0" xfId="0" applyFont="1" applyFill="1"/>
    <xf numFmtId="164" fontId="0" fillId="0" borderId="0" xfId="1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64" fontId="32" fillId="0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ill="1" applyBorder="1"/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7" fontId="5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21" fillId="0" borderId="5" xfId="0" applyNumberFormat="1" applyFont="1" applyFill="1" applyBorder="1" applyAlignment="1">
      <alignment vertical="center" wrapText="1"/>
    </xf>
    <xf numFmtId="0" fontId="19" fillId="0" borderId="5" xfId="0" applyNumberFormat="1" applyFont="1" applyFill="1" applyBorder="1" applyAlignment="1">
      <alignment horizontal="left" vertical="center" wrapText="1"/>
    </xf>
    <xf numFmtId="167" fontId="23" fillId="0" borderId="5" xfId="8" applyNumberFormat="1" applyFont="1" applyFill="1" applyBorder="1" applyAlignment="1">
      <alignment vertical="center"/>
    </xf>
    <xf numFmtId="43" fontId="21" fillId="0" borderId="5" xfId="4" applyNumberFormat="1" applyFont="1" applyFill="1" applyBorder="1" applyAlignment="1">
      <alignment horizontal="right" vertical="center"/>
    </xf>
    <xf numFmtId="177" fontId="23" fillId="0" borderId="5" xfId="5" applyNumberFormat="1" applyFont="1" applyFill="1" applyBorder="1" applyAlignment="1">
      <alignment vertical="center"/>
    </xf>
    <xf numFmtId="10" fontId="23" fillId="0" borderId="5" xfId="7" applyNumberFormat="1" applyFont="1" applyFill="1" applyBorder="1" applyAlignment="1">
      <alignment vertical="center"/>
    </xf>
    <xf numFmtId="43" fontId="18" fillId="0" borderId="5" xfId="6" applyFont="1" applyFill="1" applyBorder="1" applyAlignment="1">
      <alignment horizontal="center" vertical="center" wrapText="1"/>
    </xf>
    <xf numFmtId="167" fontId="23" fillId="0" borderId="10" xfId="6" applyNumberFormat="1" applyFont="1" applyFill="1" applyBorder="1" applyAlignment="1">
      <alignment vertical="center"/>
    </xf>
    <xf numFmtId="167" fontId="24" fillId="0" borderId="5" xfId="6" applyNumberFormat="1" applyFont="1" applyFill="1" applyBorder="1" applyAlignment="1">
      <alignment vertical="center"/>
    </xf>
    <xf numFmtId="43" fontId="24" fillId="0" borderId="5" xfId="6" applyFont="1" applyFill="1" applyBorder="1" applyAlignment="1">
      <alignment horizontal="center" vertical="center" wrapText="1"/>
    </xf>
    <xf numFmtId="9" fontId="0" fillId="0" borderId="0" xfId="2" applyFont="1" applyFill="1"/>
    <xf numFmtId="180" fontId="0" fillId="0" borderId="0" xfId="0" applyNumberFormat="1" applyFill="1"/>
    <xf numFmtId="176" fontId="0" fillId="0" borderId="0" xfId="0" applyNumberFormat="1" applyFill="1"/>
    <xf numFmtId="170" fontId="0" fillId="0" borderId="0" xfId="0" applyNumberFormat="1" applyFill="1"/>
    <xf numFmtId="175" fontId="0" fillId="0" borderId="0" xfId="1" applyNumberFormat="1" applyFont="1" applyFill="1"/>
    <xf numFmtId="0" fontId="9" fillId="0" borderId="5" xfId="0" applyFont="1" applyFill="1" applyBorder="1" applyAlignment="1">
      <alignment horizontal="center" vertical="center" wrapText="1"/>
    </xf>
    <xf numFmtId="167" fontId="31" fillId="0" borderId="0" xfId="6" applyNumberFormat="1" applyFont="1" applyFill="1" applyBorder="1" applyAlignment="1">
      <alignment horizontal="center" vertical="center" wrapText="1"/>
    </xf>
    <xf numFmtId="43" fontId="15" fillId="0" borderId="16" xfId="4" applyNumberFormat="1" applyFont="1" applyFill="1" applyBorder="1" applyAlignment="1">
      <alignment horizontal="center" vertical="center" wrapText="1"/>
    </xf>
    <xf numFmtId="173" fontId="0" fillId="0" borderId="0" xfId="0" applyNumberFormat="1"/>
    <xf numFmtId="173" fontId="32" fillId="0" borderId="0" xfId="0" applyNumberFormat="1" applyFont="1"/>
    <xf numFmtId="175" fontId="15" fillId="0" borderId="5" xfId="1" applyNumberFormat="1" applyFont="1" applyFill="1" applyBorder="1" applyAlignment="1">
      <alignment horizontal="left" vertical="center" wrapText="1" indent="2"/>
    </xf>
    <xf numFmtId="174" fontId="31" fillId="0" borderId="5" xfId="6" applyNumberFormat="1" applyFont="1" applyFill="1" applyBorder="1" applyAlignment="1">
      <alignment horizontal="center" vertical="center" wrapText="1"/>
    </xf>
    <xf numFmtId="181" fontId="0" fillId="0" borderId="0" xfId="1" applyNumberFormat="1" applyFont="1" applyAlignment="1">
      <alignment horizontal="center" vertical="center"/>
    </xf>
    <xf numFmtId="43" fontId="15" fillId="0" borderId="18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182" fontId="0" fillId="0" borderId="5" xfId="0" applyNumberFormat="1" applyBorder="1" applyAlignment="1">
      <alignment vertical="center"/>
    </xf>
    <xf numFmtId="182" fontId="0" fillId="0" borderId="5" xfId="0" applyNumberFormat="1" applyBorder="1" applyAlignment="1">
      <alignment vertical="center" wrapText="1"/>
    </xf>
    <xf numFmtId="172" fontId="0" fillId="0" borderId="5" xfId="4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72" fontId="2" fillId="0" borderId="5" xfId="4" applyNumberFormat="1" applyFont="1" applyFill="1" applyBorder="1" applyAlignment="1">
      <alignment horizontal="center" vertical="center" wrapText="1"/>
    </xf>
    <xf numFmtId="172" fontId="2" fillId="0" borderId="5" xfId="4" applyNumberFormat="1" applyFont="1" applyFill="1" applyBorder="1" applyAlignment="1">
      <alignment vertical="center"/>
    </xf>
    <xf numFmtId="175" fontId="50" fillId="0" borderId="5" xfId="4" applyNumberFormat="1" applyFont="1" applyFill="1" applyBorder="1" applyAlignment="1">
      <alignment vertical="center"/>
    </xf>
    <xf numFmtId="172" fontId="0" fillId="0" borderId="5" xfId="6" applyNumberFormat="1" applyFont="1" applyBorder="1" applyAlignment="1">
      <alignment horizontal="center" vertical="center"/>
    </xf>
    <xf numFmtId="172" fontId="32" fillId="0" borderId="5" xfId="6" applyNumberFormat="1" applyFont="1" applyBorder="1" applyAlignment="1">
      <alignment horizontal="center" vertical="center"/>
    </xf>
    <xf numFmtId="175" fontId="0" fillId="0" borderId="5" xfId="1" applyNumberFormat="1" applyFont="1" applyFill="1" applyBorder="1" applyAlignment="1">
      <alignment horizontal="center" vertical="center" wrapText="1"/>
    </xf>
    <xf numFmtId="10" fontId="0" fillId="0" borderId="0" xfId="2" applyNumberFormat="1" applyFont="1" applyFill="1"/>
    <xf numFmtId="183" fontId="0" fillId="0" borderId="0" xfId="2" applyNumberFormat="1" applyFont="1" applyFill="1"/>
    <xf numFmtId="0" fontId="23" fillId="0" borderId="7" xfId="0" applyNumberFormat="1" applyFont="1" applyFill="1" applyBorder="1" applyAlignment="1">
      <alignment horizontal="left" vertical="center" wrapText="1"/>
    </xf>
    <xf numFmtId="0" fontId="23" fillId="0" borderId="18" xfId="0" applyNumberFormat="1" applyFont="1" applyFill="1" applyBorder="1" applyAlignment="1">
      <alignment horizontal="left" vertical="center" wrapText="1"/>
    </xf>
    <xf numFmtId="167" fontId="21" fillId="0" borderId="5" xfId="4" applyNumberFormat="1" applyFont="1" applyFill="1" applyBorder="1" applyAlignment="1">
      <alignment horizontal="right" vertical="center"/>
    </xf>
    <xf numFmtId="0" fontId="0" fillId="0" borderId="0" xfId="0" applyFill="1" applyAlignment="1"/>
    <xf numFmtId="167" fontId="0" fillId="0" borderId="0" xfId="0" applyNumberFormat="1" applyFill="1" applyAlignment="1"/>
    <xf numFmtId="175" fontId="0" fillId="0" borderId="0" xfId="0" applyNumberFormat="1" applyFill="1"/>
    <xf numFmtId="180" fontId="0" fillId="0" borderId="0" xfId="1" applyNumberFormat="1" applyFont="1" applyFill="1"/>
    <xf numFmtId="0" fontId="9" fillId="10" borderId="0" xfId="0" applyFont="1" applyFill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178" fontId="0" fillId="0" borderId="0" xfId="2" applyNumberFormat="1" applyFont="1" applyFill="1"/>
    <xf numFmtId="170" fontId="18" fillId="0" borderId="5" xfId="5" applyNumberFormat="1" applyFont="1" applyFill="1" applyBorder="1" applyAlignment="1">
      <alignment vertical="center"/>
    </xf>
    <xf numFmtId="167" fontId="18" fillId="0" borderId="5" xfId="8" applyNumberFormat="1" applyFont="1" applyFill="1" applyBorder="1" applyAlignment="1">
      <alignment vertical="center"/>
    </xf>
    <xf numFmtId="164" fontId="6" fillId="0" borderId="5" xfId="1" applyFont="1" applyFill="1" applyBorder="1" applyAlignment="1">
      <alignment vertical="center"/>
    </xf>
    <xf numFmtId="167" fontId="18" fillId="0" borderId="5" xfId="6" applyNumberFormat="1" applyFont="1" applyFill="1" applyBorder="1" applyAlignment="1">
      <alignment vertical="center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vertical="center" wrapText="1"/>
    </xf>
    <xf numFmtId="175" fontId="2" fillId="0" borderId="5" xfId="1" applyNumberFormat="1" applyFont="1" applyBorder="1" applyAlignment="1">
      <alignment horizontal="center" vertical="center" wrapText="1"/>
    </xf>
    <xf numFmtId="164" fontId="0" fillId="0" borderId="0" xfId="1" applyNumberFormat="1" applyFont="1"/>
    <xf numFmtId="175" fontId="46" fillId="0" borderId="5" xfId="4" applyNumberFormat="1" applyFont="1" applyFill="1" applyBorder="1" applyAlignment="1">
      <alignment vertical="center"/>
    </xf>
    <xf numFmtId="164" fontId="9" fillId="0" borderId="5" xfId="1" applyNumberFormat="1" applyFont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43" fontId="23" fillId="0" borderId="5" xfId="6" applyFont="1" applyFill="1" applyBorder="1" applyAlignment="1">
      <alignment horizontal="center" vertical="center" wrapText="1"/>
    </xf>
    <xf numFmtId="164" fontId="29" fillId="0" borderId="0" xfId="1" applyFont="1" applyFill="1" applyAlignment="1">
      <alignment horizontal="center" vertical="center"/>
    </xf>
    <xf numFmtId="164" fontId="28" fillId="0" borderId="5" xfId="1" applyFont="1" applyFill="1" applyBorder="1" applyAlignment="1">
      <alignment horizontal="center" vertical="center" wrapText="1"/>
    </xf>
    <xf numFmtId="164" fontId="15" fillId="0" borderId="5" xfId="1" applyFont="1" applyFill="1" applyBorder="1" applyAlignment="1">
      <alignment horizontal="center" vertical="center"/>
    </xf>
    <xf numFmtId="167" fontId="0" fillId="0" borderId="0" xfId="0" applyNumberFormat="1" applyFill="1"/>
    <xf numFmtId="184" fontId="15" fillId="0" borderId="16" xfId="0" applyNumberFormat="1" applyFont="1" applyFill="1" applyBorder="1" applyAlignment="1">
      <alignment horizontal="left" vertical="center" wrapText="1"/>
    </xf>
    <xf numFmtId="43" fontId="15" fillId="0" borderId="5" xfId="5" applyNumberFormat="1" applyFont="1" applyFill="1" applyBorder="1" applyAlignment="1">
      <alignment horizontal="center" vertical="center" wrapText="1"/>
    </xf>
    <xf numFmtId="178" fontId="11" fillId="0" borderId="5" xfId="2" applyNumberFormat="1" applyFont="1" applyFill="1" applyBorder="1" applyAlignment="1">
      <alignment vertical="center" wrapText="1"/>
    </xf>
    <xf numFmtId="175" fontId="28" fillId="0" borderId="5" xfId="1" applyNumberFormat="1" applyFont="1" applyFill="1" applyBorder="1" applyAlignment="1">
      <alignment horizontal="center" vertical="center" wrapText="1"/>
    </xf>
    <xf numFmtId="175" fontId="15" fillId="0" borderId="18" xfId="1" applyNumberFormat="1" applyFont="1" applyFill="1" applyBorder="1" applyAlignment="1">
      <alignment horizontal="center" vertical="center" textRotation="90" wrapText="1"/>
    </xf>
    <xf numFmtId="0" fontId="6" fillId="0" borderId="5" xfId="0" applyFont="1" applyFill="1" applyBorder="1" applyAlignment="1">
      <alignment horizontal="center" vertical="center" wrapText="1"/>
    </xf>
    <xf numFmtId="174" fontId="0" fillId="0" borderId="0" xfId="0" applyNumberFormat="1"/>
    <xf numFmtId="176" fontId="0" fillId="0" borderId="0" xfId="1" applyNumberFormat="1" applyFont="1" applyFill="1"/>
    <xf numFmtId="3" fontId="56" fillId="0" borderId="38" xfId="0" applyNumberFormat="1" applyFont="1" applyFill="1" applyBorder="1" applyAlignment="1">
      <alignment horizontal="right" vertical="top" shrinkToFit="1"/>
    </xf>
    <xf numFmtId="175" fontId="51" fillId="0" borderId="5" xfId="1" applyNumberFormat="1" applyFont="1" applyFill="1" applyBorder="1" applyAlignment="1">
      <alignment vertical="center"/>
    </xf>
    <xf numFmtId="3" fontId="56" fillId="0" borderId="39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horizontal="center" vertical="center" wrapText="1"/>
    </xf>
    <xf numFmtId="43" fontId="6" fillId="0" borderId="0" xfId="6" applyFont="1" applyFill="1" applyBorder="1" applyAlignment="1">
      <alignment vertical="center" wrapText="1"/>
    </xf>
    <xf numFmtId="167" fontId="6" fillId="0" borderId="0" xfId="6" applyNumberFormat="1" applyFont="1" applyFill="1" applyBorder="1" applyAlignment="1">
      <alignment vertical="center" wrapText="1"/>
    </xf>
    <xf numFmtId="185" fontId="15" fillId="0" borderId="12" xfId="1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3" fillId="0" borderId="0" xfId="9" applyFont="1" applyAlignment="1">
      <alignment horizontal="center" vertical="center"/>
    </xf>
    <xf numFmtId="43" fontId="15" fillId="0" borderId="5" xfId="1" applyNumberFormat="1" applyFont="1" applyFill="1" applyBorder="1" applyAlignment="1">
      <alignment horizontal="left" vertical="center" wrapText="1" indent="2"/>
    </xf>
    <xf numFmtId="0" fontId="23" fillId="0" borderId="0" xfId="9" applyFont="1" applyAlignment="1">
      <alignment vertical="center"/>
    </xf>
    <xf numFmtId="0" fontId="0" fillId="0" borderId="0" xfId="0" applyAlignment="1">
      <alignment vertical="center"/>
    </xf>
    <xf numFmtId="175" fontId="23" fillId="4" borderId="5" xfId="1" applyNumberFormat="1" applyFont="1" applyFill="1" applyBorder="1" applyAlignment="1">
      <alignment horizontal="center" vertical="center"/>
    </xf>
    <xf numFmtId="175" fontId="23" fillId="4" borderId="5" xfId="1" applyNumberFormat="1" applyFont="1" applyFill="1" applyBorder="1" applyAlignment="1">
      <alignment vertical="center"/>
    </xf>
    <xf numFmtId="43" fontId="23" fillId="4" borderId="5" xfId="1" applyNumberFormat="1" applyFont="1" applyFill="1" applyBorder="1" applyAlignment="1">
      <alignment horizontal="center" vertical="center"/>
    </xf>
    <xf numFmtId="186" fontId="29" fillId="0" borderId="0" xfId="0" applyNumberFormat="1" applyFont="1" applyFill="1" applyAlignment="1">
      <alignment horizontal="right" vertical="center"/>
    </xf>
    <xf numFmtId="164" fontId="0" fillId="0" borderId="5" xfId="4" applyNumberFormat="1" applyFont="1" applyFill="1" applyBorder="1" applyAlignment="1">
      <alignment vertical="center"/>
    </xf>
    <xf numFmtId="0" fontId="6" fillId="0" borderId="0" xfId="2" applyNumberFormat="1" applyFont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185" fontId="0" fillId="0" borderId="0" xfId="1" applyNumberFormat="1" applyFont="1"/>
    <xf numFmtId="175" fontId="2" fillId="0" borderId="5" xfId="4" applyNumberFormat="1" applyFont="1" applyFill="1" applyBorder="1" applyAlignment="1">
      <alignment vertical="center"/>
    </xf>
    <xf numFmtId="2" fontId="6" fillId="0" borderId="5" xfId="2" applyNumberFormat="1" applyFont="1" applyBorder="1" applyAlignment="1">
      <alignment vertical="center"/>
    </xf>
    <xf numFmtId="0" fontId="6" fillId="9" borderId="0" xfId="0" applyFont="1" applyFill="1" applyAlignment="1">
      <alignment vertical="center"/>
    </xf>
    <xf numFmtId="10" fontId="6" fillId="9" borderId="5" xfId="2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167" fontId="0" fillId="0" borderId="0" xfId="0" applyNumberFormat="1" applyFont="1" applyFill="1"/>
    <xf numFmtId="0" fontId="32" fillId="0" borderId="5" xfId="0" applyFont="1" applyFill="1" applyBorder="1" applyAlignment="1">
      <alignment horizontal="center" vertical="center" wrapText="1"/>
    </xf>
    <xf numFmtId="164" fontId="32" fillId="0" borderId="0" xfId="0" applyNumberFormat="1" applyFont="1"/>
    <xf numFmtId="0" fontId="32" fillId="0" borderId="5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right" vertical="top" wrapText="1" indent="2"/>
    </xf>
    <xf numFmtId="175" fontId="0" fillId="0" borderId="5" xfId="1" applyNumberFormat="1" applyFont="1" applyFill="1" applyBorder="1" applyAlignment="1">
      <alignment horizontal="left" vertical="center" wrapText="1"/>
    </xf>
    <xf numFmtId="3" fontId="54" fillId="0" borderId="5" xfId="0" applyNumberFormat="1" applyFont="1" applyFill="1" applyBorder="1" applyAlignment="1">
      <alignment horizontal="right" vertical="top" shrinkToFit="1"/>
    </xf>
    <xf numFmtId="175" fontId="52" fillId="0" borderId="5" xfId="1" applyNumberFormat="1" applyFont="1" applyFill="1" applyBorder="1" applyAlignment="1">
      <alignment horizontal="right" vertical="center" wrapText="1" indent="2"/>
    </xf>
    <xf numFmtId="0" fontId="0" fillId="0" borderId="5" xfId="0" applyFill="1" applyBorder="1" applyAlignment="1">
      <alignment horizontal="left" vertical="center" wrapText="1"/>
    </xf>
    <xf numFmtId="3" fontId="54" fillId="0" borderId="5" xfId="0" applyNumberFormat="1" applyFont="1" applyFill="1" applyBorder="1" applyAlignment="1">
      <alignment horizontal="right" vertical="center" shrinkToFit="1"/>
    </xf>
    <xf numFmtId="3" fontId="55" fillId="0" borderId="39" xfId="0" applyNumberFormat="1" applyFont="1" applyFill="1" applyBorder="1" applyAlignment="1">
      <alignment horizontal="right" vertical="top" shrinkToFit="1"/>
    </xf>
    <xf numFmtId="43" fontId="0" fillId="0" borderId="5" xfId="1" applyNumberFormat="1" applyFont="1" applyFill="1" applyBorder="1" applyAlignment="1">
      <alignment vertical="center"/>
    </xf>
    <xf numFmtId="0" fontId="52" fillId="0" borderId="38" xfId="0" applyFont="1" applyFill="1" applyBorder="1" applyAlignment="1">
      <alignment horizontal="right" vertical="top" wrapText="1" indent="2"/>
    </xf>
    <xf numFmtId="175" fontId="0" fillId="0" borderId="0" xfId="1" applyNumberFormat="1" applyFont="1" applyFill="1" applyBorder="1" applyAlignment="1">
      <alignment vertical="center"/>
    </xf>
    <xf numFmtId="0" fontId="0" fillId="0" borderId="38" xfId="0" applyFill="1" applyBorder="1" applyAlignment="1">
      <alignment horizontal="left" wrapText="1"/>
    </xf>
    <xf numFmtId="3" fontId="54" fillId="0" borderId="0" xfId="0" applyNumberFormat="1" applyFont="1" applyFill="1" applyBorder="1" applyAlignment="1">
      <alignment horizontal="right" vertical="top" shrinkToFit="1"/>
    </xf>
    <xf numFmtId="0" fontId="52" fillId="0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wrapText="1"/>
    </xf>
    <xf numFmtId="175" fontId="32" fillId="0" borderId="6" xfId="1" applyNumberFormat="1" applyFont="1" applyFill="1" applyBorder="1" applyAlignment="1">
      <alignment vertical="center"/>
    </xf>
    <xf numFmtId="3" fontId="54" fillId="0" borderId="38" xfId="0" applyNumberFormat="1" applyFont="1" applyFill="1" applyBorder="1" applyAlignment="1">
      <alignment horizontal="right" vertical="top" shrinkToFit="1"/>
    </xf>
    <xf numFmtId="3" fontId="54" fillId="0" borderId="38" xfId="0" applyNumberFormat="1" applyFont="1" applyFill="1" applyBorder="1" applyAlignment="1">
      <alignment horizontal="left" vertical="top" indent="3" shrinkToFit="1"/>
    </xf>
    <xf numFmtId="175" fontId="2" fillId="0" borderId="5" xfId="1" applyNumberFormat="1" applyFont="1" applyFill="1" applyBorder="1" applyAlignment="1">
      <alignment vertical="center"/>
    </xf>
    <xf numFmtId="3" fontId="54" fillId="0" borderId="38" xfId="0" applyNumberFormat="1" applyFont="1" applyFill="1" applyBorder="1" applyAlignment="1">
      <alignment horizontal="right" vertical="center" shrinkToFit="1"/>
    </xf>
    <xf numFmtId="175" fontId="0" fillId="0" borderId="38" xfId="1" applyNumberFormat="1" applyFont="1" applyFill="1" applyBorder="1" applyAlignment="1">
      <alignment horizontal="left" wrapText="1"/>
    </xf>
    <xf numFmtId="175" fontId="0" fillId="0" borderId="0" xfId="1" applyNumberFormat="1" applyFont="1" applyFill="1" applyBorder="1" applyAlignment="1">
      <alignment horizontal="left" wrapText="1"/>
    </xf>
    <xf numFmtId="175" fontId="0" fillId="0" borderId="18" xfId="1" applyNumberFormat="1" applyFont="1" applyFill="1" applyBorder="1" applyAlignment="1">
      <alignment vertical="center"/>
    </xf>
    <xf numFmtId="175" fontId="32" fillId="0" borderId="18" xfId="1" applyNumberFormat="1" applyFont="1" applyFill="1" applyBorder="1" applyAlignment="1">
      <alignment vertical="center"/>
    </xf>
    <xf numFmtId="3" fontId="56" fillId="0" borderId="41" xfId="0" applyNumberFormat="1" applyFont="1" applyFill="1" applyBorder="1" applyAlignment="1">
      <alignment horizontal="right" vertical="top" shrinkToFit="1"/>
    </xf>
    <xf numFmtId="0" fontId="32" fillId="10" borderId="5" xfId="0" applyFont="1" applyFill="1" applyBorder="1"/>
    <xf numFmtId="3" fontId="55" fillId="0" borderId="5" xfId="0" applyNumberFormat="1" applyFont="1" applyFill="1" applyBorder="1" applyAlignment="1">
      <alignment horizontal="right" vertical="top" shrinkToFit="1"/>
    </xf>
    <xf numFmtId="3" fontId="57" fillId="0" borderId="5" xfId="0" applyNumberFormat="1" applyFont="1" applyFill="1" applyBorder="1" applyAlignment="1">
      <alignment horizontal="right" vertical="top" shrinkToFit="1"/>
    </xf>
    <xf numFmtId="176" fontId="9" fillId="0" borderId="0" xfId="1" applyNumberFormat="1" applyFont="1" applyBorder="1" applyAlignment="1">
      <alignment vertical="center"/>
    </xf>
    <xf numFmtId="175" fontId="0" fillId="11" borderId="5" xfId="1" applyNumberFormat="1" applyFont="1" applyFill="1" applyBorder="1" applyAlignment="1">
      <alignment vertical="center"/>
    </xf>
    <xf numFmtId="0" fontId="0" fillId="10" borderId="5" xfId="0" applyFill="1" applyBorder="1"/>
    <xf numFmtId="170" fontId="6" fillId="0" borderId="5" xfId="2" applyNumberFormat="1" applyFont="1" applyBorder="1" applyAlignment="1">
      <alignment vertical="center"/>
    </xf>
    <xf numFmtId="0" fontId="25" fillId="0" borderId="0" xfId="0" applyFont="1" applyFill="1" applyAlignment="1">
      <alignment horizontal="right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center" wrapText="1"/>
    </xf>
    <xf numFmtId="167" fontId="21" fillId="0" borderId="5" xfId="4" applyNumberFormat="1" applyFont="1" applyFill="1" applyBorder="1" applyAlignment="1">
      <alignment vertical="center"/>
    </xf>
    <xf numFmtId="43" fontId="15" fillId="0" borderId="16" xfId="0" applyNumberFormat="1" applyFont="1" applyFill="1" applyBorder="1" applyAlignment="1">
      <alignment horizontal="left" vertical="center" wrapText="1"/>
    </xf>
    <xf numFmtId="186" fontId="15" fillId="0" borderId="18" xfId="0" applyNumberFormat="1" applyFont="1" applyFill="1" applyBorder="1" applyAlignment="1">
      <alignment horizontal="left" vertical="center" wrapText="1"/>
    </xf>
    <xf numFmtId="175" fontId="32" fillId="0" borderId="0" xfId="1" applyNumberFormat="1" applyFont="1"/>
    <xf numFmtId="43" fontId="5" fillId="0" borderId="0" xfId="6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 wrapText="1"/>
    </xf>
    <xf numFmtId="174" fontId="9" fillId="0" borderId="5" xfId="4" applyNumberFormat="1" applyFont="1" applyFill="1" applyBorder="1" applyAlignment="1">
      <alignment vertical="center"/>
    </xf>
    <xf numFmtId="0" fontId="23" fillId="0" borderId="6" xfId="0" applyNumberFormat="1" applyFont="1" applyFill="1" applyBorder="1" applyAlignment="1">
      <alignment vertical="center" wrapText="1"/>
    </xf>
    <xf numFmtId="172" fontId="59" fillId="0" borderId="5" xfId="3" applyNumberFormat="1" applyFont="1" applyFill="1" applyBorder="1" applyAlignment="1">
      <alignment vertical="center" wrapText="1"/>
    </xf>
    <xf numFmtId="167" fontId="32" fillId="0" borderId="0" xfId="0" applyNumberFormat="1" applyFont="1"/>
    <xf numFmtId="0" fontId="32" fillId="0" borderId="5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175" fontId="32" fillId="0" borderId="0" xfId="1" applyNumberFormat="1" applyFont="1" applyFill="1"/>
    <xf numFmtId="175" fontId="32" fillId="11" borderId="5" xfId="1" applyNumberFormat="1" applyFont="1" applyFill="1" applyBorder="1" applyAlignment="1">
      <alignment vertical="center"/>
    </xf>
    <xf numFmtId="164" fontId="0" fillId="0" borderId="5" xfId="1" applyNumberFormat="1" applyFont="1" applyFill="1" applyBorder="1" applyAlignment="1">
      <alignment vertical="center"/>
    </xf>
    <xf numFmtId="3" fontId="56" fillId="11" borderId="5" xfId="0" applyNumberFormat="1" applyFont="1" applyFill="1" applyBorder="1" applyAlignment="1">
      <alignment horizontal="right" vertical="top" shrinkToFit="1"/>
    </xf>
    <xf numFmtId="175" fontId="51" fillId="11" borderId="5" xfId="1" applyNumberFormat="1" applyFont="1" applyFill="1" applyBorder="1" applyAlignment="1">
      <alignment vertical="center"/>
    </xf>
    <xf numFmtId="3" fontId="57" fillId="11" borderId="5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vertical="center"/>
    </xf>
    <xf numFmtId="175" fontId="15" fillId="0" borderId="5" xfId="1" applyNumberFormat="1" applyFont="1" applyFill="1" applyBorder="1" applyAlignment="1">
      <alignment vertical="center" wrapText="1"/>
    </xf>
    <xf numFmtId="174" fontId="6" fillId="10" borderId="5" xfId="1" applyNumberFormat="1" applyFont="1" applyFill="1" applyBorder="1" applyAlignment="1">
      <alignment vertical="center"/>
    </xf>
    <xf numFmtId="187" fontId="6" fillId="0" borderId="0" xfId="2" applyNumberFormat="1" applyFont="1" applyFill="1" applyBorder="1" applyAlignment="1">
      <alignment vertical="center"/>
    </xf>
    <xf numFmtId="176" fontId="28" fillId="0" borderId="5" xfId="1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5" borderId="5" xfId="0" applyNumberFormat="1" applyFont="1" applyFill="1" applyBorder="1" applyAlignment="1">
      <alignment vertical="center" wrapText="1"/>
    </xf>
    <xf numFmtId="10" fontId="11" fillId="5" borderId="5" xfId="2" applyNumberFormat="1" applyFont="1" applyFill="1" applyBorder="1" applyAlignment="1">
      <alignment vertical="center" wrapText="1"/>
    </xf>
    <xf numFmtId="0" fontId="29" fillId="0" borderId="0" xfId="0" applyFont="1" applyFill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vertical="center" wrapText="1"/>
    </xf>
    <xf numFmtId="167" fontId="6" fillId="0" borderId="14" xfId="0" applyNumberFormat="1" applyFont="1" applyBorder="1" applyAlignment="1">
      <alignment vertical="center" wrapText="1"/>
    </xf>
    <xf numFmtId="167" fontId="9" fillId="0" borderId="5" xfId="0" applyNumberFormat="1" applyFont="1" applyBorder="1" applyAlignment="1">
      <alignment vertical="center" wrapText="1"/>
    </xf>
    <xf numFmtId="167" fontId="21" fillId="0" borderId="5" xfId="6" applyNumberFormat="1" applyFont="1" applyFill="1" applyBorder="1" applyAlignment="1">
      <alignment vertical="center"/>
    </xf>
    <xf numFmtId="175" fontId="15" fillId="0" borderId="16" xfId="0" applyNumberFormat="1" applyFont="1" applyFill="1" applyBorder="1" applyAlignment="1">
      <alignment horizontal="left" vertical="center" wrapText="1"/>
    </xf>
    <xf numFmtId="164" fontId="0" fillId="0" borderId="0" xfId="1" applyFont="1" applyFill="1" applyAlignment="1">
      <alignment horizontal="center" vertical="center"/>
    </xf>
    <xf numFmtId="0" fontId="15" fillId="0" borderId="18" xfId="0" applyNumberFormat="1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21" fillId="4" borderId="5" xfId="9" applyFont="1" applyFill="1" applyBorder="1" applyAlignment="1">
      <alignment horizontal="center" vertical="center" wrapText="1"/>
    </xf>
    <xf numFmtId="0" fontId="21" fillId="4" borderId="43" xfId="9" applyFont="1" applyFill="1" applyBorder="1" applyAlignment="1">
      <alignment horizontal="center" vertical="center"/>
    </xf>
    <xf numFmtId="0" fontId="21" fillId="4" borderId="11" xfId="9" applyFont="1" applyFill="1" applyBorder="1" applyAlignment="1">
      <alignment horizontal="center" vertical="center"/>
    </xf>
    <xf numFmtId="175" fontId="23" fillId="4" borderId="11" xfId="1" applyNumberFormat="1" applyFont="1" applyFill="1" applyBorder="1" applyAlignment="1">
      <alignment horizontal="center" vertical="center"/>
    </xf>
    <xf numFmtId="167" fontId="31" fillId="5" borderId="5" xfId="6" applyNumberFormat="1" applyFont="1" applyFill="1" applyBorder="1" applyAlignment="1">
      <alignment horizontal="center" vertical="center" wrapText="1"/>
    </xf>
    <xf numFmtId="43" fontId="15" fillId="0" borderId="11" xfId="1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43" fontId="15" fillId="0" borderId="18" xfId="4" applyFont="1" applyFill="1" applyBorder="1" applyAlignment="1">
      <alignment horizontal="center" vertical="center" wrapText="1"/>
    </xf>
    <xf numFmtId="185" fontId="28" fillId="0" borderId="5" xfId="1" applyNumberFormat="1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175" fontId="15" fillId="0" borderId="11" xfId="1" applyNumberFormat="1" applyFont="1" applyFill="1" applyBorder="1" applyAlignment="1">
      <alignment horizontal="center" vertical="center" wrapText="1"/>
    </xf>
    <xf numFmtId="175" fontId="15" fillId="0" borderId="12" xfId="1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7" fontId="11" fillId="0" borderId="5" xfId="1" applyNumberFormat="1" applyFont="1" applyFill="1" applyBorder="1" applyAlignment="1">
      <alignment horizontal="center" vertical="center" wrapText="1"/>
    </xf>
    <xf numFmtId="43" fontId="23" fillId="0" borderId="5" xfId="4" applyFont="1" applyFill="1" applyBorder="1" applyAlignment="1">
      <alignment horizontal="center" vertical="center" wrapText="1"/>
    </xf>
    <xf numFmtId="167" fontId="11" fillId="0" borderId="5" xfId="5" applyNumberFormat="1" applyFont="1" applyFill="1" applyBorder="1" applyAlignment="1">
      <alignment horizontal="center" vertical="center" wrapText="1"/>
    </xf>
    <xf numFmtId="176" fontId="35" fillId="0" borderId="0" xfId="1" applyNumberFormat="1" applyFont="1"/>
    <xf numFmtId="0" fontId="35" fillId="0" borderId="0" xfId="0" applyFont="1"/>
    <xf numFmtId="0" fontId="29" fillId="0" borderId="0" xfId="0" applyFont="1" applyAlignment="1">
      <alignment horizontal="center" vertical="center" wrapText="1"/>
    </xf>
    <xf numFmtId="43" fontId="29" fillId="0" borderId="0" xfId="1" applyNumberFormat="1" applyFont="1" applyAlignment="1">
      <alignment horizontal="center" vertical="center" wrapText="1"/>
    </xf>
    <xf numFmtId="43" fontId="11" fillId="0" borderId="5" xfId="1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35" fillId="0" borderId="0" xfId="1" applyFont="1"/>
    <xf numFmtId="10" fontId="35" fillId="0" borderId="0" xfId="2" applyNumberFormat="1" applyFont="1"/>
    <xf numFmtId="9" fontId="35" fillId="0" borderId="0" xfId="2" applyNumberFormat="1" applyFont="1"/>
    <xf numFmtId="164" fontId="21" fillId="4" borderId="5" xfId="1" applyFont="1" applyFill="1" applyBorder="1" applyAlignment="1">
      <alignment horizontal="center" vertical="center"/>
    </xf>
    <xf numFmtId="164" fontId="11" fillId="0" borderId="5" xfId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21" fillId="0" borderId="5" xfId="1" applyFont="1" applyBorder="1" applyAlignment="1">
      <alignment vertical="center"/>
    </xf>
    <xf numFmtId="164" fontId="35" fillId="0" borderId="0" xfId="0" applyNumberFormat="1" applyFont="1"/>
    <xf numFmtId="9" fontId="35" fillId="0" borderId="0" xfId="2" applyFont="1"/>
    <xf numFmtId="183" fontId="35" fillId="0" borderId="0" xfId="2" applyNumberFormat="1" applyFont="1"/>
    <xf numFmtId="43" fontId="35" fillId="0" borderId="0" xfId="0" applyNumberFormat="1" applyFont="1"/>
    <xf numFmtId="170" fontId="35" fillId="0" borderId="0" xfId="0" applyNumberFormat="1" applyFont="1"/>
    <xf numFmtId="175" fontId="0" fillId="4" borderId="5" xfId="1" applyNumberFormat="1" applyFont="1" applyFill="1" applyBorder="1" applyAlignment="1">
      <alignment vertical="center"/>
    </xf>
    <xf numFmtId="3" fontId="54" fillId="4" borderId="5" xfId="0" applyNumberFormat="1" applyFont="1" applyFill="1" applyBorder="1" applyAlignment="1">
      <alignment horizontal="right" vertical="center" shrinkToFit="1"/>
    </xf>
    <xf numFmtId="43" fontId="0" fillId="4" borderId="5" xfId="1" applyNumberFormat="1" applyFont="1" applyFill="1" applyBorder="1" applyAlignment="1">
      <alignment vertical="center"/>
    </xf>
    <xf numFmtId="172" fontId="0" fillId="4" borderId="5" xfId="1" applyNumberFormat="1" applyFont="1" applyFill="1" applyBorder="1" applyAlignment="1">
      <alignment vertical="center"/>
    </xf>
    <xf numFmtId="175" fontId="61" fillId="4" borderId="5" xfId="1" applyNumberFormat="1" applyFont="1" applyFill="1" applyBorder="1" applyAlignment="1">
      <alignment vertical="center"/>
    </xf>
    <xf numFmtId="175" fontId="1" fillId="4" borderId="5" xfId="1" applyNumberFormat="1" applyFont="1" applyFill="1" applyBorder="1" applyAlignment="1">
      <alignment vertical="center"/>
    </xf>
    <xf numFmtId="175" fontId="1" fillId="0" borderId="5" xfId="1" applyNumberFormat="1" applyFont="1" applyFill="1" applyBorder="1" applyAlignment="1">
      <alignment vertical="center"/>
    </xf>
    <xf numFmtId="175" fontId="0" fillId="0" borderId="7" xfId="1" applyNumberFormat="1" applyFont="1" applyFill="1" applyBorder="1" applyAlignment="1">
      <alignment vertical="center"/>
    </xf>
    <xf numFmtId="175" fontId="0" fillId="4" borderId="6" xfId="1" applyNumberFormat="1" applyFont="1" applyFill="1" applyBorder="1" applyAlignment="1">
      <alignment vertical="center"/>
    </xf>
    <xf numFmtId="175" fontId="60" fillId="4" borderId="6" xfId="1" applyNumberFormat="1" applyFont="1" applyFill="1" applyBorder="1" applyAlignment="1">
      <alignment vertical="center"/>
    </xf>
    <xf numFmtId="175" fontId="0" fillId="4" borderId="7" xfId="1" applyNumberFormat="1" applyFont="1" applyFill="1" applyBorder="1" applyAlignment="1">
      <alignment vertical="center"/>
    </xf>
    <xf numFmtId="175" fontId="0" fillId="0" borderId="11" xfId="1" applyNumberFormat="1" applyFont="1" applyFill="1" applyBorder="1" applyAlignment="1">
      <alignment vertical="center"/>
    </xf>
    <xf numFmtId="175" fontId="0" fillId="0" borderId="5" xfId="1" applyNumberFormat="1" applyFont="1" applyFill="1" applyBorder="1" applyAlignment="1">
      <alignment horizontal="left" wrapText="1"/>
    </xf>
    <xf numFmtId="175" fontId="32" fillId="4" borderId="5" xfId="1" applyNumberFormat="1" applyFont="1" applyFill="1" applyBorder="1" applyAlignment="1">
      <alignment vertical="center"/>
    </xf>
    <xf numFmtId="175" fontId="0" fillId="13" borderId="5" xfId="1" applyNumberFormat="1" applyFont="1" applyFill="1" applyBorder="1" applyAlignment="1">
      <alignment vertical="center"/>
    </xf>
    <xf numFmtId="175" fontId="0" fillId="0" borderId="10" xfId="1" applyNumberFormat="1" applyFont="1" applyFill="1" applyBorder="1" applyAlignment="1">
      <alignment vertical="center"/>
    </xf>
    <xf numFmtId="172" fontId="0" fillId="0" borderId="10" xfId="1" applyNumberFormat="1" applyFont="1" applyFill="1" applyBorder="1" applyAlignment="1">
      <alignment vertical="center"/>
    </xf>
    <xf numFmtId="175" fontId="0" fillId="0" borderId="5" xfId="1" applyNumberFormat="1" applyFont="1" applyFill="1" applyBorder="1"/>
    <xf numFmtId="175" fontId="32" fillId="0" borderId="5" xfId="0" applyNumberFormat="1" applyFont="1" applyFill="1" applyBorder="1"/>
    <xf numFmtId="0" fontId="0" fillId="0" borderId="0" xfId="0" applyFill="1" applyBorder="1"/>
    <xf numFmtId="175" fontId="32" fillId="0" borderId="0" xfId="0" applyNumberFormat="1" applyFont="1" applyFill="1" applyBorder="1"/>
    <xf numFmtId="175" fontId="0" fillId="0" borderId="10" xfId="0" applyNumberFormat="1" applyFont="1" applyFill="1" applyBorder="1"/>
    <xf numFmtId="43" fontId="15" fillId="0" borderId="5" xfId="1" applyNumberFormat="1" applyFont="1" applyFill="1" applyBorder="1" applyAlignment="1">
      <alignment horizontal="center" vertical="center" wrapText="1"/>
    </xf>
    <xf numFmtId="0" fontId="31" fillId="0" borderId="0" xfId="0" applyFont="1" applyFill="1"/>
    <xf numFmtId="0" fontId="29" fillId="0" borderId="0" xfId="0" applyFont="1" applyFill="1" applyAlignment="1">
      <alignment horizontal="right" vertical="center" wrapText="1"/>
    </xf>
    <xf numFmtId="164" fontId="29" fillId="0" borderId="0" xfId="1" applyFont="1" applyFill="1" applyAlignment="1">
      <alignment horizontal="center" vertical="center" wrapText="1"/>
    </xf>
    <xf numFmtId="167" fontId="29" fillId="0" borderId="0" xfId="6" applyNumberFormat="1" applyFont="1" applyFill="1" applyAlignment="1">
      <alignment horizontal="right" vertical="center" wrapText="1"/>
    </xf>
    <xf numFmtId="43" fontId="29" fillId="0" borderId="0" xfId="0" applyNumberFormat="1" applyFont="1" applyFill="1" applyAlignment="1">
      <alignment horizontal="right" vertical="center" wrapText="1"/>
    </xf>
    <xf numFmtId="10" fontId="29" fillId="0" borderId="0" xfId="0" applyNumberFormat="1" applyFont="1" applyFill="1" applyAlignment="1">
      <alignment horizontal="right" vertical="center" wrapText="1"/>
    </xf>
    <xf numFmtId="0" fontId="29" fillId="0" borderId="0" xfId="0" applyFont="1" applyFill="1" applyAlignment="1">
      <alignment horizontal="center" vertical="center" wrapText="1"/>
    </xf>
    <xf numFmtId="17" fontId="29" fillId="0" borderId="0" xfId="0" applyNumberFormat="1" applyFont="1" applyFill="1" applyAlignment="1">
      <alignment horizontal="right" vertical="center"/>
    </xf>
    <xf numFmtId="172" fontId="62" fillId="0" borderId="5" xfId="8" applyNumberFormat="1" applyFont="1" applyFill="1" applyBorder="1" applyAlignment="1">
      <alignment vertical="center"/>
    </xf>
    <xf numFmtId="167" fontId="15" fillId="0" borderId="11" xfId="4" applyNumberFormat="1" applyFont="1" applyFill="1" applyBorder="1" applyAlignment="1">
      <alignment horizontal="center" vertical="center" wrapText="1"/>
    </xf>
    <xf numFmtId="43" fontId="62" fillId="0" borderId="0" xfId="0" applyNumberFormat="1" applyFont="1" applyFill="1"/>
    <xf numFmtId="43" fontId="31" fillId="0" borderId="0" xfId="0" applyNumberFormat="1" applyFont="1" applyFill="1"/>
    <xf numFmtId="164" fontId="31" fillId="0" borderId="5" xfId="1" applyFont="1" applyFill="1" applyBorder="1" applyAlignment="1">
      <alignment horizontal="center" vertical="center"/>
    </xf>
    <xf numFmtId="0" fontId="62" fillId="0" borderId="0" xfId="0" applyFont="1" applyFill="1"/>
    <xf numFmtId="172" fontId="31" fillId="0" borderId="0" xfId="8" applyNumberFormat="1" applyFont="1" applyFill="1" applyAlignment="1">
      <alignment vertical="center"/>
    </xf>
    <xf numFmtId="177" fontId="31" fillId="0" borderId="0" xfId="0" applyNumberFormat="1" applyFont="1" applyFill="1"/>
    <xf numFmtId="172" fontId="31" fillId="0" borderId="5" xfId="8" applyNumberFormat="1" applyFont="1" applyFill="1" applyBorder="1" applyAlignment="1">
      <alignment vertical="center"/>
    </xf>
    <xf numFmtId="164" fontId="31" fillId="0" borderId="5" xfId="1" applyFont="1" applyFill="1" applyBorder="1" applyAlignment="1">
      <alignment horizontal="center"/>
    </xf>
    <xf numFmtId="0" fontId="31" fillId="0" borderId="5" xfId="0" applyFont="1" applyFill="1" applyBorder="1" applyAlignment="1">
      <alignment vertical="center"/>
    </xf>
    <xf numFmtId="0" fontId="31" fillId="0" borderId="5" xfId="0" applyFont="1" applyFill="1" applyBorder="1"/>
    <xf numFmtId="43" fontId="15" fillId="0" borderId="5" xfId="4" applyNumberFormat="1" applyFont="1" applyFill="1" applyBorder="1" applyAlignment="1">
      <alignment horizontal="left" vertical="center" wrapText="1"/>
    </xf>
    <xf numFmtId="0" fontId="31" fillId="0" borderId="0" xfId="0" applyFont="1" applyFill="1" applyAlignment="1">
      <alignment vertical="center"/>
    </xf>
    <xf numFmtId="164" fontId="31" fillId="0" borderId="0" xfId="1" applyFont="1" applyFill="1"/>
    <xf numFmtId="175" fontId="31" fillId="0" borderId="0" xfId="0" applyNumberFormat="1" applyFont="1" applyFill="1"/>
    <xf numFmtId="0" fontId="31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right" vertical="center"/>
    </xf>
    <xf numFmtId="0" fontId="15" fillId="0" borderId="5" xfId="0" applyFont="1" applyFill="1" applyBorder="1" applyAlignment="1">
      <alignment horizontal="left" vertical="top" wrapText="1"/>
    </xf>
    <xf numFmtId="0" fontId="31" fillId="0" borderId="7" xfId="0" applyFont="1" applyFill="1" applyBorder="1" applyAlignment="1">
      <alignment vertical="center"/>
    </xf>
    <xf numFmtId="175" fontId="31" fillId="0" borderId="0" xfId="1" applyNumberFormat="1" applyFont="1" applyFill="1"/>
    <xf numFmtId="164" fontId="31" fillId="0" borderId="0" xfId="1" applyFont="1" applyFill="1" applyAlignment="1">
      <alignment horizontal="center"/>
    </xf>
    <xf numFmtId="175" fontId="31" fillId="0" borderId="0" xfId="1" applyNumberFormat="1" applyFont="1" applyFill="1" applyAlignment="1">
      <alignment horizontal="center"/>
    </xf>
    <xf numFmtId="43" fontId="31" fillId="0" borderId="0" xfId="1" applyNumberFormat="1" applyFont="1" applyFill="1"/>
    <xf numFmtId="43" fontId="31" fillId="0" borderId="0" xfId="1" applyNumberFormat="1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4" fontId="15" fillId="0" borderId="18" xfId="0" applyNumberFormat="1" applyFont="1" applyFill="1" applyBorder="1" applyAlignment="1">
      <alignment horizontal="left" vertical="center" wrapText="1"/>
    </xf>
    <xf numFmtId="164" fontId="31" fillId="0" borderId="0" xfId="0" applyNumberFormat="1" applyFont="1" applyFill="1"/>
    <xf numFmtId="164" fontId="9" fillId="0" borderId="0" xfId="1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167" fontId="6" fillId="0" borderId="7" xfId="1" applyNumberFormat="1" applyFont="1" applyFill="1" applyBorder="1" applyAlignment="1">
      <alignment vertical="center"/>
    </xf>
    <xf numFmtId="167" fontId="6" fillId="9" borderId="7" xfId="1" applyNumberFormat="1" applyFont="1" applyFill="1" applyBorder="1" applyAlignment="1">
      <alignment vertical="center"/>
    </xf>
    <xf numFmtId="167" fontId="6" fillId="9" borderId="5" xfId="1" applyNumberFormat="1" applyFont="1" applyFill="1" applyBorder="1" applyAlignment="1">
      <alignment vertical="center"/>
    </xf>
    <xf numFmtId="10" fontId="6" fillId="9" borderId="7" xfId="2" applyNumberFormat="1" applyFont="1" applyFill="1" applyBorder="1" applyAlignment="1">
      <alignment vertical="center"/>
    </xf>
    <xf numFmtId="167" fontId="6" fillId="9" borderId="6" xfId="1" applyNumberFormat="1" applyFont="1" applyFill="1" applyBorder="1" applyAlignment="1">
      <alignment vertical="center"/>
    </xf>
    <xf numFmtId="174" fontId="6" fillId="0" borderId="0" xfId="2" applyNumberFormat="1" applyFont="1" applyFill="1" applyBorder="1" applyAlignment="1">
      <alignment vertical="center"/>
    </xf>
    <xf numFmtId="170" fontId="6" fillId="0" borderId="0" xfId="2" applyNumberFormat="1" applyFont="1" applyBorder="1" applyAlignment="1">
      <alignment vertical="center"/>
    </xf>
    <xf numFmtId="167" fontId="6" fillId="0" borderId="0" xfId="2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32" fillId="0" borderId="5" xfId="0" applyFont="1" applyFill="1" applyBorder="1" applyAlignment="1">
      <alignment horizontal="center" vertical="center" wrapText="1"/>
    </xf>
    <xf numFmtId="43" fontId="5" fillId="0" borderId="0" xfId="6" applyFont="1" applyFill="1" applyAlignment="1">
      <alignment horizontal="center" vertical="center" wrapText="1"/>
    </xf>
    <xf numFmtId="43" fontId="5" fillId="0" borderId="0" xfId="6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77" fontId="9" fillId="0" borderId="0" xfId="1" applyNumberFormat="1" applyFont="1" applyFill="1" applyAlignment="1">
      <alignment vertical="center"/>
    </xf>
    <xf numFmtId="172" fontId="9" fillId="0" borderId="0" xfId="1" applyNumberFormat="1" applyFont="1" applyFill="1" applyAlignment="1">
      <alignment vertical="center"/>
    </xf>
    <xf numFmtId="0" fontId="0" fillId="0" borderId="0" xfId="0" applyAlignment="1">
      <alignment wrapText="1"/>
    </xf>
    <xf numFmtId="172" fontId="0" fillId="0" borderId="0" xfId="0" applyNumberFormat="1" applyAlignment="1">
      <alignment wrapText="1"/>
    </xf>
    <xf numFmtId="176" fontId="64" fillId="0" borderId="13" xfId="1" applyNumberFormat="1" applyFont="1" applyFill="1" applyBorder="1" applyAlignment="1">
      <alignment horizontal="center" vertical="center" wrapText="1"/>
    </xf>
    <xf numFmtId="167" fontId="64" fillId="0" borderId="6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/>
    </xf>
    <xf numFmtId="175" fontId="22" fillId="0" borderId="5" xfId="1" applyNumberFormat="1" applyFont="1" applyFill="1" applyBorder="1" applyAlignment="1">
      <alignment horizontal="center" vertical="center"/>
    </xf>
    <xf numFmtId="175" fontId="9" fillId="4" borderId="5" xfId="1" applyNumberFormat="1" applyFont="1" applyFill="1" applyBorder="1" applyAlignment="1">
      <alignment horizontal="center" vertical="center"/>
    </xf>
    <xf numFmtId="175" fontId="9" fillId="0" borderId="5" xfId="1" applyNumberFormat="1" applyFont="1" applyBorder="1" applyAlignment="1">
      <alignment horizontal="center" vertical="center"/>
    </xf>
    <xf numFmtId="175" fontId="18" fillId="0" borderId="5" xfId="1" applyNumberFormat="1" applyFont="1" applyFill="1" applyBorder="1" applyAlignment="1">
      <alignment horizontal="center"/>
    </xf>
    <xf numFmtId="175" fontId="18" fillId="0" borderId="5" xfId="1" applyNumberFormat="1" applyFont="1" applyFill="1" applyBorder="1" applyAlignment="1"/>
    <xf numFmtId="175" fontId="23" fillId="0" borderId="5" xfId="1" applyNumberFormat="1" applyFont="1" applyFill="1" applyBorder="1" applyAlignment="1">
      <alignment vertical="center"/>
    </xf>
    <xf numFmtId="175" fontId="40" fillId="0" borderId="5" xfId="1" applyNumberFormat="1" applyFont="1" applyBorder="1" applyAlignment="1">
      <alignment vertical="top"/>
    </xf>
    <xf numFmtId="175" fontId="2" fillId="0" borderId="5" xfId="1" applyNumberFormat="1" applyFont="1" applyBorder="1"/>
    <xf numFmtId="176" fontId="32" fillId="0" borderId="5" xfId="1" applyNumberFormat="1" applyFont="1" applyBorder="1"/>
    <xf numFmtId="176" fontId="9" fillId="4" borderId="5" xfId="1" applyNumberFormat="1" applyFont="1" applyFill="1" applyBorder="1" applyAlignment="1">
      <alignment horizontal="center" vertical="center"/>
    </xf>
    <xf numFmtId="176" fontId="9" fillId="0" borderId="5" xfId="1" applyNumberFormat="1" applyFont="1" applyBorder="1" applyAlignment="1">
      <alignment horizontal="center" vertical="center"/>
    </xf>
    <xf numFmtId="176" fontId="65" fillId="4" borderId="5" xfId="1" applyNumberFormat="1" applyFont="1" applyFill="1" applyBorder="1" applyAlignment="1">
      <alignment horizontal="center" vertical="center"/>
    </xf>
    <xf numFmtId="176" fontId="63" fillId="0" borderId="5" xfId="1" applyNumberFormat="1" applyFont="1" applyBorder="1"/>
    <xf numFmtId="176" fontId="9" fillId="0" borderId="5" xfId="1" applyNumberFormat="1" applyFont="1" applyBorder="1" applyAlignment="1">
      <alignment vertical="center"/>
    </xf>
    <xf numFmtId="182" fontId="0" fillId="0" borderId="5" xfId="0" applyNumberFormat="1" applyFill="1" applyBorder="1" applyAlignment="1">
      <alignment vertical="center"/>
    </xf>
    <xf numFmtId="172" fontId="0" fillId="0" borderId="5" xfId="6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6" fillId="0" borderId="11" xfId="3" applyFont="1" applyFill="1" applyBorder="1" applyAlignment="1">
      <alignment horizontal="center" vertical="center" wrapText="1"/>
    </xf>
    <xf numFmtId="0" fontId="16" fillId="0" borderId="12" xfId="3" applyFont="1" applyFill="1" applyBorder="1" applyAlignment="1">
      <alignment horizontal="center" vertical="center" wrapText="1"/>
    </xf>
    <xf numFmtId="0" fontId="16" fillId="0" borderId="10" xfId="3" applyFont="1" applyFill="1" applyBorder="1" applyAlignment="1">
      <alignment horizontal="center" vertical="center" wrapText="1"/>
    </xf>
    <xf numFmtId="43" fontId="23" fillId="0" borderId="5" xfId="4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180" fontId="4" fillId="0" borderId="0" xfId="0" applyNumberFormat="1" applyFont="1" applyFill="1" applyBorder="1" applyAlignment="1">
      <alignment horizontal="right" vertical="center" wrapText="1"/>
    </xf>
    <xf numFmtId="0" fontId="21" fillId="0" borderId="6" xfId="0" applyNumberFormat="1" applyFont="1" applyFill="1" applyBorder="1" applyAlignment="1">
      <alignment horizontal="left" vertical="center" wrapText="1"/>
    </xf>
    <xf numFmtId="0" fontId="21" fillId="0" borderId="7" xfId="0" applyNumberFormat="1" applyFont="1" applyFill="1" applyBorder="1" applyAlignment="1">
      <alignment horizontal="left" vertical="center" wrapText="1"/>
    </xf>
    <xf numFmtId="0" fontId="21" fillId="0" borderId="18" xfId="0" applyNumberFormat="1" applyFont="1" applyFill="1" applyBorder="1" applyAlignment="1">
      <alignment horizontal="left" vertical="center" wrapText="1"/>
    </xf>
    <xf numFmtId="0" fontId="19" fillId="0" borderId="6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19" fillId="0" borderId="18" xfId="0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right" vertical="center" wrapText="1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textRotation="90" wrapText="1"/>
    </xf>
    <xf numFmtId="0" fontId="9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wrapText="1"/>
    </xf>
    <xf numFmtId="0" fontId="29" fillId="0" borderId="0" xfId="0" applyFont="1" applyFill="1" applyAlignment="1">
      <alignment horizontal="right" vertical="center" wrapText="1"/>
    </xf>
    <xf numFmtId="0" fontId="29" fillId="0" borderId="0" xfId="0" applyFont="1" applyFill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textRotation="90" wrapText="1"/>
    </xf>
    <xf numFmtId="0" fontId="28" fillId="0" borderId="20" xfId="0" applyFont="1" applyFill="1" applyBorder="1" applyAlignment="1">
      <alignment horizontal="center" vertical="center" textRotation="90" wrapText="1"/>
    </xf>
    <xf numFmtId="0" fontId="28" fillId="0" borderId="21" xfId="0" applyFont="1" applyFill="1" applyBorder="1" applyAlignment="1">
      <alignment horizontal="center" vertical="center" textRotation="90" wrapText="1"/>
    </xf>
    <xf numFmtId="0" fontId="28" fillId="0" borderId="5" xfId="0" applyFont="1" applyFill="1" applyBorder="1" applyAlignment="1">
      <alignment horizontal="center" vertical="center"/>
    </xf>
    <xf numFmtId="175" fontId="28" fillId="0" borderId="6" xfId="1" applyNumberFormat="1" applyFont="1" applyFill="1" applyBorder="1" applyAlignment="1">
      <alignment horizontal="center" vertical="center" wrapText="1"/>
    </xf>
    <xf numFmtId="175" fontId="28" fillId="0" borderId="7" xfId="1" applyNumberFormat="1" applyFont="1" applyFill="1" applyBorder="1" applyAlignment="1">
      <alignment horizontal="center" vertical="center" wrapText="1"/>
    </xf>
    <xf numFmtId="175" fontId="28" fillId="0" borderId="18" xfId="1" applyNumberFormat="1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28" fillId="0" borderId="6" xfId="0" applyFont="1" applyFill="1" applyBorder="1" applyAlignment="1">
      <alignment horizontal="left" vertical="center" wrapText="1"/>
    </xf>
    <xf numFmtId="0" fontId="28" fillId="0" borderId="7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  <xf numFmtId="43" fontId="15" fillId="0" borderId="11" xfId="4" applyNumberFormat="1" applyFont="1" applyFill="1" applyBorder="1" applyAlignment="1">
      <alignment horizontal="center" vertical="center" wrapText="1"/>
    </xf>
    <xf numFmtId="43" fontId="15" fillId="0" borderId="12" xfId="4" applyNumberFormat="1" applyFont="1" applyFill="1" applyBorder="1" applyAlignment="1">
      <alignment horizontal="center" vertical="center" wrapText="1"/>
    </xf>
    <xf numFmtId="43" fontId="15" fillId="0" borderId="10" xfId="4" applyNumberFormat="1" applyFont="1" applyFill="1" applyBorder="1" applyAlignment="1">
      <alignment horizontal="center" vertical="center" wrapText="1"/>
    </xf>
    <xf numFmtId="175" fontId="15" fillId="0" borderId="11" xfId="1" applyNumberFormat="1" applyFont="1" applyFill="1" applyBorder="1" applyAlignment="1">
      <alignment horizontal="center" vertical="center" wrapText="1"/>
    </xf>
    <xf numFmtId="175" fontId="15" fillId="0" borderId="12" xfId="1" applyNumberFormat="1" applyFont="1" applyFill="1" applyBorder="1" applyAlignment="1">
      <alignment horizontal="center" vertical="center" wrapText="1"/>
    </xf>
    <xf numFmtId="175" fontId="15" fillId="0" borderId="10" xfId="1" applyNumberFormat="1" applyFont="1" applyFill="1" applyBorder="1" applyAlignment="1">
      <alignment horizontal="center" vertical="center" wrapText="1"/>
    </xf>
    <xf numFmtId="175" fontId="23" fillId="0" borderId="0" xfId="1" applyNumberFormat="1" applyFont="1" applyAlignment="1">
      <alignment horizontal="center" vertical="center"/>
    </xf>
    <xf numFmtId="0" fontId="21" fillId="0" borderId="22" xfId="9" applyFont="1" applyBorder="1" applyAlignment="1">
      <alignment horizontal="center" vertical="center" wrapText="1"/>
    </xf>
    <xf numFmtId="0" fontId="33" fillId="0" borderId="0" xfId="9" applyFont="1" applyAlignment="1">
      <alignment horizontal="center" vertical="center"/>
    </xf>
    <xf numFmtId="0" fontId="21" fillId="0" borderId="22" xfId="9" applyFont="1" applyBorder="1" applyAlignment="1">
      <alignment horizontal="center" vertical="center"/>
    </xf>
    <xf numFmtId="0" fontId="21" fillId="0" borderId="40" xfId="9" applyFont="1" applyBorder="1" applyAlignment="1">
      <alignment horizontal="center" vertical="center"/>
    </xf>
    <xf numFmtId="0" fontId="21" fillId="0" borderId="23" xfId="9" applyFont="1" applyBorder="1" applyAlignment="1">
      <alignment horizontal="center" vertical="center"/>
    </xf>
    <xf numFmtId="0" fontId="21" fillId="0" borderId="24" xfId="9" applyFont="1" applyBorder="1" applyAlignment="1">
      <alignment horizontal="center" vertical="center"/>
    </xf>
    <xf numFmtId="0" fontId="21" fillId="0" borderId="40" xfId="9" applyFont="1" applyBorder="1" applyAlignment="1">
      <alignment horizontal="center" vertical="center" wrapText="1"/>
    </xf>
    <xf numFmtId="0" fontId="25" fillId="0" borderId="0" xfId="0" applyFont="1" applyBorder="1" applyAlignment="1">
      <alignment horizontal="right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5" borderId="5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43" fontId="5" fillId="0" borderId="0" xfId="6" applyFont="1" applyFill="1" applyAlignment="1">
      <alignment horizontal="center" vertical="center" wrapText="1"/>
    </xf>
    <xf numFmtId="43" fontId="5" fillId="0" borderId="0" xfId="6" applyFont="1" applyFill="1" applyBorder="1" applyAlignment="1">
      <alignment horizontal="center" vertical="center"/>
    </xf>
    <xf numFmtId="43" fontId="20" fillId="12" borderId="39" xfId="6" applyFont="1" applyFill="1" applyBorder="1" applyAlignment="1">
      <alignment horizontal="center" vertical="center"/>
    </xf>
    <xf numFmtId="43" fontId="20" fillId="5" borderId="39" xfId="6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 wrapText="1"/>
    </xf>
    <xf numFmtId="0" fontId="37" fillId="5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43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3" fontId="5" fillId="0" borderId="0" xfId="0" applyNumberFormat="1" applyFont="1" applyAlignment="1">
      <alignment horizontal="center" vertical="center"/>
    </xf>
    <xf numFmtId="167" fontId="11" fillId="0" borderId="35" xfId="6" applyNumberFormat="1" applyFont="1" applyFill="1" applyBorder="1" applyAlignment="1">
      <alignment horizontal="center" vertical="center"/>
    </xf>
    <xf numFmtId="167" fontId="11" fillId="0" borderId="0" xfId="6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3" fontId="5" fillId="0" borderId="0" xfId="0" applyNumberFormat="1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0" xfId="0" applyFont="1" applyBorder="1" applyAlignment="1">
      <alignment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2" fillId="9" borderId="7" xfId="0" applyFont="1" applyFill="1" applyBorder="1" applyAlignment="1">
      <alignment horizontal="center"/>
    </xf>
  </cellXfs>
  <cellStyles count="12">
    <cellStyle name="Comma" xfId="1" builtinId="3"/>
    <cellStyle name="Comma 10 2" xfId="6"/>
    <cellStyle name="Comma 11 2" xfId="4"/>
    <cellStyle name="Comma 13 2" xfId="8"/>
    <cellStyle name="Comma 2" xfId="10"/>
    <cellStyle name="Comma 4" xfId="5"/>
    <cellStyle name="Normal" xfId="0" builtinId="0"/>
    <cellStyle name="Normal 2" xfId="11"/>
    <cellStyle name="Normal 4 2" xfId="3"/>
    <cellStyle name="Normal 7" xfId="9"/>
    <cellStyle name="Percent" xfId="2" builtinId="5"/>
    <cellStyle name="Percent 10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Curve'!$A$10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 Curve'!$B$9:$X$9</c:f>
              <c:numCache>
                <c:formatCode>mmm\-yy</c:formatCode>
                <c:ptCount val="2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  <c:pt idx="13">
                  <c:v>45566</c:v>
                </c:pt>
                <c:pt idx="14">
                  <c:v>45597</c:v>
                </c:pt>
                <c:pt idx="15">
                  <c:v>45627</c:v>
                </c:pt>
                <c:pt idx="16">
                  <c:v>45658</c:v>
                </c:pt>
                <c:pt idx="17">
                  <c:v>45689</c:v>
                </c:pt>
                <c:pt idx="18">
                  <c:v>45717</c:v>
                </c:pt>
                <c:pt idx="19">
                  <c:v>45748</c:v>
                </c:pt>
                <c:pt idx="20">
                  <c:v>45778</c:v>
                </c:pt>
                <c:pt idx="21">
                  <c:v>45809</c:v>
                </c:pt>
                <c:pt idx="22">
                  <c:v>45839</c:v>
                </c:pt>
              </c:numCache>
            </c:numRef>
          </c:cat>
          <c:val>
            <c:numRef>
              <c:f>'S Curve'!$B$10:$X$10</c:f>
              <c:numCache>
                <c:formatCode>0.00</c:formatCode>
                <c:ptCount val="23"/>
                <c:pt idx="0" formatCode="_(* #,##0.00_);_(* \(#,##0.00\);_(* &quot;-&quot;??_);_(@_)">
                  <c:v>0</c:v>
                </c:pt>
                <c:pt idx="1">
                  <c:v>16.652012890000002</c:v>
                </c:pt>
                <c:pt idx="2">
                  <c:v>111.65201289000001</c:v>
                </c:pt>
                <c:pt idx="3">
                  <c:v>373.65201289000004</c:v>
                </c:pt>
                <c:pt idx="4">
                  <c:v>723.65201289000004</c:v>
                </c:pt>
                <c:pt idx="5">
                  <c:v>1123.6520128900002</c:v>
                </c:pt>
                <c:pt idx="6">
                  <c:v>1553.6520128900002</c:v>
                </c:pt>
                <c:pt idx="7">
                  <c:v>2003.6520128900002</c:v>
                </c:pt>
                <c:pt idx="8">
                  <c:v>2553.6520128900002</c:v>
                </c:pt>
                <c:pt idx="9">
                  <c:v>3153.6520128900002</c:v>
                </c:pt>
                <c:pt idx="10">
                  <c:v>3783.6520128900002</c:v>
                </c:pt>
                <c:pt idx="11">
                  <c:v>4433.6520128900002</c:v>
                </c:pt>
                <c:pt idx="12">
                  <c:v>5183.6520128900002</c:v>
                </c:pt>
                <c:pt idx="13">
                  <c:v>5933.6520128900002</c:v>
                </c:pt>
                <c:pt idx="14">
                  <c:v>6683.6520128900002</c:v>
                </c:pt>
                <c:pt idx="15">
                  <c:v>7533.6520128900002</c:v>
                </c:pt>
                <c:pt idx="16">
                  <c:v>8183.6520128900002</c:v>
                </c:pt>
                <c:pt idx="17">
                  <c:v>8933.6520128900011</c:v>
                </c:pt>
                <c:pt idx="18">
                  <c:v>8370.9490000000005</c:v>
                </c:pt>
                <c:pt idx="19">
                  <c:v>8954.1490000000013</c:v>
                </c:pt>
                <c:pt idx="20">
                  <c:v>9219.7090000000007</c:v>
                </c:pt>
                <c:pt idx="21">
                  <c:v>9509.3690000000006</c:v>
                </c:pt>
                <c:pt idx="22">
                  <c:v>9899.9989999999998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E-47C1-B60E-6EFC983144E5}"/>
            </c:ext>
          </c:extLst>
        </c:ser>
        <c:ser>
          <c:idx val="1"/>
          <c:order val="1"/>
          <c:tx>
            <c:strRef>
              <c:f>'S Curve'!$A$11</c:f>
              <c:strCache>
                <c:ptCount val="1"/>
                <c:pt idx="0">
                  <c:v>Achived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 Curve'!$B$9:$X$9</c:f>
              <c:numCache>
                <c:formatCode>mmm\-yy</c:formatCode>
                <c:ptCount val="23"/>
                <c:pt idx="0">
                  <c:v>45170</c:v>
                </c:pt>
                <c:pt idx="1">
                  <c:v>45200</c:v>
                </c:pt>
                <c:pt idx="2">
                  <c:v>45231</c:v>
                </c:pt>
                <c:pt idx="3">
                  <c:v>45261</c:v>
                </c:pt>
                <c:pt idx="4">
                  <c:v>45292</c:v>
                </c:pt>
                <c:pt idx="5">
                  <c:v>45323</c:v>
                </c:pt>
                <c:pt idx="6">
                  <c:v>45352</c:v>
                </c:pt>
                <c:pt idx="7">
                  <c:v>45383</c:v>
                </c:pt>
                <c:pt idx="8">
                  <c:v>45413</c:v>
                </c:pt>
                <c:pt idx="9">
                  <c:v>45444</c:v>
                </c:pt>
                <c:pt idx="10">
                  <c:v>45474</c:v>
                </c:pt>
                <c:pt idx="11">
                  <c:v>45505</c:v>
                </c:pt>
                <c:pt idx="12">
                  <c:v>45536</c:v>
                </c:pt>
                <c:pt idx="13">
                  <c:v>45566</c:v>
                </c:pt>
                <c:pt idx="14">
                  <c:v>45597</c:v>
                </c:pt>
                <c:pt idx="15">
                  <c:v>45627</c:v>
                </c:pt>
                <c:pt idx="16">
                  <c:v>45658</c:v>
                </c:pt>
                <c:pt idx="17">
                  <c:v>45689</c:v>
                </c:pt>
                <c:pt idx="18">
                  <c:v>45717</c:v>
                </c:pt>
                <c:pt idx="19">
                  <c:v>45748</c:v>
                </c:pt>
                <c:pt idx="20">
                  <c:v>45778</c:v>
                </c:pt>
                <c:pt idx="21">
                  <c:v>45809</c:v>
                </c:pt>
                <c:pt idx="22">
                  <c:v>45839</c:v>
                </c:pt>
              </c:numCache>
            </c:numRef>
          </c:cat>
          <c:val>
            <c:numRef>
              <c:f>'S Curve'!$B$11:$X$11</c:f>
              <c:numCache>
                <c:formatCode>0.00</c:formatCode>
                <c:ptCount val="23"/>
                <c:pt idx="0" formatCode="_(* #,##0.00_);_(* \(#,##0.00\);_(* &quot;-&quot;??_);_(@_)">
                  <c:v>0</c:v>
                </c:pt>
                <c:pt idx="1">
                  <c:v>11.510999999999999</c:v>
                </c:pt>
                <c:pt idx="2">
                  <c:v>67.945999999999998</c:v>
                </c:pt>
                <c:pt idx="3">
                  <c:v>123.00399999999999</c:v>
                </c:pt>
                <c:pt idx="4">
                  <c:v>455.01499999999999</c:v>
                </c:pt>
                <c:pt idx="5">
                  <c:v>1587.2730000000001</c:v>
                </c:pt>
                <c:pt idx="6">
                  <c:v>2353.6490000000003</c:v>
                </c:pt>
                <c:pt idx="7">
                  <c:v>2818.1330000000003</c:v>
                </c:pt>
                <c:pt idx="8">
                  <c:v>4096.6710000000003</c:v>
                </c:pt>
                <c:pt idx="9">
                  <c:v>4663.4220000000005</c:v>
                </c:pt>
                <c:pt idx="10">
                  <c:v>5483.4930000000004</c:v>
                </c:pt>
                <c:pt idx="11" formatCode="General">
                  <c:v>5892.0439999999999</c:v>
                </c:pt>
                <c:pt idx="12">
                  <c:v>6341.8630000000003</c:v>
                </c:pt>
                <c:pt idx="13">
                  <c:v>6650.2560000000003</c:v>
                </c:pt>
                <c:pt idx="14">
                  <c:v>6911.4076000000005</c:v>
                </c:pt>
                <c:pt idx="15">
                  <c:v>7120.1148000000003</c:v>
                </c:pt>
                <c:pt idx="16">
                  <c:v>7471.5652</c:v>
                </c:pt>
                <c:pt idx="17">
                  <c:v>8007.6623</c:v>
                </c:pt>
                <c:pt idx="18">
                  <c:v>8395.4622999999992</c:v>
                </c:pt>
                <c:pt idx="19">
                  <c:v>8978.6623</c:v>
                </c:pt>
                <c:pt idx="20">
                  <c:v>9244.2253000000001</c:v>
                </c:pt>
                <c:pt idx="21">
                  <c:v>9533.8803000000007</c:v>
                </c:pt>
                <c:pt idx="22">
                  <c:v>9899.9989999999998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E-47C1-B60E-6EFC98314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18656"/>
        <c:axId val="718129536"/>
      </c:lineChart>
      <c:dateAx>
        <c:axId val="718118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29536"/>
        <c:crosses val="autoZero"/>
        <c:auto val="1"/>
        <c:lblOffset val="100"/>
        <c:baseTimeUnit val="months"/>
      </c:dateAx>
      <c:valAx>
        <c:axId val="7181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70</xdr:row>
      <xdr:rowOff>0</xdr:rowOff>
    </xdr:from>
    <xdr:to>
      <xdr:col>0</xdr:col>
      <xdr:colOff>144780</xdr:colOff>
      <xdr:row>70</xdr:row>
      <xdr:rowOff>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7815560"/>
          <a:ext cx="1371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70</xdr:row>
          <xdr:rowOff>0</xdr:rowOff>
        </xdr:from>
        <xdr:to>
          <xdr:col>0</xdr:col>
          <xdr:colOff>142875</xdr:colOff>
          <xdr:row>70</xdr:row>
          <xdr:rowOff>0</xdr:rowOff>
        </xdr:to>
        <xdr:sp macro="" textlink="">
          <xdr:nvSpPr>
            <xdr:cNvPr id="2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47624</xdr:rowOff>
    </xdr:from>
    <xdr:to>
      <xdr:col>21</xdr:col>
      <xdr:colOff>247650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shif\E\Accounts\F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FIZ%20COMPUTERS\Downloads\MMR%20ADA%20Nullah%20Pkg-I%20Apr%202024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FIZ%20COMPUTERS\Downloads\MMR%20ADA%20Nullah%20Pkg-I%20Apr%20202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-bs(dwpc)"/>
      <sheetName val="PL(dwpc)"/>
      <sheetName val="fixedAssets "/>
      <sheetName val="COMPARISON"/>
      <sheetName val="cctrial"/>
      <sheetName val="SQL"/>
      <sheetName val="Roads_balances"/>
      <sheetName val="tb"/>
      <sheetName val="Options"/>
      <sheetName val="test"/>
      <sheetName val="#REF"/>
      <sheetName val="item#16"/>
      <sheetName val="SUMM"/>
      <sheetName val="Bitumen"/>
      <sheetName val="steel"/>
      <sheetName val="bargy"/>
      <sheetName val="Com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acc_num</v>
          </cell>
          <cell r="B1" t="str">
            <v>acc_title</v>
          </cell>
          <cell r="C1" t="str">
            <v>level</v>
          </cell>
          <cell r="D1" t="str">
            <v>balance</v>
          </cell>
        </row>
        <row r="2">
          <cell r="A2" t="str">
            <v>101-000-000-0000</v>
          </cell>
          <cell r="B2" t="str">
            <v>HQ Current Account</v>
          </cell>
          <cell r="C2">
            <v>1</v>
          </cell>
          <cell r="D2">
            <v>-5534230</v>
          </cell>
        </row>
        <row r="3">
          <cell r="A3" t="str">
            <v>101-001-000-0000</v>
          </cell>
          <cell r="B3" t="str">
            <v>HQ Engineers NLC - Current Account</v>
          </cell>
          <cell r="C3">
            <v>2</v>
          </cell>
          <cell r="D3">
            <v>-5534230</v>
          </cell>
        </row>
        <row r="4">
          <cell r="A4" t="str">
            <v>101-001-001-0000</v>
          </cell>
          <cell r="B4" t="str">
            <v>HQ Engineers NLC - Current Account</v>
          </cell>
          <cell r="C4">
            <v>3</v>
          </cell>
          <cell r="D4">
            <v>-5534230</v>
          </cell>
        </row>
        <row r="5">
          <cell r="A5" t="str">
            <v>101-001-001-1001</v>
          </cell>
          <cell r="B5" t="str">
            <v>HQ Current A/c with RUADP</v>
          </cell>
          <cell r="C5">
            <v>4</v>
          </cell>
          <cell r="D5">
            <v>0</v>
          </cell>
        </row>
        <row r="6">
          <cell r="A6" t="str">
            <v>101-001-001-1002</v>
          </cell>
          <cell r="B6" t="str">
            <v>HQ Current A/c with PTCL Project</v>
          </cell>
          <cell r="C6">
            <v>4</v>
          </cell>
          <cell r="D6">
            <v>0</v>
          </cell>
        </row>
        <row r="7">
          <cell r="A7" t="str">
            <v>101-001-001-1003</v>
          </cell>
          <cell r="B7" t="str">
            <v>HQ Current A/c Cantt Board Projects</v>
          </cell>
          <cell r="C7">
            <v>4</v>
          </cell>
          <cell r="D7">
            <v>0</v>
          </cell>
        </row>
        <row r="8">
          <cell r="A8" t="str">
            <v>101-001-001-1004</v>
          </cell>
          <cell r="B8" t="str">
            <v>HQ Current A/c Service Road M-2</v>
          </cell>
          <cell r="C8">
            <v>4</v>
          </cell>
          <cell r="D8">
            <v>0</v>
          </cell>
        </row>
        <row r="9">
          <cell r="A9" t="str">
            <v>101-001-001-1005</v>
          </cell>
          <cell r="B9" t="str">
            <v>HQ Current A/c Cantt Board (FAA)</v>
          </cell>
          <cell r="C9">
            <v>4</v>
          </cell>
          <cell r="D9">
            <v>0</v>
          </cell>
        </row>
        <row r="10">
          <cell r="A10" t="str">
            <v>101-001-001-1006</v>
          </cell>
          <cell r="B10" t="str">
            <v>HQ Current A/c Dina Track NLC</v>
          </cell>
          <cell r="C10">
            <v>4</v>
          </cell>
          <cell r="D10">
            <v>0</v>
          </cell>
        </row>
        <row r="11">
          <cell r="A11" t="str">
            <v>101-001-001-1007</v>
          </cell>
          <cell r="B11" t="str">
            <v>HQ Current A/C OT Complex</v>
          </cell>
          <cell r="C11">
            <v>4</v>
          </cell>
          <cell r="D11">
            <v>-5534230</v>
          </cell>
        </row>
        <row r="12">
          <cell r="A12" t="str">
            <v>102-000-000-0000</v>
          </cell>
          <cell r="B12" t="str">
            <v>Reserves</v>
          </cell>
          <cell r="C12">
            <v>1</v>
          </cell>
          <cell r="D12">
            <v>0</v>
          </cell>
        </row>
        <row r="13">
          <cell r="A13" t="str">
            <v>102-001-000-0000</v>
          </cell>
          <cell r="B13" t="str">
            <v>Reserves</v>
          </cell>
          <cell r="C13">
            <v>2</v>
          </cell>
          <cell r="D13">
            <v>0</v>
          </cell>
        </row>
        <row r="14">
          <cell r="A14" t="str">
            <v>102-001-001-0000</v>
          </cell>
          <cell r="B14" t="str">
            <v>Reserves</v>
          </cell>
          <cell r="C14">
            <v>3</v>
          </cell>
          <cell r="D14">
            <v>0</v>
          </cell>
        </row>
        <row r="15">
          <cell r="A15" t="str">
            <v>102-001-001-0001</v>
          </cell>
          <cell r="B15" t="str">
            <v>Reserves</v>
          </cell>
          <cell r="C15">
            <v>4</v>
          </cell>
          <cell r="D15">
            <v>0</v>
          </cell>
        </row>
        <row r="16">
          <cell r="A16" t="str">
            <v>103-000-000-0000</v>
          </cell>
          <cell r="B16" t="str">
            <v>Accumulated Profit/(Loss)</v>
          </cell>
          <cell r="C16">
            <v>1</v>
          </cell>
          <cell r="D16">
            <v>116230</v>
          </cell>
        </row>
        <row r="17">
          <cell r="A17" t="str">
            <v>103-001-000-0000</v>
          </cell>
          <cell r="B17" t="str">
            <v>Accumulated Profit/(Loss)</v>
          </cell>
          <cell r="C17">
            <v>2</v>
          </cell>
          <cell r="D17">
            <v>0</v>
          </cell>
        </row>
        <row r="18">
          <cell r="A18" t="str">
            <v>103-001-001-0000</v>
          </cell>
          <cell r="B18" t="str">
            <v>Accumulated Profit/(Loss)</v>
          </cell>
          <cell r="C18">
            <v>3</v>
          </cell>
          <cell r="D18">
            <v>0</v>
          </cell>
        </row>
        <row r="19">
          <cell r="A19" t="str">
            <v>103-001-001-0001</v>
          </cell>
          <cell r="B19" t="str">
            <v>Accumulated Profit/(Loss)</v>
          </cell>
          <cell r="C19">
            <v>4</v>
          </cell>
          <cell r="D19">
            <v>0</v>
          </cell>
        </row>
        <row r="20">
          <cell r="A20" t="str">
            <v>103-002-000-0000</v>
          </cell>
          <cell r="B20" t="str">
            <v>Profit transfer to HQ NLC</v>
          </cell>
          <cell r="C20">
            <v>2</v>
          </cell>
          <cell r="D20">
            <v>116230</v>
          </cell>
        </row>
        <row r="21">
          <cell r="A21" t="str">
            <v>103-002-001-0000</v>
          </cell>
          <cell r="B21" t="str">
            <v>Profit transfer to HQ NLC</v>
          </cell>
          <cell r="C21">
            <v>3</v>
          </cell>
          <cell r="D21">
            <v>116230</v>
          </cell>
        </row>
        <row r="22">
          <cell r="A22" t="str">
            <v>103-002-001-0001</v>
          </cell>
          <cell r="B22" t="str">
            <v>Profit transfer to HQ NLC</v>
          </cell>
          <cell r="C22">
            <v>4</v>
          </cell>
          <cell r="D22">
            <v>116230</v>
          </cell>
        </row>
        <row r="23">
          <cell r="A23" t="str">
            <v>104-000-000-0000</v>
          </cell>
          <cell r="B23" t="str">
            <v>Long Term Loans</v>
          </cell>
          <cell r="C23">
            <v>1</v>
          </cell>
          <cell r="D23">
            <v>0</v>
          </cell>
        </row>
        <row r="24">
          <cell r="A24" t="str">
            <v>104-001-000-0000</v>
          </cell>
          <cell r="B24" t="str">
            <v>Long Term Loans</v>
          </cell>
          <cell r="C24">
            <v>2</v>
          </cell>
          <cell r="D24">
            <v>0</v>
          </cell>
        </row>
        <row r="25">
          <cell r="A25" t="str">
            <v>104-001-001-0000</v>
          </cell>
          <cell r="B25" t="str">
            <v>Long Term Loans</v>
          </cell>
          <cell r="C25">
            <v>3</v>
          </cell>
          <cell r="D25">
            <v>0</v>
          </cell>
        </row>
        <row r="26">
          <cell r="A26" t="str">
            <v>104-001-001-0001</v>
          </cell>
          <cell r="B26" t="str">
            <v>Long Term Loans</v>
          </cell>
          <cell r="C26">
            <v>4</v>
          </cell>
          <cell r="D26">
            <v>0</v>
          </cell>
        </row>
        <row r="27">
          <cell r="A27" t="str">
            <v>105-000-000-0000</v>
          </cell>
          <cell r="B27" t="str">
            <v>Liabilities Against Assets Subject to Finance Leas</v>
          </cell>
          <cell r="C27">
            <v>1</v>
          </cell>
          <cell r="D27">
            <v>0</v>
          </cell>
        </row>
        <row r="28">
          <cell r="A28" t="str">
            <v>105-001-000-0000</v>
          </cell>
          <cell r="B28" t="str">
            <v>Liabilities Against Assets Subject to Finance Leas</v>
          </cell>
          <cell r="C28">
            <v>2</v>
          </cell>
          <cell r="D28">
            <v>0</v>
          </cell>
        </row>
        <row r="29">
          <cell r="A29" t="str">
            <v>105-001-001-0000</v>
          </cell>
          <cell r="B29" t="str">
            <v>Liabilities Against Assets Subject to Finance Leas</v>
          </cell>
          <cell r="C29">
            <v>3</v>
          </cell>
          <cell r="D29">
            <v>0</v>
          </cell>
        </row>
        <row r="30">
          <cell r="A30" t="str">
            <v>105-001-001-0001</v>
          </cell>
          <cell r="B30" t="str">
            <v>Liabilities Against Assets Subject to Finance Leas</v>
          </cell>
          <cell r="C30">
            <v>4</v>
          </cell>
          <cell r="D30">
            <v>0</v>
          </cell>
        </row>
        <row r="31">
          <cell r="A31" t="str">
            <v>106-000-000-0000</v>
          </cell>
          <cell r="B31" t="str">
            <v>Deferred Liabilities</v>
          </cell>
          <cell r="C31">
            <v>1</v>
          </cell>
          <cell r="D31">
            <v>0</v>
          </cell>
        </row>
        <row r="32">
          <cell r="A32" t="str">
            <v>106-001-000-0000</v>
          </cell>
          <cell r="B32" t="str">
            <v>Deferred Liabilities</v>
          </cell>
          <cell r="C32">
            <v>2</v>
          </cell>
          <cell r="D32">
            <v>0</v>
          </cell>
        </row>
        <row r="33">
          <cell r="A33" t="str">
            <v>106-001-001-0000</v>
          </cell>
          <cell r="B33" t="str">
            <v>Deferred Liabilities</v>
          </cell>
          <cell r="C33">
            <v>3</v>
          </cell>
          <cell r="D33">
            <v>0</v>
          </cell>
        </row>
        <row r="34">
          <cell r="A34" t="str">
            <v>106-001-001-0001</v>
          </cell>
          <cell r="B34" t="str">
            <v>Deferred Liabilities</v>
          </cell>
          <cell r="C34">
            <v>4</v>
          </cell>
          <cell r="D34">
            <v>0</v>
          </cell>
        </row>
        <row r="35">
          <cell r="A35" t="str">
            <v>107-000-000-0000</v>
          </cell>
          <cell r="B35" t="str">
            <v>Long Term Deposits</v>
          </cell>
          <cell r="C35">
            <v>1</v>
          </cell>
          <cell r="D35">
            <v>0</v>
          </cell>
        </row>
        <row r="36">
          <cell r="A36" t="str">
            <v>107-001-000-0000</v>
          </cell>
          <cell r="B36" t="str">
            <v>Long Term Deposits</v>
          </cell>
          <cell r="C36">
            <v>2</v>
          </cell>
          <cell r="D36">
            <v>0</v>
          </cell>
        </row>
        <row r="37">
          <cell r="A37" t="str">
            <v>107-001-001-0000</v>
          </cell>
          <cell r="B37" t="str">
            <v>Long Term Deposits</v>
          </cell>
          <cell r="C37">
            <v>3</v>
          </cell>
          <cell r="D37">
            <v>0</v>
          </cell>
        </row>
        <row r="38">
          <cell r="A38" t="str">
            <v>107-001-001-0001</v>
          </cell>
          <cell r="B38" t="str">
            <v>Long Term Deposits</v>
          </cell>
          <cell r="C38">
            <v>4</v>
          </cell>
          <cell r="D38">
            <v>0</v>
          </cell>
        </row>
        <row r="39">
          <cell r="A39" t="str">
            <v>108-000-000-0000</v>
          </cell>
          <cell r="B39" t="str">
            <v>Short Term Runnig Finances</v>
          </cell>
          <cell r="C39">
            <v>1</v>
          </cell>
          <cell r="D39">
            <v>0</v>
          </cell>
        </row>
        <row r="40">
          <cell r="A40" t="str">
            <v>108-001-000-0000</v>
          </cell>
          <cell r="B40" t="str">
            <v>Short Term Runnig Finances</v>
          </cell>
          <cell r="C40">
            <v>2</v>
          </cell>
          <cell r="D40">
            <v>0</v>
          </cell>
        </row>
        <row r="41">
          <cell r="A41" t="str">
            <v>108-001-001-0000</v>
          </cell>
          <cell r="B41" t="str">
            <v>Short Term Runnig Finances</v>
          </cell>
          <cell r="C41">
            <v>3</v>
          </cell>
          <cell r="D41">
            <v>0</v>
          </cell>
        </row>
        <row r="42">
          <cell r="A42" t="str">
            <v>109-000-000-0000</v>
          </cell>
          <cell r="B42" t="str">
            <v>Creditors, Accrued Charges and Other Liabilties</v>
          </cell>
          <cell r="C42">
            <v>1</v>
          </cell>
          <cell r="D42">
            <v>-10988233</v>
          </cell>
        </row>
        <row r="43">
          <cell r="A43" t="str">
            <v>109-001-000-0000</v>
          </cell>
          <cell r="B43" t="str">
            <v>Creditors</v>
          </cell>
          <cell r="C43">
            <v>2</v>
          </cell>
          <cell r="D43">
            <v>-10695926</v>
          </cell>
        </row>
        <row r="44">
          <cell r="A44" t="str">
            <v>109-001-001-0000</v>
          </cell>
          <cell r="B44" t="str">
            <v>Creditors Road Works</v>
          </cell>
          <cell r="C44">
            <v>3</v>
          </cell>
          <cell r="D44">
            <v>-10695926</v>
          </cell>
        </row>
        <row r="45">
          <cell r="A45" t="str">
            <v>109-001-001-1001</v>
          </cell>
          <cell r="B45" t="str">
            <v>Aamir Builders</v>
          </cell>
          <cell r="C45">
            <v>4</v>
          </cell>
          <cell r="D45">
            <v>0</v>
          </cell>
        </row>
        <row r="46">
          <cell r="A46" t="str">
            <v>109-001-001-1002</v>
          </cell>
          <cell r="B46" t="str">
            <v>Sadat Construction Co</v>
          </cell>
          <cell r="C46">
            <v>4</v>
          </cell>
          <cell r="D46">
            <v>0</v>
          </cell>
        </row>
        <row r="47">
          <cell r="A47" t="str">
            <v>109-001-001-1003</v>
          </cell>
          <cell r="B47" t="str">
            <v>Concrete master</v>
          </cell>
          <cell r="C47">
            <v>4</v>
          </cell>
          <cell r="D47">
            <v>0</v>
          </cell>
        </row>
        <row r="48">
          <cell r="A48" t="str">
            <v>109-001-001-1004</v>
          </cell>
          <cell r="B48" t="str">
            <v>Crescent Associates</v>
          </cell>
          <cell r="C48">
            <v>4</v>
          </cell>
          <cell r="D48">
            <v>0</v>
          </cell>
        </row>
        <row r="49">
          <cell r="A49" t="str">
            <v>109-001-001-1005</v>
          </cell>
          <cell r="B49" t="str">
            <v>Dynamic Enterprises</v>
          </cell>
          <cell r="C49">
            <v>4</v>
          </cell>
          <cell r="D49">
            <v>0</v>
          </cell>
        </row>
        <row r="50">
          <cell r="A50" t="str">
            <v>109-001-001-1006</v>
          </cell>
          <cell r="B50" t="str">
            <v>Foar Engineering System</v>
          </cell>
          <cell r="C50">
            <v>4</v>
          </cell>
          <cell r="D50">
            <v>0</v>
          </cell>
        </row>
        <row r="51">
          <cell r="A51" t="str">
            <v>109-001-001-1007</v>
          </cell>
          <cell r="B51" t="str">
            <v>FRS Associates</v>
          </cell>
          <cell r="C51">
            <v>4</v>
          </cell>
          <cell r="D51">
            <v>0</v>
          </cell>
        </row>
        <row r="52">
          <cell r="A52" t="str">
            <v>109-001-001-1008</v>
          </cell>
          <cell r="B52" t="str">
            <v>Haidry Construction</v>
          </cell>
          <cell r="C52">
            <v>4</v>
          </cell>
          <cell r="D52">
            <v>0</v>
          </cell>
        </row>
        <row r="53">
          <cell r="A53" t="str">
            <v>109-001-001-1009</v>
          </cell>
          <cell r="B53" t="str">
            <v>Karcon (Pvt) Limited</v>
          </cell>
          <cell r="C53">
            <v>4</v>
          </cell>
          <cell r="D53">
            <v>0</v>
          </cell>
        </row>
        <row r="54">
          <cell r="A54" t="str">
            <v>109-001-001-1010</v>
          </cell>
          <cell r="B54" t="str">
            <v>Maseed Developers</v>
          </cell>
          <cell r="C54">
            <v>4</v>
          </cell>
          <cell r="D54">
            <v>0</v>
          </cell>
        </row>
        <row r="55">
          <cell r="A55" t="str">
            <v>109-001-001-1011</v>
          </cell>
          <cell r="B55" t="str">
            <v>Malik Ijaz Amjad</v>
          </cell>
          <cell r="C55">
            <v>4</v>
          </cell>
          <cell r="D55">
            <v>0</v>
          </cell>
        </row>
        <row r="56">
          <cell r="A56" t="str">
            <v>109-001-001-1012</v>
          </cell>
          <cell r="B56" t="str">
            <v>Mian Muhammad Sharif</v>
          </cell>
          <cell r="C56">
            <v>4</v>
          </cell>
          <cell r="D56">
            <v>0</v>
          </cell>
        </row>
        <row r="57">
          <cell r="A57" t="str">
            <v>109-001-001-1013</v>
          </cell>
          <cell r="B57" t="str">
            <v>Mian Nisar and Company</v>
          </cell>
          <cell r="C57">
            <v>4</v>
          </cell>
          <cell r="D57">
            <v>0</v>
          </cell>
        </row>
        <row r="58">
          <cell r="A58" t="str">
            <v>109-001-001-1014</v>
          </cell>
          <cell r="B58" t="str">
            <v>Platinum Enterprises</v>
          </cell>
          <cell r="C58">
            <v>4</v>
          </cell>
          <cell r="D58">
            <v>0</v>
          </cell>
        </row>
        <row r="59">
          <cell r="A59" t="str">
            <v>109-001-001-1015</v>
          </cell>
          <cell r="B59" t="str">
            <v>Sambu Construction Company</v>
          </cell>
          <cell r="C59">
            <v>4</v>
          </cell>
          <cell r="D59">
            <v>0</v>
          </cell>
        </row>
        <row r="60">
          <cell r="A60" t="str">
            <v>109-001-001-1016</v>
          </cell>
          <cell r="B60" t="str">
            <v>Signage Security System</v>
          </cell>
          <cell r="C60">
            <v>4</v>
          </cell>
          <cell r="D60">
            <v>0</v>
          </cell>
        </row>
        <row r="61">
          <cell r="A61" t="str">
            <v>109-001-001-1017</v>
          </cell>
          <cell r="B61" t="str">
            <v>Syed sultan saeed</v>
          </cell>
          <cell r="C61">
            <v>4</v>
          </cell>
          <cell r="D61">
            <v>0</v>
          </cell>
        </row>
        <row r="62">
          <cell r="A62" t="str">
            <v>109-001-001-1018</v>
          </cell>
          <cell r="B62" t="str">
            <v>SASA  international</v>
          </cell>
          <cell r="C62">
            <v>4</v>
          </cell>
          <cell r="D62">
            <v>0</v>
          </cell>
        </row>
        <row r="63">
          <cell r="A63" t="str">
            <v>109-001-001-1019</v>
          </cell>
          <cell r="B63" t="str">
            <v>Swift services</v>
          </cell>
          <cell r="C63">
            <v>4</v>
          </cell>
          <cell r="D63">
            <v>0</v>
          </cell>
        </row>
        <row r="64">
          <cell r="A64" t="str">
            <v>109-001-001-1020</v>
          </cell>
          <cell r="B64" t="str">
            <v>Tyco Integrated System</v>
          </cell>
          <cell r="C64">
            <v>4</v>
          </cell>
          <cell r="D64">
            <v>0</v>
          </cell>
        </row>
        <row r="65">
          <cell r="A65" t="str">
            <v>109-001-001-1021</v>
          </cell>
          <cell r="B65" t="str">
            <v>Nadir Construction Company</v>
          </cell>
          <cell r="C65">
            <v>4</v>
          </cell>
          <cell r="D65">
            <v>0</v>
          </cell>
        </row>
        <row r="66">
          <cell r="A66" t="str">
            <v>109-001-001-1022</v>
          </cell>
          <cell r="B66" t="str">
            <v>Zahir Khan and Brothers</v>
          </cell>
          <cell r="C66">
            <v>4</v>
          </cell>
          <cell r="D66">
            <v>0</v>
          </cell>
        </row>
        <row r="67">
          <cell r="A67" t="str">
            <v>109-001-001-1023</v>
          </cell>
          <cell r="B67" t="str">
            <v>Rashid Associates</v>
          </cell>
          <cell r="C67">
            <v>4</v>
          </cell>
          <cell r="D67">
            <v>0</v>
          </cell>
        </row>
        <row r="68">
          <cell r="A68" t="str">
            <v>109-001-001-1024</v>
          </cell>
          <cell r="B68" t="str">
            <v>Science Centre</v>
          </cell>
          <cell r="C68">
            <v>4</v>
          </cell>
          <cell r="D68">
            <v>0</v>
          </cell>
        </row>
        <row r="69">
          <cell r="A69" t="str">
            <v>109-001-001-1025</v>
          </cell>
          <cell r="B69" t="str">
            <v>Taj Muhammad Khan</v>
          </cell>
          <cell r="C69">
            <v>4</v>
          </cell>
          <cell r="D69">
            <v>0</v>
          </cell>
        </row>
        <row r="70">
          <cell r="A70" t="str">
            <v>109-001-001-1026</v>
          </cell>
          <cell r="B70" t="str">
            <v xml:space="preserve"> Muhammad Nawaz Khan of Tala Gang</v>
          </cell>
          <cell r="C70">
            <v>4</v>
          </cell>
          <cell r="D70">
            <v>0</v>
          </cell>
        </row>
        <row r="71">
          <cell r="A71" t="str">
            <v>109-001-001-1027</v>
          </cell>
          <cell r="B71" t="str">
            <v xml:space="preserve"> Muhammad Iftikhar Fateh Jang</v>
          </cell>
          <cell r="C71">
            <v>4</v>
          </cell>
          <cell r="D71">
            <v>0</v>
          </cell>
        </row>
        <row r="72">
          <cell r="A72" t="str">
            <v>109-001-001-1028</v>
          </cell>
          <cell r="B72" t="str">
            <v>Fateh Muhammad Distt Chakwal</v>
          </cell>
          <cell r="C72">
            <v>4</v>
          </cell>
          <cell r="D72">
            <v>0</v>
          </cell>
        </row>
        <row r="73">
          <cell r="A73" t="str">
            <v>109-001-001-1029</v>
          </cell>
          <cell r="B73" t="str">
            <v>Sunny Rent a Car</v>
          </cell>
          <cell r="C73">
            <v>4</v>
          </cell>
          <cell r="D73">
            <v>0</v>
          </cell>
        </row>
        <row r="74">
          <cell r="A74" t="str">
            <v>109-001-001-1030</v>
          </cell>
          <cell r="B74" t="str">
            <v>M/S Inter City Traders</v>
          </cell>
          <cell r="C74">
            <v>4</v>
          </cell>
          <cell r="D74">
            <v>0</v>
          </cell>
        </row>
        <row r="75">
          <cell r="A75" t="str">
            <v>109-001-001-1031</v>
          </cell>
          <cell r="B75" t="str">
            <v>M/S Muhammad Bashir</v>
          </cell>
          <cell r="C75">
            <v>4</v>
          </cell>
          <cell r="D75">
            <v>0</v>
          </cell>
        </row>
        <row r="76">
          <cell r="A76" t="str">
            <v>109-001-001-1032</v>
          </cell>
          <cell r="B76" t="str">
            <v>XEN Wapda</v>
          </cell>
          <cell r="C76">
            <v>4</v>
          </cell>
          <cell r="D76">
            <v>0</v>
          </cell>
        </row>
        <row r="77">
          <cell r="A77" t="str">
            <v>109-001-001-1033</v>
          </cell>
          <cell r="B77" t="str">
            <v>M/S Techman Civil Engineering</v>
          </cell>
          <cell r="C77">
            <v>4</v>
          </cell>
          <cell r="D77">
            <v>0</v>
          </cell>
        </row>
        <row r="78">
          <cell r="A78" t="str">
            <v>109-001-001-1034</v>
          </cell>
          <cell r="B78" t="str">
            <v>M/S Syed Guftar Shah</v>
          </cell>
          <cell r="C78">
            <v>4</v>
          </cell>
          <cell r="D78">
            <v>0</v>
          </cell>
        </row>
        <row r="79">
          <cell r="A79" t="str">
            <v>109-001-001-1035</v>
          </cell>
          <cell r="B79" t="str">
            <v>M/S Muhammad Hussain</v>
          </cell>
          <cell r="C79">
            <v>4</v>
          </cell>
          <cell r="D79">
            <v>0</v>
          </cell>
        </row>
        <row r="80">
          <cell r="A80" t="str">
            <v>109-001-001-1036</v>
          </cell>
          <cell r="B80" t="str">
            <v>M/S Muhammad Aamir Khan</v>
          </cell>
          <cell r="C80">
            <v>4</v>
          </cell>
          <cell r="D80">
            <v>0</v>
          </cell>
        </row>
        <row r="81">
          <cell r="A81" t="str">
            <v>109-001-001-1037</v>
          </cell>
          <cell r="B81" t="str">
            <v>M/S Muhammad Zaib</v>
          </cell>
          <cell r="C81">
            <v>4</v>
          </cell>
          <cell r="D81">
            <v>0</v>
          </cell>
        </row>
        <row r="82">
          <cell r="A82" t="str">
            <v>109-001-001-1039</v>
          </cell>
          <cell r="B82" t="str">
            <v>Naib Subedar Muh Aslam</v>
          </cell>
          <cell r="C82">
            <v>4</v>
          </cell>
          <cell r="D82">
            <v>0</v>
          </cell>
        </row>
        <row r="83">
          <cell r="A83" t="str">
            <v>109-001-001-1040</v>
          </cell>
          <cell r="B83" t="str">
            <v>Hav Steno Nisar Ahmad</v>
          </cell>
          <cell r="C83">
            <v>4</v>
          </cell>
          <cell r="D83">
            <v>0</v>
          </cell>
        </row>
        <row r="84">
          <cell r="A84" t="str">
            <v>109-001-001-1042</v>
          </cell>
          <cell r="B84" t="str">
            <v>Project Manager PTCL</v>
          </cell>
          <cell r="C84">
            <v>4</v>
          </cell>
          <cell r="D84">
            <v>0</v>
          </cell>
        </row>
        <row r="85">
          <cell r="A85" t="str">
            <v>109-001-001-1043</v>
          </cell>
          <cell r="B85" t="str">
            <v>Project KRAC Ware house Mandra</v>
          </cell>
          <cell r="C85">
            <v>4</v>
          </cell>
          <cell r="D85">
            <v>0</v>
          </cell>
        </row>
        <row r="86">
          <cell r="A86" t="str">
            <v>109-001-001-1044</v>
          </cell>
          <cell r="B86" t="str">
            <v>N-5 Swan Camp</v>
          </cell>
          <cell r="C86">
            <v>4</v>
          </cell>
          <cell r="D86">
            <v>0</v>
          </cell>
        </row>
        <row r="87">
          <cell r="A87" t="str">
            <v>109-001-001-1045</v>
          </cell>
          <cell r="B87" t="str">
            <v>M/S Highway contractors</v>
          </cell>
          <cell r="C87">
            <v>4</v>
          </cell>
          <cell r="D87">
            <v>0</v>
          </cell>
        </row>
        <row r="88">
          <cell r="A88" t="str">
            <v>109-001-001-1046</v>
          </cell>
          <cell r="B88" t="str">
            <v>M/S Muhammad Azam &amp; Brothers</v>
          </cell>
          <cell r="C88">
            <v>4</v>
          </cell>
          <cell r="D88">
            <v>0</v>
          </cell>
        </row>
        <row r="89">
          <cell r="A89" t="str">
            <v>109-001-001-1047</v>
          </cell>
          <cell r="B89" t="str">
            <v>M/S MRRP</v>
          </cell>
          <cell r="C89">
            <v>4</v>
          </cell>
          <cell r="D89">
            <v>0</v>
          </cell>
        </row>
        <row r="90">
          <cell r="A90" t="str">
            <v>109-001-001-1048</v>
          </cell>
          <cell r="B90" t="str">
            <v>M/S Technoline</v>
          </cell>
          <cell r="C90">
            <v>4</v>
          </cell>
          <cell r="D90">
            <v>0</v>
          </cell>
        </row>
        <row r="91">
          <cell r="A91" t="str">
            <v>109-001-001-1049</v>
          </cell>
          <cell r="B91" t="str">
            <v>M/S J &amp; W</v>
          </cell>
          <cell r="C91">
            <v>4</v>
          </cell>
          <cell r="D91">
            <v>0</v>
          </cell>
        </row>
        <row r="92">
          <cell r="A92" t="str">
            <v>109-001-001-1050</v>
          </cell>
          <cell r="B92" t="str">
            <v>M/S Asad Rameez</v>
          </cell>
          <cell r="C92">
            <v>4</v>
          </cell>
          <cell r="D92">
            <v>0</v>
          </cell>
        </row>
        <row r="93">
          <cell r="A93" t="str">
            <v>109-001-001-1051</v>
          </cell>
          <cell r="B93" t="str">
            <v>M/S Saleem &amp; Brothers</v>
          </cell>
          <cell r="C93">
            <v>4</v>
          </cell>
          <cell r="D93">
            <v>0</v>
          </cell>
        </row>
        <row r="94">
          <cell r="A94" t="str">
            <v>109-001-001-1052</v>
          </cell>
          <cell r="B94" t="str">
            <v>M/S Syed Associates</v>
          </cell>
          <cell r="C94">
            <v>4</v>
          </cell>
          <cell r="D94">
            <v>0</v>
          </cell>
        </row>
        <row r="95">
          <cell r="A95" t="str">
            <v>109-001-001-1054</v>
          </cell>
          <cell r="B95" t="str">
            <v>M/S Tripple M Enterprises</v>
          </cell>
          <cell r="C95">
            <v>4</v>
          </cell>
          <cell r="D95">
            <v>0</v>
          </cell>
        </row>
        <row r="96">
          <cell r="A96" t="str">
            <v>109-001-001-1055</v>
          </cell>
          <cell r="B96" t="str">
            <v>M/S Swayra Enterprises</v>
          </cell>
          <cell r="C96">
            <v>4</v>
          </cell>
          <cell r="D96">
            <v>0</v>
          </cell>
        </row>
        <row r="97">
          <cell r="A97" t="str">
            <v>109-001-001-1056</v>
          </cell>
          <cell r="B97" t="str">
            <v>M/S Foar Road Marking</v>
          </cell>
          <cell r="C97">
            <v>4</v>
          </cell>
          <cell r="D97">
            <v>0</v>
          </cell>
        </row>
        <row r="98">
          <cell r="A98" t="str">
            <v>109-001-001-1058</v>
          </cell>
          <cell r="B98" t="str">
            <v>M/S Javed Mumtaz (Pvt) Ltd</v>
          </cell>
          <cell r="C98">
            <v>4</v>
          </cell>
          <cell r="D98">
            <v>0</v>
          </cell>
        </row>
        <row r="99">
          <cell r="A99" t="str">
            <v>109-001-001-1059</v>
          </cell>
          <cell r="B99" t="str">
            <v>M/S Jabco (Pvt) Ltd</v>
          </cell>
          <cell r="C99">
            <v>4</v>
          </cell>
          <cell r="D99">
            <v>0</v>
          </cell>
        </row>
        <row r="100">
          <cell r="A100" t="str">
            <v>109-001-001-1060</v>
          </cell>
          <cell r="B100" t="str">
            <v>M/S Imtiaz Shahid &amp; Co</v>
          </cell>
          <cell r="C100">
            <v>4</v>
          </cell>
          <cell r="D100">
            <v>0</v>
          </cell>
        </row>
        <row r="101">
          <cell r="A101" t="str">
            <v>109-001-001-1061</v>
          </cell>
          <cell r="B101" t="str">
            <v>M/S ATM Builders</v>
          </cell>
          <cell r="C101">
            <v>4</v>
          </cell>
          <cell r="D101">
            <v>0</v>
          </cell>
        </row>
        <row r="102">
          <cell r="A102" t="str">
            <v>109-001-001-1062</v>
          </cell>
          <cell r="B102" t="str">
            <v>M/S Jabco (Pvt) Ltd</v>
          </cell>
          <cell r="C102">
            <v>4</v>
          </cell>
          <cell r="D102">
            <v>0</v>
          </cell>
        </row>
        <row r="103">
          <cell r="A103" t="str">
            <v>109-001-001-1063</v>
          </cell>
          <cell r="B103" t="str">
            <v>M/S Ali Associate</v>
          </cell>
          <cell r="C103">
            <v>4</v>
          </cell>
          <cell r="D103">
            <v>0</v>
          </cell>
        </row>
        <row r="104">
          <cell r="A104" t="str">
            <v>109-001-001-1064</v>
          </cell>
          <cell r="B104" t="str">
            <v>M/S Sajjad (Pvt) ltd</v>
          </cell>
          <cell r="C104">
            <v>4</v>
          </cell>
          <cell r="D104">
            <v>0</v>
          </cell>
        </row>
        <row r="105">
          <cell r="A105" t="str">
            <v>109-001-001-1065</v>
          </cell>
          <cell r="B105" t="str">
            <v>M/S Sky Engineers</v>
          </cell>
          <cell r="C105">
            <v>4</v>
          </cell>
          <cell r="D105">
            <v>0</v>
          </cell>
        </row>
        <row r="106">
          <cell r="A106" t="str">
            <v>109-001-001-1066</v>
          </cell>
          <cell r="B106" t="str">
            <v>M/S Eastern Highway</v>
          </cell>
          <cell r="C106">
            <v>4</v>
          </cell>
          <cell r="D106">
            <v>0</v>
          </cell>
        </row>
        <row r="107">
          <cell r="A107" t="str">
            <v>109-001-001-1067</v>
          </cell>
          <cell r="B107" t="str">
            <v>M/S Yar Muhammad Khattak</v>
          </cell>
          <cell r="C107">
            <v>4</v>
          </cell>
          <cell r="D107">
            <v>0</v>
          </cell>
        </row>
        <row r="108">
          <cell r="A108" t="str">
            <v>109-001-001-1069</v>
          </cell>
          <cell r="B108" t="str">
            <v>M/S Sadaat Enterprises</v>
          </cell>
          <cell r="C108">
            <v>4</v>
          </cell>
          <cell r="D108">
            <v>0</v>
          </cell>
        </row>
        <row r="109">
          <cell r="A109" t="str">
            <v>109-001-001-1070</v>
          </cell>
          <cell r="B109" t="str">
            <v>M/S Shad Khan &amp; Sons</v>
          </cell>
          <cell r="C109">
            <v>4</v>
          </cell>
          <cell r="D109">
            <v>-6343368</v>
          </cell>
        </row>
        <row r="110">
          <cell r="A110" t="str">
            <v>109-001-001-1071</v>
          </cell>
          <cell r="B110" t="str">
            <v>M/S Amir Iqbal &amp; Co.</v>
          </cell>
          <cell r="C110">
            <v>4</v>
          </cell>
          <cell r="D110">
            <v>0</v>
          </cell>
        </row>
        <row r="111">
          <cell r="A111" t="str">
            <v>109-001-001-1072</v>
          </cell>
          <cell r="B111" t="str">
            <v>M/S Ascent Associates</v>
          </cell>
          <cell r="C111">
            <v>4</v>
          </cell>
          <cell r="D111">
            <v>-1199818</v>
          </cell>
        </row>
        <row r="112">
          <cell r="A112" t="str">
            <v>109-001-001-1073</v>
          </cell>
          <cell r="B112" t="str">
            <v>M/S Omer Farooq Co.</v>
          </cell>
          <cell r="C112">
            <v>4</v>
          </cell>
          <cell r="D112">
            <v>-3152740</v>
          </cell>
        </row>
        <row r="113">
          <cell r="A113" t="str">
            <v>109-001-001-9999</v>
          </cell>
          <cell r="B113" t="str">
            <v>Final Bill Creditors</v>
          </cell>
          <cell r="C113">
            <v>4</v>
          </cell>
          <cell r="D113">
            <v>0</v>
          </cell>
        </row>
        <row r="114">
          <cell r="A114" t="str">
            <v>109-001-002-0000</v>
          </cell>
          <cell r="B114" t="str">
            <v>Creditors Construction  Material</v>
          </cell>
          <cell r="C114">
            <v>3</v>
          </cell>
          <cell r="D114">
            <v>0</v>
          </cell>
        </row>
        <row r="115">
          <cell r="A115" t="str">
            <v>109-001-002-1001</v>
          </cell>
          <cell r="B115" t="str">
            <v>Al- maqsoom Traders</v>
          </cell>
          <cell r="C115">
            <v>4</v>
          </cell>
          <cell r="D115">
            <v>0</v>
          </cell>
        </row>
        <row r="116">
          <cell r="A116" t="str">
            <v>109-001-002-1002</v>
          </cell>
          <cell r="B116" t="str">
            <v>Adnan Stationery</v>
          </cell>
          <cell r="C116">
            <v>4</v>
          </cell>
          <cell r="D116">
            <v>0</v>
          </cell>
        </row>
        <row r="117">
          <cell r="A117" t="str">
            <v>109-001-002-1003</v>
          </cell>
          <cell r="B117" t="str">
            <v>All Pakistan machinery</v>
          </cell>
          <cell r="C117">
            <v>4</v>
          </cell>
          <cell r="D117">
            <v>0</v>
          </cell>
        </row>
        <row r="118">
          <cell r="A118" t="str">
            <v>109-001-002-1004</v>
          </cell>
          <cell r="B118" t="str">
            <v>Awais Aluminium</v>
          </cell>
          <cell r="C118">
            <v>4</v>
          </cell>
          <cell r="D118">
            <v>0</v>
          </cell>
        </row>
        <row r="119">
          <cell r="A119" t="str">
            <v>109-001-002-1005</v>
          </cell>
          <cell r="B119" t="str">
            <v>Asghar ali Shah</v>
          </cell>
          <cell r="C119">
            <v>4</v>
          </cell>
          <cell r="D119">
            <v>0</v>
          </cell>
        </row>
        <row r="120">
          <cell r="A120" t="str">
            <v>109-001-002-1006</v>
          </cell>
          <cell r="B120" t="str">
            <v>Spinzer Ashain Rwp</v>
          </cell>
          <cell r="C120">
            <v>4</v>
          </cell>
          <cell r="D120">
            <v>0</v>
          </cell>
        </row>
        <row r="121">
          <cell r="A121" t="str">
            <v>109-001-002-1007</v>
          </cell>
          <cell r="B121" t="str">
            <v>Syed Shujahat Hussian</v>
          </cell>
          <cell r="C121">
            <v>4</v>
          </cell>
          <cell r="D121">
            <v>0</v>
          </cell>
        </row>
        <row r="122">
          <cell r="A122" t="str">
            <v>109-001-002-1008</v>
          </cell>
          <cell r="B122" t="str">
            <v>Drawing &amp; survey</v>
          </cell>
          <cell r="C122">
            <v>4</v>
          </cell>
          <cell r="D122">
            <v>0</v>
          </cell>
        </row>
        <row r="123">
          <cell r="A123" t="str">
            <v>109-001-002-1009</v>
          </cell>
          <cell r="B123" t="str">
            <v>Flash Technologies</v>
          </cell>
          <cell r="C123">
            <v>4</v>
          </cell>
          <cell r="D123">
            <v>0</v>
          </cell>
        </row>
        <row r="124">
          <cell r="A124" t="str">
            <v>109-001-002-1010</v>
          </cell>
          <cell r="B124" t="str">
            <v>Gul Jan</v>
          </cell>
          <cell r="C124">
            <v>4</v>
          </cell>
          <cell r="D124">
            <v>0</v>
          </cell>
        </row>
        <row r="125">
          <cell r="A125" t="str">
            <v>109-001-002-1011</v>
          </cell>
          <cell r="B125" t="str">
            <v>Hayat ullah &amp; sons</v>
          </cell>
          <cell r="C125">
            <v>4</v>
          </cell>
          <cell r="D125">
            <v>0</v>
          </cell>
        </row>
        <row r="126">
          <cell r="A126" t="str">
            <v>109-001-002-1012</v>
          </cell>
          <cell r="B126" t="str">
            <v>Hanif Agencies</v>
          </cell>
          <cell r="C126">
            <v>4</v>
          </cell>
          <cell r="D126">
            <v>0</v>
          </cell>
        </row>
        <row r="127">
          <cell r="A127" t="str">
            <v>109-001-002-1013</v>
          </cell>
          <cell r="B127" t="str">
            <v>Islamabad Auto</v>
          </cell>
          <cell r="C127">
            <v>4</v>
          </cell>
          <cell r="D127">
            <v>0</v>
          </cell>
        </row>
        <row r="128">
          <cell r="A128" t="str">
            <v>109-001-002-1014</v>
          </cell>
          <cell r="B128" t="str">
            <v>Junaid Autos</v>
          </cell>
          <cell r="C128">
            <v>4</v>
          </cell>
          <cell r="D128">
            <v>0</v>
          </cell>
        </row>
        <row r="129">
          <cell r="A129" t="str">
            <v>109-001-002-1015</v>
          </cell>
          <cell r="B129" t="str">
            <v>Khan Badshah</v>
          </cell>
          <cell r="C129">
            <v>4</v>
          </cell>
          <cell r="D129">
            <v>0</v>
          </cell>
        </row>
        <row r="130">
          <cell r="A130" t="str">
            <v>109-001-002-1016</v>
          </cell>
          <cell r="B130" t="str">
            <v>Mir Brothers</v>
          </cell>
          <cell r="C130">
            <v>4</v>
          </cell>
          <cell r="D130">
            <v>0</v>
          </cell>
        </row>
        <row r="131">
          <cell r="A131" t="str">
            <v>109-001-002-1017</v>
          </cell>
          <cell r="B131" t="str">
            <v>Mirza old engineering stores</v>
          </cell>
          <cell r="C131">
            <v>4</v>
          </cell>
          <cell r="D131">
            <v>0</v>
          </cell>
        </row>
        <row r="132">
          <cell r="A132" t="str">
            <v>109-001-002-1018</v>
          </cell>
          <cell r="B132" t="str">
            <v>Muh shah &amp; sons</v>
          </cell>
          <cell r="C132">
            <v>4</v>
          </cell>
          <cell r="D132">
            <v>0</v>
          </cell>
        </row>
        <row r="133">
          <cell r="A133" t="str">
            <v>109-001-002-1019</v>
          </cell>
          <cell r="B133" t="str">
            <v>Margallah Stone Crusher</v>
          </cell>
          <cell r="C133">
            <v>4</v>
          </cell>
          <cell r="D133">
            <v>0</v>
          </cell>
        </row>
        <row r="134">
          <cell r="A134" t="str">
            <v>109-001-002-1020</v>
          </cell>
          <cell r="B134" t="str">
            <v>Minhattan Pahnta (pvt) Ltd</v>
          </cell>
          <cell r="C134">
            <v>4</v>
          </cell>
          <cell r="D134">
            <v>0</v>
          </cell>
        </row>
        <row r="135">
          <cell r="A135" t="str">
            <v>109-001-002-1021</v>
          </cell>
          <cell r="B135" t="str">
            <v>Naimat Agencies</v>
          </cell>
          <cell r="C135">
            <v>4</v>
          </cell>
          <cell r="D135">
            <v>0</v>
          </cell>
        </row>
        <row r="136">
          <cell r="A136" t="str">
            <v>109-001-002-1022</v>
          </cell>
          <cell r="B136" t="str">
            <v>Potohar Autos</v>
          </cell>
          <cell r="C136">
            <v>4</v>
          </cell>
          <cell r="D136">
            <v>0</v>
          </cell>
        </row>
        <row r="137">
          <cell r="A137" t="str">
            <v>109-001-002-1023</v>
          </cell>
          <cell r="B137" t="str">
            <v>Petronet Pakistan</v>
          </cell>
          <cell r="C137">
            <v>4</v>
          </cell>
          <cell r="D137">
            <v>0</v>
          </cell>
        </row>
        <row r="138">
          <cell r="A138" t="str">
            <v>109-001-002-1024</v>
          </cell>
          <cell r="B138" t="str">
            <v>Photohar Stone Crusher</v>
          </cell>
          <cell r="C138">
            <v>4</v>
          </cell>
          <cell r="D138">
            <v>0</v>
          </cell>
        </row>
        <row r="139">
          <cell r="A139" t="str">
            <v>109-001-002-1025-</v>
          </cell>
          <cell r="B139" t="str">
            <v>Malik Steel Works</v>
          </cell>
          <cell r="C139">
            <v>4</v>
          </cell>
          <cell r="D139">
            <v>0</v>
          </cell>
        </row>
        <row r="140">
          <cell r="A140" t="str">
            <v>109-001-002-1026</v>
          </cell>
          <cell r="B140" t="str">
            <v>S.A.S Metals</v>
          </cell>
          <cell r="C140">
            <v>4</v>
          </cell>
          <cell r="D140">
            <v>0</v>
          </cell>
        </row>
        <row r="141">
          <cell r="A141" t="str">
            <v>109-001-002-1027</v>
          </cell>
          <cell r="B141" t="str">
            <v>Sangjani Asphalt Premixing Plant</v>
          </cell>
          <cell r="C141">
            <v>4</v>
          </cell>
          <cell r="D141">
            <v>0</v>
          </cell>
        </row>
        <row r="142">
          <cell r="A142" t="str">
            <v>109-001-002-1028</v>
          </cell>
          <cell r="B142" t="str">
            <v>Zia Auctioner</v>
          </cell>
          <cell r="C142">
            <v>4</v>
          </cell>
          <cell r="D142">
            <v>0</v>
          </cell>
        </row>
        <row r="143">
          <cell r="A143" t="str">
            <v>109-001-002-1029</v>
          </cell>
          <cell r="B143" t="str">
            <v>Pak Steel</v>
          </cell>
          <cell r="C143">
            <v>4</v>
          </cell>
          <cell r="D143">
            <v>0</v>
          </cell>
        </row>
        <row r="144">
          <cell r="A144" t="str">
            <v>109-001-002-1030</v>
          </cell>
          <cell r="B144" t="str">
            <v>Printing Press CMTI</v>
          </cell>
          <cell r="C144">
            <v>4</v>
          </cell>
          <cell r="D144">
            <v>0</v>
          </cell>
        </row>
        <row r="145">
          <cell r="A145" t="str">
            <v>109-001-002-1031</v>
          </cell>
          <cell r="B145" t="str">
            <v>Muhammad Zulfiqar</v>
          </cell>
          <cell r="C145">
            <v>4</v>
          </cell>
          <cell r="D145">
            <v>0</v>
          </cell>
        </row>
        <row r="146">
          <cell r="A146" t="str">
            <v>109-001-002-1032</v>
          </cell>
          <cell r="B146" t="str">
            <v>Bismillah Khan</v>
          </cell>
          <cell r="C146">
            <v>4</v>
          </cell>
          <cell r="D146">
            <v>0</v>
          </cell>
        </row>
        <row r="147">
          <cell r="A147" t="str">
            <v>109-001-002-1033</v>
          </cell>
          <cell r="B147" t="str">
            <v>Executive Engineering Machinery</v>
          </cell>
          <cell r="C147">
            <v>4</v>
          </cell>
          <cell r="D147">
            <v>0</v>
          </cell>
        </row>
        <row r="148">
          <cell r="A148" t="str">
            <v>109-001-002-1034</v>
          </cell>
          <cell r="B148" t="str">
            <v>Royal Scientific Store</v>
          </cell>
          <cell r="C148">
            <v>4</v>
          </cell>
          <cell r="D148">
            <v>0</v>
          </cell>
        </row>
        <row r="149">
          <cell r="A149" t="str">
            <v>109-001-002-1035</v>
          </cell>
          <cell r="B149" t="str">
            <v>Nationall Scientific Store</v>
          </cell>
          <cell r="C149">
            <v>4</v>
          </cell>
          <cell r="D149">
            <v>0</v>
          </cell>
        </row>
        <row r="150">
          <cell r="A150" t="str">
            <v>109-001-002-1036</v>
          </cell>
          <cell r="B150" t="str">
            <v>M/S Qazi Ghee</v>
          </cell>
          <cell r="C150">
            <v>4</v>
          </cell>
          <cell r="D150">
            <v>0</v>
          </cell>
        </row>
        <row r="151">
          <cell r="A151" t="str">
            <v>109-001-002-1037</v>
          </cell>
          <cell r="B151" t="str">
            <v>M/S Muhammad Latif</v>
          </cell>
          <cell r="C151">
            <v>4</v>
          </cell>
          <cell r="D151">
            <v>0</v>
          </cell>
        </row>
        <row r="152">
          <cell r="A152" t="str">
            <v>109-001-002-1038</v>
          </cell>
          <cell r="B152" t="str">
            <v>M/S Zafer Ullah</v>
          </cell>
          <cell r="C152">
            <v>4</v>
          </cell>
          <cell r="D152">
            <v>0</v>
          </cell>
        </row>
        <row r="153">
          <cell r="A153" t="str">
            <v>109-001-002-1039</v>
          </cell>
          <cell r="B153" t="str">
            <v>M/S Spinzer</v>
          </cell>
          <cell r="C153">
            <v>4</v>
          </cell>
          <cell r="D153">
            <v>0</v>
          </cell>
        </row>
        <row r="154">
          <cell r="A154" t="str">
            <v>109-001-002-1040</v>
          </cell>
          <cell r="B154" t="str">
            <v>M/S Ali Associates</v>
          </cell>
          <cell r="C154">
            <v>4</v>
          </cell>
          <cell r="D154">
            <v>0</v>
          </cell>
        </row>
        <row r="155">
          <cell r="A155" t="str">
            <v>109-001-002-1041</v>
          </cell>
          <cell r="B155" t="str">
            <v>M/S Muh Yousaf</v>
          </cell>
          <cell r="C155">
            <v>4</v>
          </cell>
          <cell r="D155">
            <v>0</v>
          </cell>
        </row>
        <row r="156">
          <cell r="A156" t="str">
            <v>109-001-002-1042</v>
          </cell>
          <cell r="B156" t="str">
            <v>M/S Ali Khan</v>
          </cell>
          <cell r="C156">
            <v>4</v>
          </cell>
          <cell r="D156">
            <v>0</v>
          </cell>
        </row>
        <row r="157">
          <cell r="A157" t="str">
            <v>109-001-002-1044</v>
          </cell>
          <cell r="B157" t="str">
            <v>M/S Super Punjab Tents</v>
          </cell>
          <cell r="C157">
            <v>4</v>
          </cell>
          <cell r="D157">
            <v>0</v>
          </cell>
        </row>
        <row r="158">
          <cell r="A158" t="str">
            <v>109-001-002-1045</v>
          </cell>
          <cell r="B158" t="str">
            <v>M/S Ahmed Auots</v>
          </cell>
          <cell r="C158">
            <v>4</v>
          </cell>
          <cell r="D158">
            <v>0</v>
          </cell>
        </row>
        <row r="159">
          <cell r="A159" t="str">
            <v>109-001-002-1046</v>
          </cell>
          <cell r="B159" t="str">
            <v>M/S Akash Builders</v>
          </cell>
          <cell r="C159">
            <v>4</v>
          </cell>
          <cell r="D159">
            <v>0</v>
          </cell>
        </row>
        <row r="160">
          <cell r="A160" t="str">
            <v>109-001-002-1047</v>
          </cell>
          <cell r="B160" t="str">
            <v>M/S Muneeb Brothers</v>
          </cell>
          <cell r="C160">
            <v>4</v>
          </cell>
          <cell r="D160">
            <v>0</v>
          </cell>
        </row>
        <row r="161">
          <cell r="A161" t="str">
            <v>109-001-002-1048</v>
          </cell>
          <cell r="B161" t="str">
            <v>M/S Mughal Supersave</v>
          </cell>
          <cell r="C161">
            <v>4</v>
          </cell>
          <cell r="D161">
            <v>0</v>
          </cell>
        </row>
        <row r="162">
          <cell r="A162" t="str">
            <v>109-001-002-1049</v>
          </cell>
          <cell r="B162" t="str">
            <v>M/S Al-Madina Engineering Works</v>
          </cell>
          <cell r="C162">
            <v>4</v>
          </cell>
          <cell r="D162">
            <v>0</v>
          </cell>
        </row>
        <row r="163">
          <cell r="A163" t="str">
            <v>109-001-002-1050</v>
          </cell>
          <cell r="B163" t="str">
            <v>M/S Salahuddin Diesel Service</v>
          </cell>
          <cell r="C163">
            <v>4</v>
          </cell>
          <cell r="D163">
            <v>0</v>
          </cell>
        </row>
        <row r="164">
          <cell r="A164" t="str">
            <v>109-001-002-1051</v>
          </cell>
          <cell r="B164" t="str">
            <v>M/S Toyota Centre</v>
          </cell>
          <cell r="C164">
            <v>4</v>
          </cell>
          <cell r="D164">
            <v>0</v>
          </cell>
        </row>
        <row r="165">
          <cell r="A165" t="str">
            <v>109-001-002-1052</v>
          </cell>
          <cell r="B165" t="str">
            <v>M/S Kamboh Engineering Intl</v>
          </cell>
          <cell r="C165">
            <v>4</v>
          </cell>
          <cell r="D165">
            <v>0</v>
          </cell>
        </row>
        <row r="166">
          <cell r="A166" t="str">
            <v>109-001-002-1053</v>
          </cell>
          <cell r="B166" t="str">
            <v>M/S H &amp; M Engineering Works</v>
          </cell>
          <cell r="C166">
            <v>4</v>
          </cell>
          <cell r="D166">
            <v>0</v>
          </cell>
        </row>
        <row r="167">
          <cell r="A167" t="str">
            <v>109-001-002-1054</v>
          </cell>
          <cell r="B167" t="str">
            <v>M/S A &amp; A Enterprises</v>
          </cell>
          <cell r="C167">
            <v>4</v>
          </cell>
          <cell r="D167">
            <v>0</v>
          </cell>
        </row>
        <row r="168">
          <cell r="A168" t="str">
            <v>109-001-002-1055</v>
          </cell>
          <cell r="B168" t="str">
            <v>M/S Haq Char Yaar</v>
          </cell>
          <cell r="C168">
            <v>4</v>
          </cell>
          <cell r="D168">
            <v>0</v>
          </cell>
        </row>
        <row r="169">
          <cell r="A169" t="str">
            <v>109-001-002-1056</v>
          </cell>
          <cell r="B169" t="str">
            <v>M/S Friends Associates</v>
          </cell>
          <cell r="C169">
            <v>4</v>
          </cell>
          <cell r="D169">
            <v>0</v>
          </cell>
        </row>
        <row r="170">
          <cell r="A170" t="str">
            <v>109-001-002-1057</v>
          </cell>
          <cell r="B170" t="str">
            <v>M/S Abdul Khaliq Khan</v>
          </cell>
          <cell r="C170">
            <v>4</v>
          </cell>
          <cell r="D170">
            <v>0</v>
          </cell>
        </row>
        <row r="171">
          <cell r="A171" t="str">
            <v>109-001-002-1058</v>
          </cell>
          <cell r="B171" t="str">
            <v>M/S Al-Ghosia</v>
          </cell>
          <cell r="C171">
            <v>4</v>
          </cell>
          <cell r="D171">
            <v>0</v>
          </cell>
        </row>
        <row r="172">
          <cell r="A172" t="str">
            <v>109-001-002-1059</v>
          </cell>
          <cell r="B172" t="str">
            <v>M/S Wasim Stationers</v>
          </cell>
          <cell r="C172">
            <v>4</v>
          </cell>
          <cell r="D172">
            <v>0</v>
          </cell>
        </row>
        <row r="173">
          <cell r="A173" t="str">
            <v>109-001-002-1060</v>
          </cell>
          <cell r="B173" t="str">
            <v>M/S Sarfraz  Khan.</v>
          </cell>
          <cell r="C173">
            <v>4</v>
          </cell>
          <cell r="D173">
            <v>0</v>
          </cell>
        </row>
        <row r="174">
          <cell r="A174" t="str">
            <v>109-001-002-1061</v>
          </cell>
          <cell r="B174" t="str">
            <v>M/S Spinzer</v>
          </cell>
          <cell r="C174">
            <v>4</v>
          </cell>
          <cell r="D174">
            <v>0</v>
          </cell>
        </row>
        <row r="175">
          <cell r="A175" t="str">
            <v>109-001-002-1062</v>
          </cell>
          <cell r="B175" t="str">
            <v>M/S Maj (R) Nisar</v>
          </cell>
          <cell r="C175">
            <v>4</v>
          </cell>
          <cell r="D175">
            <v>0</v>
          </cell>
        </row>
        <row r="176">
          <cell r="A176" t="str">
            <v>109-001-002-1063</v>
          </cell>
          <cell r="B176" t="str">
            <v>M/S Behran Khan</v>
          </cell>
          <cell r="C176">
            <v>4</v>
          </cell>
          <cell r="D176">
            <v>0</v>
          </cell>
        </row>
        <row r="177">
          <cell r="A177" t="str">
            <v>109-001-002-1064</v>
          </cell>
          <cell r="B177" t="str">
            <v>M/S Safe Co.</v>
          </cell>
          <cell r="C177">
            <v>4</v>
          </cell>
          <cell r="D177">
            <v>0</v>
          </cell>
        </row>
        <row r="178">
          <cell r="A178" t="str">
            <v>109-001-002-1065</v>
          </cell>
          <cell r="B178" t="str">
            <v>M/S Photohar Autos</v>
          </cell>
          <cell r="C178">
            <v>4</v>
          </cell>
          <cell r="D178">
            <v>0</v>
          </cell>
        </row>
        <row r="179">
          <cell r="A179" t="str">
            <v>109-001-002-1066</v>
          </cell>
          <cell r="B179" t="str">
            <v>M/S Haji Muh Munir</v>
          </cell>
          <cell r="C179">
            <v>4</v>
          </cell>
          <cell r="D179">
            <v>0</v>
          </cell>
        </row>
        <row r="180">
          <cell r="A180" t="str">
            <v>109-001-002-1067</v>
          </cell>
          <cell r="B180" t="str">
            <v>M/S Bazl ul jehood</v>
          </cell>
          <cell r="C180">
            <v>4</v>
          </cell>
          <cell r="D180">
            <v>0</v>
          </cell>
        </row>
        <row r="181">
          <cell r="A181" t="str">
            <v>109-001-002-1068</v>
          </cell>
          <cell r="B181" t="str">
            <v>M/S Regent Computers</v>
          </cell>
          <cell r="C181">
            <v>4</v>
          </cell>
          <cell r="D181">
            <v>0</v>
          </cell>
        </row>
        <row r="182">
          <cell r="A182" t="str">
            <v>109-001-002-1069</v>
          </cell>
          <cell r="B182" t="str">
            <v>M/S Abdul Razaq &amp; Co.</v>
          </cell>
          <cell r="C182">
            <v>4</v>
          </cell>
          <cell r="D182">
            <v>0</v>
          </cell>
        </row>
        <row r="183">
          <cell r="A183" t="str">
            <v>109-001-002-1070</v>
          </cell>
          <cell r="B183" t="str">
            <v>M/S Furnitures</v>
          </cell>
          <cell r="C183">
            <v>4</v>
          </cell>
          <cell r="D183">
            <v>0</v>
          </cell>
        </row>
        <row r="184">
          <cell r="A184" t="str">
            <v>109-001-002-1071</v>
          </cell>
          <cell r="B184" t="str">
            <v>M/S National Machinery Store</v>
          </cell>
          <cell r="C184">
            <v>4</v>
          </cell>
          <cell r="D184">
            <v>0</v>
          </cell>
        </row>
        <row r="185">
          <cell r="A185" t="str">
            <v>109-001-002-1072</v>
          </cell>
          <cell r="B185" t="str">
            <v>M/S Various dealers</v>
          </cell>
          <cell r="C185">
            <v>4</v>
          </cell>
          <cell r="D185">
            <v>0</v>
          </cell>
        </row>
        <row r="186">
          <cell r="A186" t="str">
            <v>109-001-002-1074</v>
          </cell>
          <cell r="B186" t="str">
            <v>M/S Juma Khan</v>
          </cell>
          <cell r="C186">
            <v>4</v>
          </cell>
          <cell r="D186">
            <v>0</v>
          </cell>
        </row>
        <row r="187">
          <cell r="A187" t="str">
            <v>109-001-002-1075</v>
          </cell>
          <cell r="B187" t="str">
            <v>M/S Naveed Associates</v>
          </cell>
          <cell r="C187">
            <v>4</v>
          </cell>
          <cell r="D187">
            <v>0</v>
          </cell>
        </row>
        <row r="188">
          <cell r="A188" t="str">
            <v>109-001-002-1076</v>
          </cell>
          <cell r="B188" t="str">
            <v>M/S Machine Traders</v>
          </cell>
          <cell r="C188">
            <v>4</v>
          </cell>
          <cell r="D188">
            <v>0</v>
          </cell>
        </row>
        <row r="189">
          <cell r="A189" t="str">
            <v>109-001-002-1077</v>
          </cell>
          <cell r="B189" t="str">
            <v>M/S Shahid Malik</v>
          </cell>
          <cell r="C189">
            <v>4</v>
          </cell>
          <cell r="D189">
            <v>0</v>
          </cell>
        </row>
        <row r="190">
          <cell r="A190" t="str">
            <v>109-001-002-1078</v>
          </cell>
          <cell r="B190" t="str">
            <v>M/S Haji Ice Factory</v>
          </cell>
          <cell r="C190">
            <v>4</v>
          </cell>
          <cell r="D190">
            <v>0</v>
          </cell>
        </row>
        <row r="191">
          <cell r="A191" t="str">
            <v>109-001-002-1079</v>
          </cell>
          <cell r="B191" t="str">
            <v>M/S Safeer General Store</v>
          </cell>
          <cell r="C191">
            <v>4</v>
          </cell>
          <cell r="D191">
            <v>0</v>
          </cell>
        </row>
        <row r="192">
          <cell r="A192" t="str">
            <v>109-001-002-1080</v>
          </cell>
          <cell r="B192" t="str">
            <v>M/S Hassan fair price</v>
          </cell>
          <cell r="C192">
            <v>4</v>
          </cell>
          <cell r="D192">
            <v>0</v>
          </cell>
        </row>
        <row r="193">
          <cell r="A193" t="str">
            <v>109-001-002-1082</v>
          </cell>
          <cell r="B193" t="str">
            <v>M/S Khalil ur rehman</v>
          </cell>
          <cell r="C193">
            <v>4</v>
          </cell>
          <cell r="D193">
            <v>0</v>
          </cell>
        </row>
        <row r="194">
          <cell r="A194" t="str">
            <v>109-001-002-1083</v>
          </cell>
          <cell r="B194" t="str">
            <v>M/S Suhbat Khan</v>
          </cell>
          <cell r="C194">
            <v>4</v>
          </cell>
          <cell r="D194">
            <v>0</v>
          </cell>
        </row>
        <row r="195">
          <cell r="A195" t="str">
            <v>109-001-002-1084</v>
          </cell>
          <cell r="B195" t="str">
            <v>M/S Awais Aluminim</v>
          </cell>
          <cell r="C195">
            <v>4</v>
          </cell>
          <cell r="D195">
            <v>0</v>
          </cell>
        </row>
        <row r="196">
          <cell r="A196" t="str">
            <v>109-001-002-1085</v>
          </cell>
          <cell r="B196" t="str">
            <v>M/S Computer House</v>
          </cell>
          <cell r="C196">
            <v>4</v>
          </cell>
          <cell r="D196">
            <v>0</v>
          </cell>
        </row>
        <row r="197">
          <cell r="A197" t="str">
            <v>109-001-002-1086</v>
          </cell>
          <cell r="B197" t="str">
            <v>M/S Ijaz Autos</v>
          </cell>
          <cell r="C197">
            <v>4</v>
          </cell>
          <cell r="D197">
            <v>0</v>
          </cell>
        </row>
        <row r="198">
          <cell r="A198" t="str">
            <v>109-001-002-1087</v>
          </cell>
          <cell r="B198" t="str">
            <v>M/S Latif Furnitures</v>
          </cell>
          <cell r="C198">
            <v>4</v>
          </cell>
          <cell r="D198">
            <v>0</v>
          </cell>
        </row>
        <row r="199">
          <cell r="A199" t="str">
            <v>109-001-002-1088</v>
          </cell>
          <cell r="B199" t="str">
            <v>M/S Hameed Autos</v>
          </cell>
          <cell r="C199">
            <v>4</v>
          </cell>
          <cell r="D199">
            <v>0</v>
          </cell>
        </row>
        <row r="200">
          <cell r="A200" t="str">
            <v>109-001-002-1089</v>
          </cell>
          <cell r="B200" t="str">
            <v>M/S Young Autos</v>
          </cell>
          <cell r="C200">
            <v>4</v>
          </cell>
          <cell r="D200">
            <v>0</v>
          </cell>
        </row>
        <row r="201">
          <cell r="A201" t="str">
            <v>109-001-002-1091</v>
          </cell>
          <cell r="B201" t="str">
            <v>M/S 3-G Mobile Commn</v>
          </cell>
          <cell r="C201">
            <v>4</v>
          </cell>
          <cell r="D201">
            <v>0</v>
          </cell>
        </row>
        <row r="202">
          <cell r="A202" t="str">
            <v>109-001-002-1092</v>
          </cell>
          <cell r="B202" t="str">
            <v>M/S Asad Interiors</v>
          </cell>
          <cell r="C202">
            <v>4</v>
          </cell>
          <cell r="D202">
            <v>0</v>
          </cell>
        </row>
        <row r="203">
          <cell r="A203" t="str">
            <v>109-001-002-1093</v>
          </cell>
          <cell r="B203" t="str">
            <v>Mst Kishwar Masud Durrani</v>
          </cell>
          <cell r="C203">
            <v>4</v>
          </cell>
          <cell r="D203">
            <v>0</v>
          </cell>
        </row>
        <row r="204">
          <cell r="A204" t="str">
            <v>109-001-002-1094</v>
          </cell>
          <cell r="B204" t="str">
            <v>M/S Karmanwal Autos</v>
          </cell>
          <cell r="C204">
            <v>4</v>
          </cell>
          <cell r="D204">
            <v>0</v>
          </cell>
        </row>
        <row r="205">
          <cell r="A205" t="str">
            <v>109-001-002-1095</v>
          </cell>
          <cell r="B205" t="str">
            <v>M/S Infinity Motor EeeZee</v>
          </cell>
          <cell r="C205">
            <v>4</v>
          </cell>
          <cell r="D205">
            <v>0</v>
          </cell>
        </row>
        <row r="206">
          <cell r="A206" t="str">
            <v>109-001-002-1096</v>
          </cell>
          <cell r="B206" t="str">
            <v>M/S Al Madina (Closed) Engineering Wks</v>
          </cell>
          <cell r="C206">
            <v>4</v>
          </cell>
          <cell r="D206">
            <v>0</v>
          </cell>
        </row>
        <row r="207">
          <cell r="A207" t="str">
            <v>109-001-002-1097</v>
          </cell>
          <cell r="B207" t="str">
            <v>M/S Al-Hafeez Denting Wks</v>
          </cell>
          <cell r="C207">
            <v>4</v>
          </cell>
          <cell r="D207">
            <v>0</v>
          </cell>
        </row>
        <row r="208">
          <cell r="A208" t="str">
            <v>109-001-002-1098</v>
          </cell>
          <cell r="B208" t="str">
            <v>M/S Workman</v>
          </cell>
          <cell r="C208">
            <v>4</v>
          </cell>
          <cell r="D208">
            <v>0</v>
          </cell>
        </row>
        <row r="209">
          <cell r="A209" t="str">
            <v>109-001-002-1099</v>
          </cell>
          <cell r="B209" t="str">
            <v>M/S Rawal Gasco</v>
          </cell>
          <cell r="C209">
            <v>4</v>
          </cell>
          <cell r="D209">
            <v>0</v>
          </cell>
        </row>
        <row r="210">
          <cell r="A210" t="str">
            <v>109-001-002-1100</v>
          </cell>
          <cell r="B210" t="str">
            <v>M/S Kam Network &amp; Communication</v>
          </cell>
          <cell r="C210">
            <v>4</v>
          </cell>
          <cell r="D210">
            <v>0</v>
          </cell>
        </row>
        <row r="211">
          <cell r="A211" t="str">
            <v>109-001-002-1101</v>
          </cell>
          <cell r="B211" t="str">
            <v>M/S Khalid Kahairy Art Studio</v>
          </cell>
          <cell r="C211">
            <v>4</v>
          </cell>
          <cell r="D211">
            <v>0</v>
          </cell>
        </row>
        <row r="212">
          <cell r="A212" t="str">
            <v>109-001-002-1102</v>
          </cell>
          <cell r="B212" t="str">
            <v>M/S Toyota Rawal Motors</v>
          </cell>
          <cell r="C212">
            <v>4</v>
          </cell>
          <cell r="D212">
            <v>0</v>
          </cell>
        </row>
        <row r="213">
          <cell r="A213" t="str">
            <v>109-001-003-0000</v>
          </cell>
          <cell r="B213" t="str">
            <v>Creditors for Services</v>
          </cell>
          <cell r="C213">
            <v>3</v>
          </cell>
          <cell r="D213">
            <v>0</v>
          </cell>
        </row>
        <row r="214">
          <cell r="A214" t="str">
            <v>109-002-000-0000</v>
          </cell>
          <cell r="B214" t="str">
            <v>Income Tax Deducted At Source Payable</v>
          </cell>
          <cell r="C214">
            <v>2</v>
          </cell>
          <cell r="D214">
            <v>0</v>
          </cell>
        </row>
        <row r="215">
          <cell r="A215" t="str">
            <v>109-002-001-0000</v>
          </cell>
          <cell r="B215" t="str">
            <v>Creditors Road Works Income Tax Payable</v>
          </cell>
          <cell r="C215">
            <v>3</v>
          </cell>
          <cell r="D215">
            <v>0</v>
          </cell>
        </row>
        <row r="216">
          <cell r="A216" t="str">
            <v>109-002-001-1001</v>
          </cell>
          <cell r="B216" t="str">
            <v>Aamir Builders I.Tax</v>
          </cell>
          <cell r="C216">
            <v>4</v>
          </cell>
          <cell r="D216">
            <v>0</v>
          </cell>
        </row>
        <row r="217">
          <cell r="A217" t="str">
            <v>109-002-001-1002</v>
          </cell>
          <cell r="B217" t="str">
            <v>Sadat Construction Co I.Tax</v>
          </cell>
          <cell r="C217">
            <v>4</v>
          </cell>
          <cell r="D217">
            <v>0</v>
          </cell>
        </row>
        <row r="218">
          <cell r="A218" t="str">
            <v>109-002-001-1003</v>
          </cell>
          <cell r="B218" t="str">
            <v>Concrete master I.Tax</v>
          </cell>
          <cell r="C218">
            <v>4</v>
          </cell>
          <cell r="D218">
            <v>0</v>
          </cell>
        </row>
        <row r="219">
          <cell r="A219" t="str">
            <v>109-002-001-1004</v>
          </cell>
          <cell r="B219" t="str">
            <v>Crescent Associates I. Tax</v>
          </cell>
          <cell r="C219">
            <v>4</v>
          </cell>
          <cell r="D219">
            <v>0</v>
          </cell>
        </row>
        <row r="220">
          <cell r="A220" t="str">
            <v>109-002-001-1005</v>
          </cell>
          <cell r="B220" t="str">
            <v>Dynamic enterprises I.Tax</v>
          </cell>
          <cell r="C220">
            <v>4</v>
          </cell>
          <cell r="D220">
            <v>0</v>
          </cell>
        </row>
        <row r="221">
          <cell r="A221" t="str">
            <v>109-002-001-1006</v>
          </cell>
          <cell r="B221" t="str">
            <v>Foar Engineering System I.Tax</v>
          </cell>
          <cell r="C221">
            <v>4</v>
          </cell>
          <cell r="D221">
            <v>0</v>
          </cell>
        </row>
        <row r="222">
          <cell r="A222" t="str">
            <v>109-002-001-1007</v>
          </cell>
          <cell r="B222" t="str">
            <v>FRS Associates  I.Tax</v>
          </cell>
          <cell r="C222">
            <v>4</v>
          </cell>
          <cell r="D222">
            <v>0</v>
          </cell>
        </row>
        <row r="223">
          <cell r="A223" t="str">
            <v>109-002-001-1008</v>
          </cell>
          <cell r="B223" t="str">
            <v>Haidry Construction  I.Tax</v>
          </cell>
          <cell r="C223">
            <v>4</v>
          </cell>
          <cell r="D223">
            <v>0</v>
          </cell>
        </row>
        <row r="224">
          <cell r="A224" t="str">
            <v>109-002-001-1009</v>
          </cell>
          <cell r="B224" t="str">
            <v>Karcon Pvt Ltd I .Tax</v>
          </cell>
          <cell r="C224">
            <v>4</v>
          </cell>
          <cell r="D224">
            <v>0</v>
          </cell>
        </row>
        <row r="225">
          <cell r="A225" t="str">
            <v>109-002-001-1010</v>
          </cell>
          <cell r="B225" t="str">
            <v>Massed Developers I. Tax</v>
          </cell>
          <cell r="C225">
            <v>4</v>
          </cell>
          <cell r="D225">
            <v>0</v>
          </cell>
        </row>
        <row r="226">
          <cell r="A226" t="str">
            <v>109-002-001-1011</v>
          </cell>
          <cell r="B226" t="str">
            <v>Malik Ijaz Amjad I . Tax</v>
          </cell>
          <cell r="C226">
            <v>4</v>
          </cell>
          <cell r="D226">
            <v>0</v>
          </cell>
        </row>
        <row r="227">
          <cell r="A227" t="str">
            <v>109-002-001-1012</v>
          </cell>
          <cell r="B227" t="str">
            <v>Mian Muhammad Sharif  I. Tax</v>
          </cell>
          <cell r="C227">
            <v>4</v>
          </cell>
          <cell r="D227">
            <v>0</v>
          </cell>
        </row>
        <row r="228">
          <cell r="A228" t="str">
            <v>109-002-001-1013</v>
          </cell>
          <cell r="B228" t="str">
            <v>Mian Nisar and Company I.Tax</v>
          </cell>
          <cell r="C228">
            <v>4</v>
          </cell>
          <cell r="D228">
            <v>0</v>
          </cell>
        </row>
        <row r="229">
          <cell r="A229" t="str">
            <v>109-002-001-1014</v>
          </cell>
          <cell r="B229" t="str">
            <v>Platnium Enterprises I .Tax</v>
          </cell>
          <cell r="C229">
            <v>4</v>
          </cell>
          <cell r="D229">
            <v>0</v>
          </cell>
        </row>
        <row r="230">
          <cell r="A230" t="str">
            <v>109-002-001-1015</v>
          </cell>
          <cell r="B230" t="str">
            <v>Sambu Construction I. Tax</v>
          </cell>
          <cell r="C230">
            <v>4</v>
          </cell>
          <cell r="D230">
            <v>0</v>
          </cell>
        </row>
        <row r="231">
          <cell r="A231" t="str">
            <v>109-002-001-1016</v>
          </cell>
          <cell r="B231" t="str">
            <v>Signage security system I.tax</v>
          </cell>
          <cell r="C231">
            <v>4</v>
          </cell>
          <cell r="D231">
            <v>0</v>
          </cell>
        </row>
        <row r="232">
          <cell r="A232" t="str">
            <v>109-002-001-1017</v>
          </cell>
          <cell r="B232" t="str">
            <v>Syed sultan saeed I.Tax</v>
          </cell>
          <cell r="C232">
            <v>4</v>
          </cell>
          <cell r="D232">
            <v>0</v>
          </cell>
        </row>
        <row r="233">
          <cell r="A233" t="str">
            <v>109-002-001-1018</v>
          </cell>
          <cell r="B233" t="str">
            <v>SASA International I.Tax</v>
          </cell>
          <cell r="C233">
            <v>4</v>
          </cell>
          <cell r="D233">
            <v>0</v>
          </cell>
        </row>
        <row r="234">
          <cell r="A234" t="str">
            <v>109-002-001-1019</v>
          </cell>
          <cell r="B234" t="str">
            <v>Swift Services I. Tax</v>
          </cell>
          <cell r="C234">
            <v>4</v>
          </cell>
          <cell r="D234">
            <v>0</v>
          </cell>
        </row>
        <row r="235">
          <cell r="A235" t="str">
            <v>109-002-001-1020</v>
          </cell>
          <cell r="B235" t="str">
            <v>Tyco Integrated System I. Tax</v>
          </cell>
          <cell r="C235">
            <v>4</v>
          </cell>
          <cell r="D235">
            <v>0</v>
          </cell>
        </row>
        <row r="236">
          <cell r="A236" t="str">
            <v>109-002-001-1021</v>
          </cell>
          <cell r="B236" t="str">
            <v>Nadir Construction Company I. Tax</v>
          </cell>
          <cell r="C236">
            <v>4</v>
          </cell>
          <cell r="D236">
            <v>0</v>
          </cell>
        </row>
        <row r="237">
          <cell r="A237" t="str">
            <v>109-002-001-1022</v>
          </cell>
          <cell r="B237" t="str">
            <v>Zahir Khan and Brothers I. Tax</v>
          </cell>
          <cell r="C237">
            <v>4</v>
          </cell>
          <cell r="D237">
            <v>0</v>
          </cell>
        </row>
        <row r="238">
          <cell r="A238" t="str">
            <v>109-002-001-1023</v>
          </cell>
          <cell r="B238" t="str">
            <v>Rashid Associates I.Tax</v>
          </cell>
          <cell r="C238">
            <v>4</v>
          </cell>
          <cell r="D238">
            <v>0</v>
          </cell>
        </row>
        <row r="239">
          <cell r="A239" t="str">
            <v>109-002-001-1024</v>
          </cell>
          <cell r="B239" t="str">
            <v>Science Centre I.Tax</v>
          </cell>
          <cell r="C239">
            <v>4</v>
          </cell>
          <cell r="D239">
            <v>0</v>
          </cell>
        </row>
        <row r="240">
          <cell r="A240" t="str">
            <v>109-002-001-1025</v>
          </cell>
          <cell r="B240" t="str">
            <v>Taj Muhammad Khan I.Tax</v>
          </cell>
          <cell r="C240">
            <v>4</v>
          </cell>
          <cell r="D240">
            <v>0</v>
          </cell>
        </row>
        <row r="241">
          <cell r="A241" t="str">
            <v>109-002-001-1026</v>
          </cell>
          <cell r="B241" t="str">
            <v xml:space="preserve"> Muhammad Nawaz Khan of Tala Gang I.Tax</v>
          </cell>
          <cell r="C241">
            <v>4</v>
          </cell>
          <cell r="D241">
            <v>0</v>
          </cell>
        </row>
        <row r="242">
          <cell r="A242" t="str">
            <v>109-002-001-1027</v>
          </cell>
          <cell r="B242" t="str">
            <v xml:space="preserve"> Muhammad Iftikhar Fateh Jang I.Tax</v>
          </cell>
          <cell r="C242">
            <v>4</v>
          </cell>
          <cell r="D242">
            <v>0</v>
          </cell>
        </row>
        <row r="243">
          <cell r="A243" t="str">
            <v>109-002-001-1028</v>
          </cell>
          <cell r="B243" t="str">
            <v>Fateh Muhammad Distt Chakwal I.Tax</v>
          </cell>
          <cell r="C243">
            <v>4</v>
          </cell>
          <cell r="D243">
            <v>0</v>
          </cell>
        </row>
        <row r="244">
          <cell r="A244" t="str">
            <v>109-002-001-1029</v>
          </cell>
          <cell r="B244" t="str">
            <v>Sunny Rent a Car I.Tax</v>
          </cell>
          <cell r="C244">
            <v>4</v>
          </cell>
          <cell r="D244">
            <v>0</v>
          </cell>
        </row>
        <row r="245">
          <cell r="A245" t="str">
            <v>109-002-001-1030</v>
          </cell>
          <cell r="B245" t="str">
            <v>M/S Inter City Traders I.Tax</v>
          </cell>
          <cell r="C245">
            <v>4</v>
          </cell>
          <cell r="D245">
            <v>0</v>
          </cell>
        </row>
        <row r="246">
          <cell r="A246" t="str">
            <v>109-002-001-1031</v>
          </cell>
          <cell r="B246" t="str">
            <v>M/S Muhammad Bashir I.Tax</v>
          </cell>
          <cell r="C246">
            <v>4</v>
          </cell>
          <cell r="D246">
            <v>0</v>
          </cell>
        </row>
        <row r="247">
          <cell r="A247" t="str">
            <v>109-002-001-1032</v>
          </cell>
          <cell r="B247" t="str">
            <v>XEN Wapda I.Tax</v>
          </cell>
          <cell r="C247">
            <v>4</v>
          </cell>
          <cell r="D247">
            <v>0</v>
          </cell>
        </row>
        <row r="248">
          <cell r="A248" t="str">
            <v>109-002-001-1033</v>
          </cell>
          <cell r="B248" t="str">
            <v>M/S Techman Civil Engineering I.Tax</v>
          </cell>
          <cell r="C248">
            <v>4</v>
          </cell>
          <cell r="D248">
            <v>0</v>
          </cell>
        </row>
        <row r="249">
          <cell r="A249" t="str">
            <v>109-002-001-1034</v>
          </cell>
          <cell r="B249" t="str">
            <v>M/S Syed Guftar Shah I.Tax</v>
          </cell>
          <cell r="C249">
            <v>4</v>
          </cell>
          <cell r="D249">
            <v>0</v>
          </cell>
        </row>
        <row r="250">
          <cell r="A250" t="str">
            <v>109-002-001-1035</v>
          </cell>
          <cell r="B250" t="str">
            <v>M/S Muhammad Hussain I.Tax</v>
          </cell>
          <cell r="C250">
            <v>4</v>
          </cell>
          <cell r="D250">
            <v>0</v>
          </cell>
        </row>
        <row r="251">
          <cell r="A251" t="str">
            <v>109-002-001-1036</v>
          </cell>
          <cell r="B251" t="str">
            <v>M/S Muhammad Aamir Khan I.Tax</v>
          </cell>
          <cell r="C251">
            <v>4</v>
          </cell>
          <cell r="D251">
            <v>0</v>
          </cell>
        </row>
        <row r="252">
          <cell r="A252" t="str">
            <v>109-002-001-1037</v>
          </cell>
          <cell r="B252" t="str">
            <v>M/S Muhammad Zaib I.Tax</v>
          </cell>
          <cell r="C252">
            <v>4</v>
          </cell>
          <cell r="D252">
            <v>0</v>
          </cell>
        </row>
        <row r="253">
          <cell r="A253" t="str">
            <v>109-002-001-1039</v>
          </cell>
          <cell r="B253" t="str">
            <v>Naib Subedar Muh Aslam I.Tax</v>
          </cell>
          <cell r="C253">
            <v>4</v>
          </cell>
          <cell r="D253">
            <v>0</v>
          </cell>
        </row>
        <row r="254">
          <cell r="A254" t="str">
            <v>109-002-001-1040</v>
          </cell>
          <cell r="B254" t="str">
            <v>Hav Steno Nisar Ahmad I.Tax</v>
          </cell>
          <cell r="C254">
            <v>4</v>
          </cell>
          <cell r="D254">
            <v>0</v>
          </cell>
        </row>
        <row r="255">
          <cell r="A255" t="str">
            <v>109-002-001-1041</v>
          </cell>
          <cell r="B255" t="str">
            <v>PTCL Contractors I.Tax</v>
          </cell>
          <cell r="C255">
            <v>4</v>
          </cell>
          <cell r="D255">
            <v>0</v>
          </cell>
        </row>
        <row r="256">
          <cell r="A256" t="str">
            <v>109-002-001-1043</v>
          </cell>
          <cell r="B256" t="str">
            <v>Project KRAC Ware house Mandra I.Tax</v>
          </cell>
          <cell r="C256">
            <v>4</v>
          </cell>
          <cell r="D256">
            <v>0</v>
          </cell>
        </row>
        <row r="257">
          <cell r="A257" t="str">
            <v>109-002-001-1045</v>
          </cell>
          <cell r="B257" t="str">
            <v>M/S Highway contractors I.Tax</v>
          </cell>
          <cell r="C257">
            <v>4</v>
          </cell>
          <cell r="D257">
            <v>0</v>
          </cell>
        </row>
        <row r="258">
          <cell r="A258" t="str">
            <v>109-002-001-1046</v>
          </cell>
          <cell r="B258" t="str">
            <v>M/S Muhammad Azam &amp; Brothers &amp; I.Tax</v>
          </cell>
          <cell r="C258">
            <v>4</v>
          </cell>
          <cell r="D258">
            <v>0</v>
          </cell>
        </row>
        <row r="259">
          <cell r="A259" t="str">
            <v>109-002-001-1047</v>
          </cell>
          <cell r="B259" t="str">
            <v>M/S MRRP I.Tax</v>
          </cell>
          <cell r="C259">
            <v>4</v>
          </cell>
          <cell r="D259">
            <v>0</v>
          </cell>
        </row>
        <row r="260">
          <cell r="A260" t="str">
            <v>109-002-001-1048</v>
          </cell>
          <cell r="B260" t="str">
            <v>M/S Technoline I.Tax</v>
          </cell>
          <cell r="C260">
            <v>4</v>
          </cell>
          <cell r="D260">
            <v>0</v>
          </cell>
        </row>
        <row r="261">
          <cell r="A261" t="str">
            <v>109-002-001-1049</v>
          </cell>
          <cell r="B261" t="str">
            <v>M/S J&amp; W I.Tax</v>
          </cell>
          <cell r="C261">
            <v>4</v>
          </cell>
          <cell r="D261">
            <v>0</v>
          </cell>
        </row>
        <row r="262">
          <cell r="A262" t="str">
            <v>109-002-001-1050</v>
          </cell>
          <cell r="B262" t="str">
            <v>M/S Asad Rameez I.Tax</v>
          </cell>
          <cell r="C262">
            <v>4</v>
          </cell>
          <cell r="D262">
            <v>0</v>
          </cell>
        </row>
        <row r="263">
          <cell r="A263" t="str">
            <v>109-002-001-1051</v>
          </cell>
          <cell r="B263" t="str">
            <v>M/S Saleem &amp; Brothers I.tax</v>
          </cell>
          <cell r="C263">
            <v>4</v>
          </cell>
          <cell r="D263">
            <v>0</v>
          </cell>
        </row>
        <row r="264">
          <cell r="A264" t="str">
            <v>109-002-001-1052</v>
          </cell>
          <cell r="B264" t="str">
            <v>M/S Syed Associates I.tax</v>
          </cell>
          <cell r="C264">
            <v>4</v>
          </cell>
          <cell r="D264">
            <v>0</v>
          </cell>
        </row>
        <row r="265">
          <cell r="A265" t="str">
            <v>109-002-001-1054</v>
          </cell>
          <cell r="B265" t="str">
            <v>M/S Tripple M Enterprises I.Tax</v>
          </cell>
          <cell r="C265">
            <v>4</v>
          </cell>
          <cell r="D265">
            <v>0</v>
          </cell>
        </row>
        <row r="266">
          <cell r="A266" t="str">
            <v>109-002-001-1055</v>
          </cell>
          <cell r="B266" t="str">
            <v>M/S Swayra Enterprises I.Tax</v>
          </cell>
          <cell r="C266">
            <v>4</v>
          </cell>
          <cell r="D266">
            <v>0</v>
          </cell>
        </row>
        <row r="267">
          <cell r="A267" t="str">
            <v>109-002-001-1056</v>
          </cell>
          <cell r="B267" t="str">
            <v>M/S Foar Road Marking I.Tax</v>
          </cell>
          <cell r="C267">
            <v>4</v>
          </cell>
          <cell r="D267">
            <v>0</v>
          </cell>
        </row>
        <row r="268">
          <cell r="A268" t="str">
            <v>109-002-001-1058</v>
          </cell>
          <cell r="B268" t="str">
            <v>M/S Javed Mumtaz (Pvt) Ltd I.tax</v>
          </cell>
          <cell r="C268">
            <v>4</v>
          </cell>
          <cell r="D268">
            <v>0</v>
          </cell>
        </row>
        <row r="269">
          <cell r="A269" t="str">
            <v>109-002-001-1059</v>
          </cell>
          <cell r="B269" t="str">
            <v>M/S Jabco (Pvt) Ltd I.tax</v>
          </cell>
          <cell r="C269">
            <v>4</v>
          </cell>
          <cell r="D269">
            <v>0</v>
          </cell>
        </row>
        <row r="270">
          <cell r="A270" t="str">
            <v>109-002-001-1060</v>
          </cell>
          <cell r="B270" t="str">
            <v>M/S Imtiaz Shahid &amp; Co I.tax</v>
          </cell>
          <cell r="C270">
            <v>4</v>
          </cell>
          <cell r="D270">
            <v>0</v>
          </cell>
        </row>
        <row r="271">
          <cell r="A271" t="str">
            <v>109-002-001-1061</v>
          </cell>
          <cell r="B271" t="str">
            <v>M/S ATM Builders I.tax</v>
          </cell>
          <cell r="C271">
            <v>4</v>
          </cell>
          <cell r="D271">
            <v>0</v>
          </cell>
        </row>
        <row r="272">
          <cell r="A272" t="str">
            <v>109-002-001-1062</v>
          </cell>
          <cell r="B272" t="str">
            <v>M/S Jabco (Pvt) Ltd I.tax</v>
          </cell>
          <cell r="C272">
            <v>4</v>
          </cell>
          <cell r="D272">
            <v>0</v>
          </cell>
        </row>
        <row r="273">
          <cell r="A273" t="str">
            <v>109-002-001-1064</v>
          </cell>
          <cell r="B273" t="str">
            <v>M/S Sajjad (Pvt) ltd I.tax</v>
          </cell>
          <cell r="C273">
            <v>4</v>
          </cell>
          <cell r="D273">
            <v>0</v>
          </cell>
        </row>
        <row r="274">
          <cell r="A274" t="str">
            <v>109-002-001-1065</v>
          </cell>
          <cell r="B274" t="str">
            <v>M/S Sky Engineers I.Tax</v>
          </cell>
          <cell r="C274">
            <v>4</v>
          </cell>
          <cell r="D274">
            <v>0</v>
          </cell>
        </row>
        <row r="275">
          <cell r="A275" t="str">
            <v>109-002-001-1066</v>
          </cell>
          <cell r="B275" t="str">
            <v>M/S Eastern Highway I.Tax</v>
          </cell>
          <cell r="C275">
            <v>4</v>
          </cell>
          <cell r="D275">
            <v>0</v>
          </cell>
        </row>
        <row r="276">
          <cell r="A276" t="str">
            <v>109-002-001-1067</v>
          </cell>
          <cell r="B276" t="str">
            <v>M/S Yar Muhammad Khattak I.Tax</v>
          </cell>
          <cell r="C276">
            <v>4</v>
          </cell>
          <cell r="D276">
            <v>0</v>
          </cell>
        </row>
        <row r="277">
          <cell r="A277" t="str">
            <v>109-002-001-1069</v>
          </cell>
          <cell r="B277" t="str">
            <v>M/S Sadaat Enterprises I.Tax</v>
          </cell>
          <cell r="C277">
            <v>4</v>
          </cell>
          <cell r="D277">
            <v>0</v>
          </cell>
        </row>
        <row r="278">
          <cell r="A278" t="str">
            <v>109-002-001-1070</v>
          </cell>
          <cell r="B278" t="str">
            <v>M/S Shad Khan &amp; Sons I.Tax</v>
          </cell>
          <cell r="C278">
            <v>4</v>
          </cell>
          <cell r="D278">
            <v>0</v>
          </cell>
        </row>
        <row r="279">
          <cell r="A279" t="str">
            <v>109-002-001-1071</v>
          </cell>
          <cell r="B279" t="str">
            <v>M/S Amir Iqbal &amp; Co. I.Tax</v>
          </cell>
          <cell r="C279">
            <v>4</v>
          </cell>
          <cell r="D279">
            <v>0</v>
          </cell>
        </row>
        <row r="280">
          <cell r="A280" t="str">
            <v>109-002-001-1072</v>
          </cell>
          <cell r="B280" t="str">
            <v>M/S Ascent Associates I.Tax</v>
          </cell>
          <cell r="C280">
            <v>4</v>
          </cell>
          <cell r="D280">
            <v>0</v>
          </cell>
        </row>
        <row r="281">
          <cell r="A281" t="str">
            <v>109-002-001-1073</v>
          </cell>
          <cell r="B281" t="str">
            <v>M/S Omer Farooq Co. I.Tax</v>
          </cell>
          <cell r="C281">
            <v>4</v>
          </cell>
          <cell r="D281">
            <v>0</v>
          </cell>
        </row>
        <row r="282">
          <cell r="A282" t="str">
            <v>109-002-002-0000</v>
          </cell>
          <cell r="B282" t="str">
            <v>Creditors Construction Material Income Tax Payable</v>
          </cell>
          <cell r="C282">
            <v>3</v>
          </cell>
          <cell r="D282">
            <v>0</v>
          </cell>
        </row>
        <row r="283">
          <cell r="A283" t="str">
            <v>109-002-002-1001</v>
          </cell>
          <cell r="B283" t="str">
            <v>Al- maqsoom Traders I. Tax</v>
          </cell>
          <cell r="C283">
            <v>4</v>
          </cell>
          <cell r="D283">
            <v>0</v>
          </cell>
        </row>
        <row r="284">
          <cell r="A284" t="str">
            <v>109-002-002-1002</v>
          </cell>
          <cell r="B284" t="str">
            <v>Adnan Stationery I. Tax</v>
          </cell>
          <cell r="C284">
            <v>4</v>
          </cell>
          <cell r="D284">
            <v>0</v>
          </cell>
        </row>
        <row r="285">
          <cell r="A285" t="str">
            <v>109-002-002-1003</v>
          </cell>
          <cell r="B285" t="str">
            <v>All Pakistan machinery I. Tax</v>
          </cell>
          <cell r="C285">
            <v>4</v>
          </cell>
          <cell r="D285">
            <v>0</v>
          </cell>
        </row>
        <row r="286">
          <cell r="A286" t="str">
            <v>109-002-002-1004</v>
          </cell>
          <cell r="B286" t="str">
            <v>Closed Awais Aluminium I. Tax</v>
          </cell>
          <cell r="C286">
            <v>4</v>
          </cell>
          <cell r="D286">
            <v>0</v>
          </cell>
        </row>
        <row r="287">
          <cell r="A287" t="str">
            <v>109-002-002-1005</v>
          </cell>
          <cell r="B287" t="str">
            <v>Asghar ali Shah I. Tax</v>
          </cell>
          <cell r="C287">
            <v>4</v>
          </cell>
          <cell r="D287">
            <v>0</v>
          </cell>
        </row>
        <row r="288">
          <cell r="A288" t="str">
            <v>109-002-002-1006</v>
          </cell>
          <cell r="B288" t="str">
            <v>Spinzer Ashain Rwp I. Tax</v>
          </cell>
          <cell r="C288">
            <v>4</v>
          </cell>
          <cell r="D288">
            <v>0</v>
          </cell>
        </row>
        <row r="289">
          <cell r="A289" t="str">
            <v>109-002-002-1007</v>
          </cell>
          <cell r="B289" t="str">
            <v>Syed Shujahat Hussian I. Tax</v>
          </cell>
          <cell r="C289">
            <v>4</v>
          </cell>
          <cell r="D289">
            <v>0</v>
          </cell>
        </row>
        <row r="290">
          <cell r="A290" t="str">
            <v>109-002-002-1008</v>
          </cell>
          <cell r="B290" t="str">
            <v>Drawing &amp; survey I. Tax</v>
          </cell>
          <cell r="C290">
            <v>4</v>
          </cell>
          <cell r="D290">
            <v>0</v>
          </cell>
        </row>
        <row r="291">
          <cell r="A291" t="str">
            <v>109-002-002-1009</v>
          </cell>
          <cell r="B291" t="str">
            <v>Flash Technologies I. Tax</v>
          </cell>
          <cell r="C291">
            <v>4</v>
          </cell>
          <cell r="D291">
            <v>0</v>
          </cell>
        </row>
        <row r="292">
          <cell r="A292" t="str">
            <v>109-002-002-1010</v>
          </cell>
          <cell r="B292" t="str">
            <v>Gul Jan I. Tax</v>
          </cell>
          <cell r="C292">
            <v>4</v>
          </cell>
          <cell r="D292">
            <v>0</v>
          </cell>
        </row>
        <row r="293">
          <cell r="A293" t="str">
            <v>109-002-002-1011</v>
          </cell>
          <cell r="B293" t="str">
            <v>Hayat ullah &amp; sons I. Tax</v>
          </cell>
          <cell r="C293">
            <v>4</v>
          </cell>
          <cell r="D293">
            <v>0</v>
          </cell>
        </row>
        <row r="294">
          <cell r="A294" t="str">
            <v>109-002-002-1012</v>
          </cell>
          <cell r="B294" t="str">
            <v>Hanif Agencies I. Tax</v>
          </cell>
          <cell r="C294">
            <v>4</v>
          </cell>
          <cell r="D294">
            <v>0</v>
          </cell>
        </row>
        <row r="295">
          <cell r="A295" t="str">
            <v>109-002-002-1013</v>
          </cell>
          <cell r="B295" t="str">
            <v>Islamabad Auto I. Tax</v>
          </cell>
          <cell r="C295">
            <v>4</v>
          </cell>
          <cell r="D295">
            <v>0</v>
          </cell>
        </row>
        <row r="296">
          <cell r="A296" t="str">
            <v>109-002-002-1014</v>
          </cell>
          <cell r="B296" t="str">
            <v>Junaid Autos I. Tax</v>
          </cell>
          <cell r="C296">
            <v>4</v>
          </cell>
          <cell r="D296">
            <v>0</v>
          </cell>
        </row>
        <row r="297">
          <cell r="A297" t="str">
            <v>109-002-002-1015</v>
          </cell>
          <cell r="B297" t="str">
            <v>Khan Badshah I. Tax</v>
          </cell>
          <cell r="C297">
            <v>4</v>
          </cell>
          <cell r="D297">
            <v>0</v>
          </cell>
        </row>
        <row r="298">
          <cell r="A298" t="str">
            <v>109-002-002-1016</v>
          </cell>
          <cell r="B298" t="str">
            <v>Mir Brothers I. Tax</v>
          </cell>
          <cell r="C298">
            <v>4</v>
          </cell>
          <cell r="D298">
            <v>0</v>
          </cell>
        </row>
        <row r="299">
          <cell r="A299" t="str">
            <v>109-002-002-1017</v>
          </cell>
          <cell r="B299" t="str">
            <v>Mirza old engineering stores I. Tax</v>
          </cell>
          <cell r="C299">
            <v>4</v>
          </cell>
          <cell r="D299">
            <v>0</v>
          </cell>
        </row>
        <row r="300">
          <cell r="A300" t="str">
            <v>109-002-002-1018</v>
          </cell>
          <cell r="B300" t="str">
            <v>Muh shah &amp; sons I. Tax</v>
          </cell>
          <cell r="C300">
            <v>4</v>
          </cell>
          <cell r="D300">
            <v>0</v>
          </cell>
        </row>
        <row r="301">
          <cell r="A301" t="str">
            <v>109-002-002-1019</v>
          </cell>
          <cell r="B301" t="str">
            <v>Margallah Stone Crusher I.Tax</v>
          </cell>
          <cell r="C301">
            <v>4</v>
          </cell>
          <cell r="D301">
            <v>0</v>
          </cell>
        </row>
        <row r="302">
          <cell r="A302" t="str">
            <v>109-002-002-1020</v>
          </cell>
          <cell r="B302" t="str">
            <v>Minhattan Pahnta (pvt) Ltd I. Tax</v>
          </cell>
          <cell r="C302">
            <v>4</v>
          </cell>
          <cell r="D302">
            <v>0</v>
          </cell>
        </row>
        <row r="303">
          <cell r="A303" t="str">
            <v>109-002-002-1021</v>
          </cell>
          <cell r="B303" t="str">
            <v>Naimat Agencies I. Tax</v>
          </cell>
          <cell r="C303">
            <v>4</v>
          </cell>
          <cell r="D303">
            <v>0</v>
          </cell>
        </row>
        <row r="304">
          <cell r="A304" t="str">
            <v>109-002-002-1022</v>
          </cell>
          <cell r="B304" t="str">
            <v>Potohar Autos I. Tax</v>
          </cell>
          <cell r="C304">
            <v>4</v>
          </cell>
          <cell r="D304">
            <v>0</v>
          </cell>
        </row>
        <row r="305">
          <cell r="A305" t="str">
            <v>109-002-002-1023</v>
          </cell>
          <cell r="B305" t="str">
            <v>Petronet Pakistan I. Tax</v>
          </cell>
          <cell r="C305">
            <v>4</v>
          </cell>
          <cell r="D305">
            <v>0</v>
          </cell>
        </row>
        <row r="306">
          <cell r="A306" t="str">
            <v>109-002-002-1024</v>
          </cell>
          <cell r="B306" t="str">
            <v>Photohar Stone Crusher I. Tax</v>
          </cell>
          <cell r="C306">
            <v>4</v>
          </cell>
          <cell r="D306">
            <v>0</v>
          </cell>
        </row>
        <row r="307">
          <cell r="A307" t="str">
            <v>109-002-002-1025</v>
          </cell>
          <cell r="B307" t="str">
            <v>Malik Steel Works I.Tax</v>
          </cell>
          <cell r="C307">
            <v>4</v>
          </cell>
          <cell r="D307">
            <v>0</v>
          </cell>
        </row>
        <row r="308">
          <cell r="A308" t="str">
            <v>109-002-002-1026</v>
          </cell>
          <cell r="B308" t="str">
            <v>S.A.S Metals I. Tax</v>
          </cell>
          <cell r="C308">
            <v>4</v>
          </cell>
          <cell r="D308">
            <v>0</v>
          </cell>
        </row>
        <row r="309">
          <cell r="A309" t="str">
            <v>109-002-002-1027</v>
          </cell>
          <cell r="B309" t="str">
            <v>Sangjani Asphalt Plant I.Tax</v>
          </cell>
          <cell r="C309">
            <v>4</v>
          </cell>
          <cell r="D309">
            <v>0</v>
          </cell>
        </row>
        <row r="310">
          <cell r="A310" t="str">
            <v>109-002-002-1028</v>
          </cell>
          <cell r="B310" t="str">
            <v>Zia Auctioner I.Tax</v>
          </cell>
          <cell r="C310">
            <v>4</v>
          </cell>
          <cell r="D310">
            <v>0</v>
          </cell>
        </row>
        <row r="311">
          <cell r="A311" t="str">
            <v>109-002-002-1029</v>
          </cell>
          <cell r="B311" t="str">
            <v>Pak Steel I.Tax</v>
          </cell>
          <cell r="C311">
            <v>4</v>
          </cell>
          <cell r="D311">
            <v>0</v>
          </cell>
        </row>
        <row r="312">
          <cell r="A312" t="str">
            <v>109-002-002-1030</v>
          </cell>
          <cell r="B312" t="str">
            <v>Printing Press CMTI  Inc.Tax</v>
          </cell>
          <cell r="C312">
            <v>4</v>
          </cell>
          <cell r="D312">
            <v>0</v>
          </cell>
        </row>
        <row r="313">
          <cell r="A313" t="str">
            <v>109-002-002-1031</v>
          </cell>
          <cell r="B313" t="str">
            <v>Muhammad Zulfiqar I.Tax</v>
          </cell>
          <cell r="C313">
            <v>4</v>
          </cell>
          <cell r="D313">
            <v>0</v>
          </cell>
        </row>
        <row r="314">
          <cell r="A314" t="str">
            <v>109-002-002-1032</v>
          </cell>
          <cell r="B314" t="str">
            <v>Bismillah Kahn I.Tax</v>
          </cell>
          <cell r="C314">
            <v>4</v>
          </cell>
          <cell r="D314">
            <v>0</v>
          </cell>
        </row>
        <row r="315">
          <cell r="A315" t="str">
            <v>109-002-002-1033</v>
          </cell>
          <cell r="B315" t="str">
            <v>Executive Engineering Machinery I.Tax</v>
          </cell>
          <cell r="C315">
            <v>4</v>
          </cell>
          <cell r="D315">
            <v>0</v>
          </cell>
        </row>
        <row r="316">
          <cell r="A316" t="str">
            <v>109-002-002-1034</v>
          </cell>
          <cell r="B316" t="str">
            <v>Royal Scientific Store I.Tax</v>
          </cell>
          <cell r="C316">
            <v>4</v>
          </cell>
          <cell r="D316">
            <v>0</v>
          </cell>
        </row>
        <row r="317">
          <cell r="A317" t="str">
            <v>109-002-002-1035</v>
          </cell>
          <cell r="B317" t="str">
            <v>Nationall Scientific Store. I .Tax</v>
          </cell>
          <cell r="C317">
            <v>4</v>
          </cell>
          <cell r="D317">
            <v>0</v>
          </cell>
        </row>
        <row r="318">
          <cell r="A318" t="str">
            <v>109-002-002-1036</v>
          </cell>
          <cell r="B318" t="str">
            <v>M/S Qazi Ghee I.Tax</v>
          </cell>
          <cell r="C318">
            <v>4</v>
          </cell>
          <cell r="D318">
            <v>0</v>
          </cell>
        </row>
        <row r="319">
          <cell r="A319" t="str">
            <v>109-002-002-1037</v>
          </cell>
          <cell r="B319" t="str">
            <v>M/S Muhammad Latif I.Tax</v>
          </cell>
          <cell r="C319">
            <v>4</v>
          </cell>
          <cell r="D319">
            <v>0</v>
          </cell>
        </row>
        <row r="320">
          <cell r="A320" t="str">
            <v>109-002-002-1038</v>
          </cell>
          <cell r="B320" t="str">
            <v>M/S Zafer Ullah</v>
          </cell>
          <cell r="C320">
            <v>4</v>
          </cell>
          <cell r="D320">
            <v>0</v>
          </cell>
        </row>
        <row r="321">
          <cell r="A321" t="str">
            <v>109-002-002-1039</v>
          </cell>
          <cell r="B321" t="str">
            <v>M/S Spinzer I.Tax</v>
          </cell>
          <cell r="C321">
            <v>4</v>
          </cell>
          <cell r="D321">
            <v>0</v>
          </cell>
        </row>
        <row r="322">
          <cell r="A322" t="str">
            <v>109-002-002-1040</v>
          </cell>
          <cell r="B322" t="str">
            <v>M/S Ali Associates I.Tax</v>
          </cell>
          <cell r="C322">
            <v>4</v>
          </cell>
          <cell r="D322">
            <v>0</v>
          </cell>
        </row>
        <row r="323">
          <cell r="A323" t="str">
            <v>109-002-002-1041</v>
          </cell>
          <cell r="B323" t="str">
            <v>M/S Muh Yousaf I.Tax</v>
          </cell>
          <cell r="C323">
            <v>4</v>
          </cell>
          <cell r="D323">
            <v>0</v>
          </cell>
        </row>
        <row r="324">
          <cell r="A324" t="str">
            <v>109-002-002-1042</v>
          </cell>
          <cell r="B324" t="str">
            <v>M/S Ali Khan I.Tax</v>
          </cell>
          <cell r="C324">
            <v>4</v>
          </cell>
          <cell r="D324">
            <v>0</v>
          </cell>
        </row>
        <row r="325">
          <cell r="A325" t="str">
            <v>109-002-002-1044</v>
          </cell>
          <cell r="B325" t="str">
            <v>M/S Super Punjab Tents I.Tax</v>
          </cell>
          <cell r="C325">
            <v>4</v>
          </cell>
          <cell r="D325">
            <v>0</v>
          </cell>
        </row>
        <row r="326">
          <cell r="A326" t="str">
            <v>109-002-002-1045</v>
          </cell>
          <cell r="B326" t="str">
            <v>M/S Ahmed Auots.I.Tax</v>
          </cell>
          <cell r="C326">
            <v>4</v>
          </cell>
          <cell r="D326">
            <v>0</v>
          </cell>
        </row>
        <row r="327">
          <cell r="A327" t="str">
            <v>109-002-002-1046</v>
          </cell>
          <cell r="B327" t="str">
            <v>M/S Akash Builders.I.Tax</v>
          </cell>
          <cell r="C327">
            <v>4</v>
          </cell>
          <cell r="D327">
            <v>0</v>
          </cell>
        </row>
        <row r="328">
          <cell r="A328" t="str">
            <v>109-002-002-1047</v>
          </cell>
          <cell r="B328" t="str">
            <v>M/S Muneeb Computers I.Tax</v>
          </cell>
          <cell r="C328">
            <v>4</v>
          </cell>
          <cell r="D328">
            <v>0</v>
          </cell>
        </row>
        <row r="329">
          <cell r="A329" t="str">
            <v>109-002-002-1048</v>
          </cell>
          <cell r="B329" t="str">
            <v>M/S Mughal Supersave I.Tax</v>
          </cell>
          <cell r="C329">
            <v>4</v>
          </cell>
          <cell r="D329">
            <v>0</v>
          </cell>
        </row>
        <row r="330">
          <cell r="A330" t="str">
            <v>109-002-002-1049</v>
          </cell>
          <cell r="B330" t="str">
            <v>M/S Al-Madina Engineering Works I.Tax</v>
          </cell>
          <cell r="C330">
            <v>4</v>
          </cell>
          <cell r="D330">
            <v>0</v>
          </cell>
        </row>
        <row r="331">
          <cell r="A331" t="str">
            <v>109-002-002-1050</v>
          </cell>
          <cell r="B331" t="str">
            <v>M/S Salahuddin Diesel Service I.Tax</v>
          </cell>
          <cell r="C331">
            <v>4</v>
          </cell>
          <cell r="D331">
            <v>0</v>
          </cell>
        </row>
        <row r="332">
          <cell r="A332" t="str">
            <v>109-002-002-1051</v>
          </cell>
          <cell r="B332" t="str">
            <v>M/S Toyota Centre I.Tax</v>
          </cell>
          <cell r="C332">
            <v>4</v>
          </cell>
          <cell r="D332">
            <v>0</v>
          </cell>
        </row>
        <row r="333">
          <cell r="A333" t="str">
            <v>109-002-002-1052</v>
          </cell>
          <cell r="B333" t="str">
            <v>M/S Kamboh Engineering Intl I.Tax</v>
          </cell>
          <cell r="C333">
            <v>4</v>
          </cell>
          <cell r="D333">
            <v>0</v>
          </cell>
        </row>
        <row r="334">
          <cell r="A334" t="str">
            <v>109-002-002-1053</v>
          </cell>
          <cell r="B334" t="str">
            <v>M/S H &amp; M Engineering Works I.Tax</v>
          </cell>
          <cell r="C334">
            <v>4</v>
          </cell>
          <cell r="D334">
            <v>0</v>
          </cell>
        </row>
        <row r="335">
          <cell r="A335" t="str">
            <v>109-002-002-1054</v>
          </cell>
          <cell r="B335" t="str">
            <v>M/S A &amp; A Enterprises I.Tax</v>
          </cell>
          <cell r="C335">
            <v>4</v>
          </cell>
          <cell r="D335">
            <v>0</v>
          </cell>
        </row>
        <row r="336">
          <cell r="A336" t="str">
            <v>109-002-002-1055</v>
          </cell>
          <cell r="B336" t="str">
            <v>M/S Haq Char Yaar I.tax</v>
          </cell>
          <cell r="C336">
            <v>4</v>
          </cell>
          <cell r="D336">
            <v>0</v>
          </cell>
        </row>
        <row r="337">
          <cell r="A337" t="str">
            <v>109-002-002-1056</v>
          </cell>
          <cell r="B337" t="str">
            <v>M/S Friends Associates I.tax</v>
          </cell>
          <cell r="C337">
            <v>4</v>
          </cell>
          <cell r="D337">
            <v>0</v>
          </cell>
        </row>
        <row r="338">
          <cell r="A338" t="str">
            <v>109-002-002-1057</v>
          </cell>
          <cell r="B338" t="str">
            <v>M/S Abdul Khaliq Khan I.Tax</v>
          </cell>
          <cell r="C338">
            <v>4</v>
          </cell>
          <cell r="D338">
            <v>0</v>
          </cell>
        </row>
        <row r="339">
          <cell r="A339" t="str">
            <v>109-002-002-1058</v>
          </cell>
          <cell r="B339" t="str">
            <v>M/S Al-Ghosia I.Tax</v>
          </cell>
          <cell r="C339">
            <v>4</v>
          </cell>
          <cell r="D339">
            <v>0</v>
          </cell>
        </row>
        <row r="340">
          <cell r="A340" t="str">
            <v>109-002-002-1059</v>
          </cell>
          <cell r="B340" t="str">
            <v>M/S Wasim Stationers I.tax</v>
          </cell>
          <cell r="C340">
            <v>4</v>
          </cell>
          <cell r="D340">
            <v>0</v>
          </cell>
        </row>
        <row r="341">
          <cell r="A341" t="str">
            <v>109-002-002-1060</v>
          </cell>
          <cell r="B341" t="str">
            <v>M/S Sarfraz  Khan I.tax</v>
          </cell>
          <cell r="C341">
            <v>4</v>
          </cell>
          <cell r="D341">
            <v>0</v>
          </cell>
        </row>
        <row r="342">
          <cell r="A342" t="str">
            <v>109-002-002-1061</v>
          </cell>
          <cell r="B342" t="str">
            <v>M/S Spinzer I.Tax</v>
          </cell>
          <cell r="C342">
            <v>4</v>
          </cell>
          <cell r="D342">
            <v>0</v>
          </cell>
        </row>
        <row r="343">
          <cell r="A343" t="str">
            <v>109-002-002-1062</v>
          </cell>
          <cell r="B343" t="str">
            <v>M/S Maj (R) Nisar I.Tax</v>
          </cell>
          <cell r="C343">
            <v>4</v>
          </cell>
          <cell r="D343">
            <v>0</v>
          </cell>
        </row>
        <row r="344">
          <cell r="A344" t="str">
            <v>109-002-002-1063</v>
          </cell>
          <cell r="B344" t="str">
            <v>M/S Behran Khan I.tax</v>
          </cell>
          <cell r="C344">
            <v>4</v>
          </cell>
          <cell r="D344">
            <v>0</v>
          </cell>
        </row>
        <row r="345">
          <cell r="A345" t="str">
            <v>109-002-002-1064</v>
          </cell>
          <cell r="B345" t="str">
            <v>M/S Safe Co. I.Tax</v>
          </cell>
          <cell r="C345">
            <v>4</v>
          </cell>
          <cell r="D345">
            <v>0</v>
          </cell>
        </row>
        <row r="346">
          <cell r="A346" t="str">
            <v>109-002-002-1065</v>
          </cell>
          <cell r="B346" t="str">
            <v>M/S Photohar Autos .I.Tax</v>
          </cell>
          <cell r="C346">
            <v>4</v>
          </cell>
          <cell r="D346">
            <v>0</v>
          </cell>
        </row>
        <row r="347">
          <cell r="A347" t="str">
            <v>109-002-002-1066</v>
          </cell>
          <cell r="B347" t="str">
            <v>M/S Haji Muh Munir I.Tax</v>
          </cell>
          <cell r="C347">
            <v>4</v>
          </cell>
          <cell r="D347">
            <v>0</v>
          </cell>
        </row>
        <row r="348">
          <cell r="A348" t="str">
            <v>109-002-002-1067</v>
          </cell>
          <cell r="B348" t="str">
            <v>M/S Bazl ul jehood I.tax</v>
          </cell>
          <cell r="C348">
            <v>4</v>
          </cell>
          <cell r="D348">
            <v>0</v>
          </cell>
        </row>
        <row r="349">
          <cell r="A349" t="str">
            <v>109-002-002-1068</v>
          </cell>
          <cell r="B349" t="str">
            <v>M/S Regent Computers I.tax</v>
          </cell>
          <cell r="C349">
            <v>4</v>
          </cell>
          <cell r="D349">
            <v>0</v>
          </cell>
        </row>
        <row r="350">
          <cell r="A350" t="str">
            <v>109-002-002-1069</v>
          </cell>
          <cell r="B350" t="str">
            <v>M/S Abdul Razaq &amp; Co. I.tax</v>
          </cell>
          <cell r="C350">
            <v>4</v>
          </cell>
          <cell r="D350">
            <v>0</v>
          </cell>
        </row>
        <row r="351">
          <cell r="A351" t="str">
            <v>109-002-002-1070</v>
          </cell>
          <cell r="B351" t="str">
            <v>M/S Furnitures I.tax</v>
          </cell>
          <cell r="C351">
            <v>4</v>
          </cell>
          <cell r="D351">
            <v>0</v>
          </cell>
        </row>
        <row r="352">
          <cell r="A352" t="str">
            <v>109-002-002-1071</v>
          </cell>
          <cell r="B352" t="str">
            <v>M/S National Machinery Store I.tax</v>
          </cell>
          <cell r="C352">
            <v>4</v>
          </cell>
          <cell r="D352">
            <v>0</v>
          </cell>
        </row>
        <row r="353">
          <cell r="A353" t="str">
            <v>109-002-002-1072</v>
          </cell>
          <cell r="B353" t="str">
            <v>M/S Various dealers I.tax</v>
          </cell>
          <cell r="C353">
            <v>4</v>
          </cell>
          <cell r="D353">
            <v>0</v>
          </cell>
        </row>
        <row r="354">
          <cell r="A354" t="str">
            <v>109-002-002-1074</v>
          </cell>
          <cell r="B354" t="str">
            <v>M/S Juma Khan I.Tax</v>
          </cell>
          <cell r="C354">
            <v>4</v>
          </cell>
          <cell r="D354">
            <v>0</v>
          </cell>
        </row>
        <row r="355">
          <cell r="A355" t="str">
            <v>109-002-002-1075</v>
          </cell>
          <cell r="B355" t="str">
            <v>M/S Naveed Associates I.tax</v>
          </cell>
          <cell r="C355">
            <v>4</v>
          </cell>
          <cell r="D355">
            <v>0</v>
          </cell>
        </row>
        <row r="356">
          <cell r="A356" t="str">
            <v>109-002-002-1076</v>
          </cell>
          <cell r="B356" t="str">
            <v>M/S Machine Traders I.Tax</v>
          </cell>
          <cell r="C356">
            <v>4</v>
          </cell>
          <cell r="D356">
            <v>0</v>
          </cell>
        </row>
        <row r="357">
          <cell r="A357" t="str">
            <v>109-002-002-1077</v>
          </cell>
          <cell r="B357" t="str">
            <v>M/S Shahid Malik I.tax</v>
          </cell>
          <cell r="C357">
            <v>4</v>
          </cell>
          <cell r="D357">
            <v>0</v>
          </cell>
        </row>
        <row r="358">
          <cell r="A358" t="str">
            <v>109-002-002-1078</v>
          </cell>
          <cell r="B358" t="str">
            <v>M/S Haji Ice Factory I.Tax</v>
          </cell>
          <cell r="C358">
            <v>4</v>
          </cell>
          <cell r="D358">
            <v>0</v>
          </cell>
        </row>
        <row r="359">
          <cell r="A359" t="str">
            <v>109-002-002-1079</v>
          </cell>
          <cell r="B359" t="str">
            <v>M/S Safeer General Store I.Tax</v>
          </cell>
          <cell r="C359">
            <v>4</v>
          </cell>
          <cell r="D359">
            <v>0</v>
          </cell>
        </row>
        <row r="360">
          <cell r="A360" t="str">
            <v>109-002-002-1080</v>
          </cell>
          <cell r="B360" t="str">
            <v>M/S Hassan fair price I.Tax</v>
          </cell>
          <cell r="C360">
            <v>4</v>
          </cell>
          <cell r="D360">
            <v>0</v>
          </cell>
        </row>
        <row r="361">
          <cell r="A361" t="str">
            <v>109-002-002-1081</v>
          </cell>
          <cell r="B361" t="str">
            <v>Misc contractors I.Tax</v>
          </cell>
          <cell r="C361">
            <v>4</v>
          </cell>
          <cell r="D361">
            <v>0</v>
          </cell>
        </row>
        <row r="362">
          <cell r="A362" t="str">
            <v>109-002-002-1082</v>
          </cell>
          <cell r="B362" t="str">
            <v>M/S Khalil ur rehman I.tax</v>
          </cell>
          <cell r="C362">
            <v>4</v>
          </cell>
          <cell r="D362">
            <v>0</v>
          </cell>
        </row>
        <row r="363">
          <cell r="A363" t="str">
            <v>109-002-002-1083</v>
          </cell>
          <cell r="B363" t="str">
            <v>M/S Suhbat Khan I.tax</v>
          </cell>
          <cell r="C363">
            <v>4</v>
          </cell>
          <cell r="D363">
            <v>0</v>
          </cell>
        </row>
        <row r="364">
          <cell r="A364" t="str">
            <v>109-002-002-1084</v>
          </cell>
          <cell r="B364" t="str">
            <v>M/S Awais Aluminim I.Tax</v>
          </cell>
          <cell r="C364">
            <v>4</v>
          </cell>
          <cell r="D364">
            <v>0</v>
          </cell>
        </row>
        <row r="365">
          <cell r="A365" t="str">
            <v>109-002-002-1085</v>
          </cell>
          <cell r="B365" t="str">
            <v>M/S Computer House I.Tax</v>
          </cell>
          <cell r="C365">
            <v>4</v>
          </cell>
          <cell r="D365">
            <v>0</v>
          </cell>
        </row>
        <row r="366">
          <cell r="A366" t="str">
            <v>109-002-002-1086</v>
          </cell>
          <cell r="B366" t="str">
            <v>M/S Ijaz Autos I.Tax</v>
          </cell>
          <cell r="C366">
            <v>4</v>
          </cell>
          <cell r="D366">
            <v>0</v>
          </cell>
        </row>
        <row r="367">
          <cell r="A367" t="str">
            <v>109-002-002-1087</v>
          </cell>
          <cell r="B367" t="str">
            <v>M/S Latif Furnitures I.Tax</v>
          </cell>
          <cell r="C367">
            <v>4</v>
          </cell>
          <cell r="D367">
            <v>0</v>
          </cell>
        </row>
        <row r="368">
          <cell r="A368" t="str">
            <v>109-002-002-1088</v>
          </cell>
          <cell r="B368" t="str">
            <v>M/S Hameed Autos I.Tax</v>
          </cell>
          <cell r="C368">
            <v>4</v>
          </cell>
          <cell r="D368">
            <v>0</v>
          </cell>
        </row>
        <row r="369">
          <cell r="A369" t="str">
            <v>109-002-002-1089</v>
          </cell>
          <cell r="B369" t="str">
            <v>M/S Young Autos I.Tax</v>
          </cell>
          <cell r="C369">
            <v>4</v>
          </cell>
          <cell r="D369">
            <v>0</v>
          </cell>
        </row>
        <row r="370">
          <cell r="A370" t="str">
            <v>109-002-002-1091</v>
          </cell>
          <cell r="B370" t="str">
            <v>M/S 3-G Mobile Commn I.Tax</v>
          </cell>
          <cell r="C370">
            <v>4</v>
          </cell>
          <cell r="D370">
            <v>0</v>
          </cell>
        </row>
        <row r="371">
          <cell r="A371" t="str">
            <v>109-002-002-1092</v>
          </cell>
          <cell r="B371" t="str">
            <v>M/S Asad Interiors I.Tax</v>
          </cell>
          <cell r="C371">
            <v>4</v>
          </cell>
          <cell r="D371">
            <v>0</v>
          </cell>
        </row>
        <row r="372">
          <cell r="A372" t="str">
            <v>109-002-002-1093</v>
          </cell>
          <cell r="B372" t="str">
            <v>Mst Kishwar Masud Durrani I.Tax</v>
          </cell>
          <cell r="C372">
            <v>4</v>
          </cell>
          <cell r="D372">
            <v>0</v>
          </cell>
        </row>
        <row r="373">
          <cell r="A373" t="str">
            <v>109-002-002-1094</v>
          </cell>
          <cell r="B373" t="str">
            <v>M/S Karmanwal Autos I.Tax</v>
          </cell>
          <cell r="C373">
            <v>4</v>
          </cell>
          <cell r="D373">
            <v>0</v>
          </cell>
        </row>
        <row r="374">
          <cell r="A374" t="str">
            <v>109-002-002-1095</v>
          </cell>
          <cell r="B374" t="str">
            <v>M/S Infinity Motor EeeZee I.Tax</v>
          </cell>
          <cell r="C374">
            <v>4</v>
          </cell>
          <cell r="D374">
            <v>0</v>
          </cell>
        </row>
        <row r="375">
          <cell r="A375" t="str">
            <v>109-002-002-1096</v>
          </cell>
          <cell r="B375" t="str">
            <v>M/S Al-Medina (Closed) Engineering Wks I.Tax</v>
          </cell>
          <cell r="C375">
            <v>4</v>
          </cell>
          <cell r="D375">
            <v>0</v>
          </cell>
        </row>
        <row r="376">
          <cell r="A376" t="str">
            <v>109-002-002-1097</v>
          </cell>
          <cell r="B376" t="str">
            <v>M/S Al-Hafeez Denting Wks I.Tax</v>
          </cell>
          <cell r="C376">
            <v>4</v>
          </cell>
          <cell r="D376">
            <v>0</v>
          </cell>
        </row>
        <row r="377">
          <cell r="A377" t="str">
            <v>109-002-002-1098</v>
          </cell>
          <cell r="B377" t="str">
            <v>M/S Workman I.Tax</v>
          </cell>
          <cell r="C377">
            <v>4</v>
          </cell>
          <cell r="D377">
            <v>0</v>
          </cell>
        </row>
        <row r="378">
          <cell r="A378" t="str">
            <v>109-002-002-1099</v>
          </cell>
          <cell r="B378" t="str">
            <v>M/S Rawal Gasco I.Tax</v>
          </cell>
          <cell r="C378">
            <v>4</v>
          </cell>
          <cell r="D378">
            <v>0</v>
          </cell>
        </row>
        <row r="379">
          <cell r="A379" t="str">
            <v>109-002-002-1100</v>
          </cell>
          <cell r="B379" t="str">
            <v>M/S Kam Network &amp; Communication I.Tax</v>
          </cell>
          <cell r="C379">
            <v>4</v>
          </cell>
          <cell r="D379">
            <v>0</v>
          </cell>
        </row>
        <row r="380">
          <cell r="A380" t="str">
            <v>109-002-002-1101</v>
          </cell>
          <cell r="B380" t="str">
            <v>M/S Khalid Kahairy Art Studio I.Tax</v>
          </cell>
          <cell r="C380">
            <v>4</v>
          </cell>
          <cell r="D380">
            <v>0</v>
          </cell>
        </row>
        <row r="381">
          <cell r="A381" t="str">
            <v>109-002-002-1102</v>
          </cell>
          <cell r="B381" t="str">
            <v>M/S Toyota Rawal Motors I.Tax</v>
          </cell>
          <cell r="C381">
            <v>4</v>
          </cell>
          <cell r="D381">
            <v>0</v>
          </cell>
        </row>
        <row r="382">
          <cell r="A382" t="str">
            <v>109-002-002-1103</v>
          </cell>
          <cell r="B382" t="str">
            <v>M/S corner Autos I.Tax</v>
          </cell>
          <cell r="C382">
            <v>4</v>
          </cell>
          <cell r="D382">
            <v>0</v>
          </cell>
        </row>
        <row r="383">
          <cell r="A383" t="str">
            <v>109-002-002-1104</v>
          </cell>
          <cell r="B383" t="str">
            <v>M/S TO TO Workshop I.Tax</v>
          </cell>
          <cell r="C383">
            <v>4</v>
          </cell>
          <cell r="D383">
            <v>0</v>
          </cell>
        </row>
        <row r="384">
          <cell r="A384" t="str">
            <v>109-002-002-1105</v>
          </cell>
          <cell r="B384" t="str">
            <v>M/S FRS Associates I.Tax</v>
          </cell>
          <cell r="C384">
            <v>4</v>
          </cell>
          <cell r="D384">
            <v>0</v>
          </cell>
        </row>
        <row r="385">
          <cell r="A385" t="str">
            <v>109-002-002-1106</v>
          </cell>
          <cell r="B385" t="str">
            <v>M/S Adnan Sanitary I.Tax</v>
          </cell>
          <cell r="C385">
            <v>4</v>
          </cell>
          <cell r="D385">
            <v>0</v>
          </cell>
        </row>
        <row r="386">
          <cell r="A386" t="str">
            <v>109-002-002-1107</v>
          </cell>
          <cell r="B386" t="str">
            <v>M/S HB Computers I.Tax</v>
          </cell>
          <cell r="C386">
            <v>4</v>
          </cell>
          <cell r="D386">
            <v>0</v>
          </cell>
        </row>
        <row r="387">
          <cell r="A387" t="str">
            <v>109-002-002-1108</v>
          </cell>
          <cell r="B387" t="str">
            <v>M/S Aamir Brother Hydro I.Tax</v>
          </cell>
          <cell r="C387">
            <v>4</v>
          </cell>
          <cell r="D387">
            <v>0</v>
          </cell>
        </row>
        <row r="388">
          <cell r="A388" t="str">
            <v>109-002-002-1109</v>
          </cell>
          <cell r="B388" t="str">
            <v>M/S Super Army &amp; Police Store I.Tax</v>
          </cell>
          <cell r="C388">
            <v>4</v>
          </cell>
          <cell r="D388">
            <v>0</v>
          </cell>
        </row>
        <row r="389">
          <cell r="A389" t="str">
            <v>109-002-002-1110</v>
          </cell>
          <cell r="B389" t="str">
            <v>M/S Khawaja Muhammad &amp; Co. I.Tax</v>
          </cell>
          <cell r="C389">
            <v>4</v>
          </cell>
          <cell r="D389">
            <v>0</v>
          </cell>
        </row>
        <row r="390">
          <cell r="A390" t="str">
            <v>109-002-002-1111</v>
          </cell>
          <cell r="B390" t="str">
            <v>M/S Muhammad Shahzad Jangla I.Tax</v>
          </cell>
          <cell r="C390">
            <v>4</v>
          </cell>
          <cell r="D390">
            <v>0</v>
          </cell>
        </row>
        <row r="391">
          <cell r="A391" t="str">
            <v>109-002-002-1112</v>
          </cell>
          <cell r="B391" t="str">
            <v>M/S Bismillah Engg Works I.tax</v>
          </cell>
          <cell r="C391">
            <v>4</v>
          </cell>
          <cell r="D391">
            <v>0</v>
          </cell>
        </row>
        <row r="392">
          <cell r="A392" t="str">
            <v>109-002-002-1113</v>
          </cell>
          <cell r="B392" t="str">
            <v>M/S Universal Autos I.Tax</v>
          </cell>
          <cell r="C392">
            <v>4</v>
          </cell>
          <cell r="D392">
            <v>0</v>
          </cell>
        </row>
        <row r="393">
          <cell r="A393" t="str">
            <v>109-002-002-1114</v>
          </cell>
          <cell r="B393" t="str">
            <v>M/S Decent Furniture I.Tax</v>
          </cell>
          <cell r="C393">
            <v>4</v>
          </cell>
          <cell r="D393">
            <v>0</v>
          </cell>
        </row>
        <row r="394">
          <cell r="A394" t="str">
            <v>109-002-002-1115</v>
          </cell>
          <cell r="B394" t="str">
            <v>M/S Star associates I.tax</v>
          </cell>
          <cell r="C394">
            <v>4</v>
          </cell>
          <cell r="D394">
            <v>0</v>
          </cell>
        </row>
        <row r="395">
          <cell r="A395" t="str">
            <v>109-002-002-1116</v>
          </cell>
          <cell r="B395" t="str">
            <v>M/S Signage Security System I.Tax</v>
          </cell>
          <cell r="C395">
            <v>4</v>
          </cell>
          <cell r="D395">
            <v>0</v>
          </cell>
        </row>
        <row r="396">
          <cell r="A396" t="str">
            <v>109-002-002-1117</v>
          </cell>
          <cell r="B396" t="str">
            <v>M/S Berger Paint I.Tax</v>
          </cell>
          <cell r="C396">
            <v>4</v>
          </cell>
          <cell r="D396">
            <v>0</v>
          </cell>
        </row>
        <row r="397">
          <cell r="A397" t="str">
            <v>109-002-002-1118</v>
          </cell>
          <cell r="B397" t="str">
            <v>M/S Shakir Engg I.Tax</v>
          </cell>
          <cell r="C397">
            <v>4</v>
          </cell>
          <cell r="D397">
            <v>0</v>
          </cell>
        </row>
        <row r="398">
          <cell r="A398" t="str">
            <v>109-002-002-1119</v>
          </cell>
          <cell r="B398" t="str">
            <v>M/S Muhammad Ibrahim &amp; Sons I.Tax</v>
          </cell>
          <cell r="C398">
            <v>4</v>
          </cell>
          <cell r="D398">
            <v>0</v>
          </cell>
        </row>
        <row r="399">
          <cell r="A399" t="str">
            <v>109-002-002-1120</v>
          </cell>
          <cell r="B399" t="str">
            <v>M/S Qawi Compressor I.Tax</v>
          </cell>
          <cell r="C399">
            <v>4</v>
          </cell>
          <cell r="D399">
            <v>0</v>
          </cell>
        </row>
        <row r="400">
          <cell r="A400" t="str">
            <v>109-002-002-1121</v>
          </cell>
          <cell r="B400" t="str">
            <v>M/S Fiaz Steel Works I.Tax</v>
          </cell>
          <cell r="C400">
            <v>4</v>
          </cell>
          <cell r="D400">
            <v>0</v>
          </cell>
        </row>
        <row r="401">
          <cell r="A401" t="str">
            <v>109-002-002-1122</v>
          </cell>
          <cell r="B401" t="str">
            <v>M/S Abdul Rehman I.Tax</v>
          </cell>
          <cell r="C401">
            <v>4</v>
          </cell>
          <cell r="D401">
            <v>0</v>
          </cell>
        </row>
        <row r="402">
          <cell r="A402" t="str">
            <v>109-002-002-1123</v>
          </cell>
          <cell r="B402" t="str">
            <v>M/S G.J AutoMobile I.Tax</v>
          </cell>
          <cell r="C402">
            <v>4</v>
          </cell>
          <cell r="D402">
            <v>0</v>
          </cell>
        </row>
        <row r="403">
          <cell r="A403" t="str">
            <v>109-002-002-1124</v>
          </cell>
          <cell r="B403" t="str">
            <v>M/S Al-Syed Crane &amp; Carriage I.Tax</v>
          </cell>
          <cell r="C403">
            <v>4</v>
          </cell>
          <cell r="D403">
            <v>0</v>
          </cell>
        </row>
        <row r="404">
          <cell r="A404" t="str">
            <v>109-002-002-1125</v>
          </cell>
          <cell r="B404" t="str">
            <v>M/S Rehmat Lawn Movers I.Tax</v>
          </cell>
          <cell r="C404">
            <v>4</v>
          </cell>
          <cell r="D404">
            <v>0</v>
          </cell>
        </row>
        <row r="405">
          <cell r="A405" t="str">
            <v>109-002-002-1126</v>
          </cell>
          <cell r="B405" t="str">
            <v>M/S Haji Azeem Bors &amp; Carriage I.Tax</v>
          </cell>
          <cell r="C405">
            <v>4</v>
          </cell>
          <cell r="D405">
            <v>0</v>
          </cell>
        </row>
        <row r="406">
          <cell r="A406" t="str">
            <v>109-002-002-1127</v>
          </cell>
          <cell r="B406" t="str">
            <v>M/S Dara Autos</v>
          </cell>
          <cell r="C406">
            <v>4</v>
          </cell>
          <cell r="D406">
            <v>0</v>
          </cell>
        </row>
        <row r="407">
          <cell r="A407" t="str">
            <v>109-002-002-1128</v>
          </cell>
          <cell r="B407" t="str">
            <v>Afridi &amp; Bangash I.Tax</v>
          </cell>
          <cell r="C407">
            <v>4</v>
          </cell>
          <cell r="D407">
            <v>0</v>
          </cell>
        </row>
        <row r="408">
          <cell r="A408" t="str">
            <v>109-002-002-1129</v>
          </cell>
          <cell r="B408" t="str">
            <v>Fazal Painter &amp; Artist I.Tax</v>
          </cell>
          <cell r="C408">
            <v>4</v>
          </cell>
          <cell r="D408">
            <v>0</v>
          </cell>
        </row>
        <row r="409">
          <cell r="A409" t="str">
            <v>109-002-002-1130</v>
          </cell>
          <cell r="B409" t="str">
            <v>M/S Imran Tarpal House I.Tax</v>
          </cell>
          <cell r="C409">
            <v>4</v>
          </cell>
          <cell r="D409">
            <v>0</v>
          </cell>
        </row>
        <row r="410">
          <cell r="A410" t="str">
            <v>109-002-002-1131</v>
          </cell>
          <cell r="B410" t="str">
            <v>M/S Abbas Khan Contractors I.Tax</v>
          </cell>
          <cell r="C410">
            <v>4</v>
          </cell>
          <cell r="D410">
            <v>0</v>
          </cell>
        </row>
        <row r="411">
          <cell r="A411" t="str">
            <v>109-002-002-1132</v>
          </cell>
          <cell r="B411" t="str">
            <v>M/S Shad Khan &amp; Sons I.Tax ( Const Mat)</v>
          </cell>
          <cell r="C411">
            <v>4</v>
          </cell>
          <cell r="D411">
            <v>0</v>
          </cell>
        </row>
        <row r="412">
          <cell r="A412" t="str">
            <v>109-002-002-1133</v>
          </cell>
          <cell r="B412" t="str">
            <v>M/S Friends Mobile Systems I.Tax</v>
          </cell>
          <cell r="C412">
            <v>4</v>
          </cell>
          <cell r="D412">
            <v>0</v>
          </cell>
        </row>
        <row r="413">
          <cell r="A413" t="str">
            <v>109-002-002-1134</v>
          </cell>
          <cell r="B413" t="str">
            <v>M/S H.B Sayeed (Pvt) Ltd I.Tax</v>
          </cell>
          <cell r="C413">
            <v>4</v>
          </cell>
          <cell r="D413">
            <v>0</v>
          </cell>
        </row>
        <row r="414">
          <cell r="A414" t="str">
            <v>109-002-002-1135</v>
          </cell>
          <cell r="B414" t="str">
            <v>M/S Malik Traders I.Tax</v>
          </cell>
          <cell r="C414">
            <v>4</v>
          </cell>
          <cell r="D414">
            <v>0</v>
          </cell>
        </row>
        <row r="415">
          <cell r="A415" t="str">
            <v>109-002-002-1136</v>
          </cell>
          <cell r="B415" t="str">
            <v>M/S Guerrino Pivato SpA I.Tax</v>
          </cell>
          <cell r="C415">
            <v>4</v>
          </cell>
          <cell r="D415">
            <v>0</v>
          </cell>
        </row>
        <row r="416">
          <cell r="A416" t="str">
            <v>109-002-002-1137</v>
          </cell>
          <cell r="B416" t="str">
            <v>M/S Product &amp; Service I.Tax</v>
          </cell>
          <cell r="C416">
            <v>4</v>
          </cell>
          <cell r="D416">
            <v>0</v>
          </cell>
        </row>
        <row r="417">
          <cell r="A417" t="str">
            <v>109-002-002-1138</v>
          </cell>
          <cell r="B417" t="str">
            <v>M/S Attock Cargo Service I.Tax</v>
          </cell>
          <cell r="C417">
            <v>4</v>
          </cell>
          <cell r="D417">
            <v>0</v>
          </cell>
        </row>
        <row r="418">
          <cell r="A418" t="str">
            <v>109-002-002-1139</v>
          </cell>
          <cell r="B418" t="str">
            <v>M/S Wise Tech I.Tax</v>
          </cell>
          <cell r="C418">
            <v>4</v>
          </cell>
          <cell r="D418">
            <v>0</v>
          </cell>
        </row>
        <row r="419">
          <cell r="A419" t="str">
            <v>109-002-002-1140</v>
          </cell>
          <cell r="B419" t="str">
            <v>M/S New National Traders I.Tax</v>
          </cell>
          <cell r="C419">
            <v>4</v>
          </cell>
          <cell r="D419">
            <v>0</v>
          </cell>
        </row>
        <row r="420">
          <cell r="A420" t="str">
            <v>109-002-002-1141</v>
          </cell>
          <cell r="B420" t="str">
            <v>M/S Malik Abid I.Tax</v>
          </cell>
          <cell r="C420">
            <v>4</v>
          </cell>
          <cell r="D420">
            <v>0</v>
          </cell>
        </row>
        <row r="421">
          <cell r="A421" t="str">
            <v>109-002-002-1142</v>
          </cell>
          <cell r="B421" t="str">
            <v>M/S Hammed Auto Electrician I.Tax</v>
          </cell>
          <cell r="C421">
            <v>4</v>
          </cell>
          <cell r="D421">
            <v>0</v>
          </cell>
        </row>
        <row r="422">
          <cell r="A422" t="str">
            <v>109-002-002-1143</v>
          </cell>
          <cell r="B422" t="str">
            <v>M/S Sufi Khalid Bhatti I.Tax</v>
          </cell>
          <cell r="C422">
            <v>4</v>
          </cell>
          <cell r="D422">
            <v>0</v>
          </cell>
        </row>
        <row r="423">
          <cell r="A423" t="str">
            <v>109-002-002-1144</v>
          </cell>
          <cell r="B423" t="str">
            <v>M/S Darya kHan I.Tax</v>
          </cell>
          <cell r="C423">
            <v>4</v>
          </cell>
          <cell r="D423">
            <v>0</v>
          </cell>
        </row>
        <row r="424">
          <cell r="A424" t="str">
            <v>109-002-002-1145</v>
          </cell>
          <cell r="B424" t="str">
            <v>M/S Mobile Mkt I.Tax</v>
          </cell>
          <cell r="C424">
            <v>4</v>
          </cell>
          <cell r="D424">
            <v>0</v>
          </cell>
        </row>
        <row r="425">
          <cell r="A425" t="str">
            <v>109-002-002-1146</v>
          </cell>
          <cell r="B425" t="str">
            <v>M/S Cool Corner</v>
          </cell>
          <cell r="C425">
            <v>4</v>
          </cell>
          <cell r="D425">
            <v>0</v>
          </cell>
        </row>
        <row r="426">
          <cell r="A426" t="str">
            <v>109-002-002-1147</v>
          </cell>
          <cell r="B426" t="str">
            <v>M/S Corner Tyres I.Tax</v>
          </cell>
          <cell r="C426">
            <v>4</v>
          </cell>
          <cell r="D426">
            <v>0</v>
          </cell>
        </row>
        <row r="427">
          <cell r="A427" t="str">
            <v>109-002-002-1148</v>
          </cell>
          <cell r="B427" t="str">
            <v>M/S Premier Automobile Wkshp I.Tax</v>
          </cell>
          <cell r="C427">
            <v>4</v>
          </cell>
          <cell r="D427">
            <v>0</v>
          </cell>
        </row>
        <row r="428">
          <cell r="A428" t="str">
            <v>109-002-002-1149</v>
          </cell>
          <cell r="B428" t="str">
            <v>M/S Shah Wali Khan</v>
          </cell>
          <cell r="C428">
            <v>4</v>
          </cell>
          <cell r="D428">
            <v>0</v>
          </cell>
        </row>
        <row r="429">
          <cell r="A429" t="str">
            <v>109-002-003-0000</v>
          </cell>
          <cell r="B429" t="str">
            <v>Creditores for Services Income Tax Payable</v>
          </cell>
          <cell r="C429">
            <v>3</v>
          </cell>
          <cell r="D429">
            <v>0</v>
          </cell>
        </row>
        <row r="430">
          <cell r="A430" t="str">
            <v>109-002-011-0000</v>
          </cell>
          <cell r="B430" t="str">
            <v>Employees Income Tax Payable</v>
          </cell>
          <cell r="C430">
            <v>3</v>
          </cell>
          <cell r="D430">
            <v>0</v>
          </cell>
        </row>
        <row r="431">
          <cell r="A431" t="str">
            <v>109-002-011-0001</v>
          </cell>
          <cell r="B431" t="str">
            <v>Army Officers Control Income Tax Payable</v>
          </cell>
          <cell r="C431">
            <v>4</v>
          </cell>
          <cell r="D431">
            <v>0</v>
          </cell>
        </row>
        <row r="432">
          <cell r="A432" t="str">
            <v>109-002-011-0002</v>
          </cell>
          <cell r="B432" t="str">
            <v>Civilian Staff Control Income Tax Payable</v>
          </cell>
          <cell r="C432">
            <v>4</v>
          </cell>
          <cell r="D432">
            <v>0</v>
          </cell>
        </row>
        <row r="433">
          <cell r="A433" t="str">
            <v>109-002-011-0003</v>
          </cell>
          <cell r="B433" t="str">
            <v>JCO's Control Income Tax Payable</v>
          </cell>
          <cell r="C433">
            <v>4</v>
          </cell>
          <cell r="D433">
            <v>0</v>
          </cell>
        </row>
        <row r="434">
          <cell r="A434" t="str">
            <v>109-003-000-0000</v>
          </cell>
          <cell r="B434" t="str">
            <v>D.S.O.P. Fund Payable</v>
          </cell>
          <cell r="C434">
            <v>2</v>
          </cell>
          <cell r="D434">
            <v>0</v>
          </cell>
        </row>
        <row r="435">
          <cell r="A435" t="str">
            <v>109-003-001-0000</v>
          </cell>
          <cell r="B435" t="str">
            <v>Army Officeres D.S.O.P. Fund Payable</v>
          </cell>
          <cell r="C435">
            <v>3</v>
          </cell>
          <cell r="D435">
            <v>0</v>
          </cell>
        </row>
        <row r="436">
          <cell r="A436" t="str">
            <v>109-003-001-0001</v>
          </cell>
          <cell r="B436" t="str">
            <v>Control Army Officers D.S.O.P. Fund Payable</v>
          </cell>
          <cell r="C436">
            <v>4</v>
          </cell>
          <cell r="D436">
            <v>0</v>
          </cell>
        </row>
        <row r="437">
          <cell r="A437" t="str">
            <v>109-003-002-0000</v>
          </cell>
          <cell r="B437" t="str">
            <v>JCOs' Staff D.S.O.P. Fund Payable</v>
          </cell>
          <cell r="C437">
            <v>3</v>
          </cell>
          <cell r="D437">
            <v>0</v>
          </cell>
        </row>
        <row r="438">
          <cell r="A438" t="str">
            <v>109-003-002-0001</v>
          </cell>
          <cell r="B438" t="str">
            <v>Control JCOs' Staff D.S.O.P. Fund Payable</v>
          </cell>
          <cell r="C438">
            <v>4</v>
          </cell>
          <cell r="D438">
            <v>0</v>
          </cell>
        </row>
        <row r="439">
          <cell r="A439" t="str">
            <v>109-004-000-0000</v>
          </cell>
          <cell r="B439" t="str">
            <v>Benevelovent Fund Payable</v>
          </cell>
          <cell r="C439">
            <v>2</v>
          </cell>
          <cell r="D439">
            <v>0</v>
          </cell>
        </row>
        <row r="440">
          <cell r="A440" t="str">
            <v>109-004-001-0000</v>
          </cell>
          <cell r="B440" t="str">
            <v>Army Officers Benevelovent Fund Payable</v>
          </cell>
          <cell r="C440">
            <v>3</v>
          </cell>
          <cell r="D440">
            <v>0</v>
          </cell>
        </row>
        <row r="441">
          <cell r="A441" t="str">
            <v>109-004-001-0001</v>
          </cell>
          <cell r="B441" t="str">
            <v>Control Army Officers Benevelovent Fund Payable</v>
          </cell>
          <cell r="C441">
            <v>4</v>
          </cell>
          <cell r="D441">
            <v>0</v>
          </cell>
        </row>
        <row r="442">
          <cell r="A442" t="str">
            <v>109-004-002-0000</v>
          </cell>
          <cell r="B442" t="str">
            <v>Civilian Staff Benevelovent Fund Payable</v>
          </cell>
          <cell r="C442">
            <v>3</v>
          </cell>
          <cell r="D442">
            <v>0</v>
          </cell>
        </row>
        <row r="443">
          <cell r="A443" t="str">
            <v>109-004-002-0001</v>
          </cell>
          <cell r="B443" t="str">
            <v>Control Civilian Staff Benevelovent Fund Payable</v>
          </cell>
          <cell r="C443">
            <v>4</v>
          </cell>
          <cell r="D443">
            <v>0</v>
          </cell>
        </row>
        <row r="444">
          <cell r="A444" t="str">
            <v>109-004-003-0000</v>
          </cell>
          <cell r="B444" t="str">
            <v>JCO's Staff Benevelovent Fund Payable</v>
          </cell>
          <cell r="C444">
            <v>3</v>
          </cell>
          <cell r="D444">
            <v>0</v>
          </cell>
        </row>
        <row r="445">
          <cell r="A445" t="str">
            <v>109-004-003-0001</v>
          </cell>
          <cell r="B445" t="str">
            <v>Control JCOs' Staff Benevelovent Fund Payable</v>
          </cell>
          <cell r="C445">
            <v>4</v>
          </cell>
          <cell r="D445">
            <v>0</v>
          </cell>
        </row>
        <row r="446">
          <cell r="A446" t="str">
            <v>109-005-000-0000</v>
          </cell>
          <cell r="B446" t="str">
            <v>Accured Charges</v>
          </cell>
          <cell r="C446">
            <v>2</v>
          </cell>
          <cell r="D446">
            <v>-52307</v>
          </cell>
        </row>
        <row r="447">
          <cell r="A447" t="str">
            <v>109-005-001-0000</v>
          </cell>
          <cell r="B447" t="str">
            <v>Muster Rolls Payable</v>
          </cell>
          <cell r="C447">
            <v>3</v>
          </cell>
          <cell r="D447">
            <v>-9567</v>
          </cell>
        </row>
        <row r="448">
          <cell r="A448" t="str">
            <v>109-005-001-0001</v>
          </cell>
          <cell r="B448" t="str">
            <v>Muster Rolls Payable</v>
          </cell>
          <cell r="C448">
            <v>4</v>
          </cell>
          <cell r="D448">
            <v>-9567</v>
          </cell>
        </row>
        <row r="449">
          <cell r="A449" t="str">
            <v>109-005-002-0000</v>
          </cell>
          <cell r="B449" t="str">
            <v>Army Officers Salaries Payable</v>
          </cell>
          <cell r="C449">
            <v>3</v>
          </cell>
          <cell r="D449">
            <v>0</v>
          </cell>
        </row>
        <row r="450">
          <cell r="A450" t="str">
            <v>109-005-002-0001</v>
          </cell>
          <cell r="B450" t="str">
            <v>Army Officers Salaries Payable</v>
          </cell>
          <cell r="C450">
            <v>4</v>
          </cell>
          <cell r="D450">
            <v>0</v>
          </cell>
        </row>
        <row r="451">
          <cell r="A451" t="str">
            <v>109-005-003-0000</v>
          </cell>
          <cell r="B451" t="str">
            <v>Civilian Staff Salaries Payable</v>
          </cell>
          <cell r="C451">
            <v>3</v>
          </cell>
          <cell r="D451">
            <v>-34000</v>
          </cell>
        </row>
        <row r="452">
          <cell r="A452" t="str">
            <v>109-005-003-0001</v>
          </cell>
          <cell r="B452" t="str">
            <v>Civilian Staff Salaries Payable</v>
          </cell>
          <cell r="C452">
            <v>4</v>
          </cell>
          <cell r="D452">
            <v>-34000</v>
          </cell>
        </row>
        <row r="453">
          <cell r="A453" t="str">
            <v>109-005-004-0000</v>
          </cell>
          <cell r="B453" t="str">
            <v>JCO's Staff Salaries Payable</v>
          </cell>
          <cell r="C453">
            <v>3</v>
          </cell>
          <cell r="D453">
            <v>0</v>
          </cell>
        </row>
        <row r="454">
          <cell r="A454" t="str">
            <v>109-005-004-0001</v>
          </cell>
          <cell r="B454" t="str">
            <v>JCO's Staff Salaries Payable</v>
          </cell>
          <cell r="C454">
            <v>4</v>
          </cell>
          <cell r="D454">
            <v>0</v>
          </cell>
        </row>
        <row r="455">
          <cell r="A455" t="str">
            <v>109-005-005-0000</v>
          </cell>
          <cell r="B455" t="str">
            <v>Electricity Payable</v>
          </cell>
          <cell r="C455">
            <v>3</v>
          </cell>
          <cell r="D455">
            <v>0</v>
          </cell>
        </row>
        <row r="456">
          <cell r="A456" t="str">
            <v>109-005-005-0001</v>
          </cell>
          <cell r="B456" t="str">
            <v>Electricity Charges Bill #  Payable</v>
          </cell>
          <cell r="C456">
            <v>4</v>
          </cell>
          <cell r="D456">
            <v>0</v>
          </cell>
        </row>
        <row r="457">
          <cell r="A457" t="str">
            <v>109-005-006-0000</v>
          </cell>
          <cell r="B457" t="str">
            <v>Water charges Payable</v>
          </cell>
          <cell r="C457">
            <v>3</v>
          </cell>
          <cell r="D457">
            <v>0</v>
          </cell>
        </row>
        <row r="458">
          <cell r="A458" t="str">
            <v>109-005-006-0001</v>
          </cell>
          <cell r="B458" t="str">
            <v>Water Charges Bill #  Payable</v>
          </cell>
          <cell r="C458">
            <v>4</v>
          </cell>
          <cell r="D458">
            <v>0</v>
          </cell>
        </row>
        <row r="459">
          <cell r="A459" t="str">
            <v>109-005-007-0000</v>
          </cell>
          <cell r="B459" t="str">
            <v>Gas charges Payable</v>
          </cell>
          <cell r="C459">
            <v>3</v>
          </cell>
          <cell r="D459">
            <v>0</v>
          </cell>
        </row>
        <row r="460">
          <cell r="A460" t="str">
            <v>109-005-007-0001</v>
          </cell>
          <cell r="B460" t="str">
            <v>Sui Gas Charges Bill #  Payable</v>
          </cell>
          <cell r="C460">
            <v>4</v>
          </cell>
          <cell r="D460">
            <v>0</v>
          </cell>
        </row>
        <row r="461">
          <cell r="A461" t="str">
            <v>109-005-008-0000</v>
          </cell>
          <cell r="B461" t="str">
            <v>Telephone charges Payable</v>
          </cell>
          <cell r="C461">
            <v>3</v>
          </cell>
          <cell r="D461">
            <v>0</v>
          </cell>
        </row>
        <row r="462">
          <cell r="A462" t="str">
            <v>109-005-008-0001</v>
          </cell>
          <cell r="B462" t="str">
            <v>Telephone Bill #  Payable</v>
          </cell>
          <cell r="C462">
            <v>4</v>
          </cell>
          <cell r="D462">
            <v>0</v>
          </cell>
        </row>
        <row r="463">
          <cell r="A463" t="str">
            <v>109-005-009-0000</v>
          </cell>
          <cell r="B463" t="str">
            <v>Mobile Phone Charges Payable</v>
          </cell>
          <cell r="C463">
            <v>3</v>
          </cell>
          <cell r="D463">
            <v>-3667</v>
          </cell>
        </row>
        <row r="464">
          <cell r="A464" t="str">
            <v>109-005-009-0001</v>
          </cell>
          <cell r="B464" t="str">
            <v>Mobile Phone Bill # Payable</v>
          </cell>
          <cell r="C464">
            <v>4</v>
          </cell>
          <cell r="D464">
            <v>-3667</v>
          </cell>
        </row>
        <row r="465">
          <cell r="A465" t="str">
            <v>109-005-010-0000</v>
          </cell>
          <cell r="B465" t="str">
            <v>Vehicle Running Expenses Payable</v>
          </cell>
          <cell r="C465">
            <v>3</v>
          </cell>
          <cell r="D465">
            <v>-5073</v>
          </cell>
        </row>
        <row r="466">
          <cell r="A466" t="str">
            <v>109-005-010-0001</v>
          </cell>
          <cell r="B466" t="str">
            <v>Vehicle Running Expenses Payable</v>
          </cell>
          <cell r="C466">
            <v>4</v>
          </cell>
          <cell r="D466">
            <v>-5073</v>
          </cell>
        </row>
        <row r="467">
          <cell r="A467" t="str">
            <v>109-005-011-0000</v>
          </cell>
          <cell r="B467" t="str">
            <v>Repair and Maintainance Payable</v>
          </cell>
          <cell r="C467">
            <v>3</v>
          </cell>
          <cell r="D467">
            <v>0</v>
          </cell>
        </row>
        <row r="468">
          <cell r="A468" t="str">
            <v>109-005-011-0001</v>
          </cell>
          <cell r="B468" t="str">
            <v>Repair and Maintainance Payable</v>
          </cell>
          <cell r="C468">
            <v>4</v>
          </cell>
          <cell r="D468">
            <v>0</v>
          </cell>
        </row>
        <row r="469">
          <cell r="A469" t="str">
            <v>109-005-012-0000</v>
          </cell>
          <cell r="B469" t="str">
            <v>Travelling and Conveyance Payable</v>
          </cell>
          <cell r="C469">
            <v>3</v>
          </cell>
          <cell r="D469">
            <v>0</v>
          </cell>
        </row>
        <row r="470">
          <cell r="A470" t="str">
            <v>109-005-012-0001</v>
          </cell>
          <cell r="B470" t="str">
            <v>Travelling and Conveyance Payable</v>
          </cell>
          <cell r="C470">
            <v>4</v>
          </cell>
          <cell r="D470">
            <v>0</v>
          </cell>
        </row>
        <row r="471">
          <cell r="A471" t="str">
            <v>109-005-013-0000</v>
          </cell>
          <cell r="B471" t="str">
            <v>Printing and Stationery Payable</v>
          </cell>
          <cell r="C471">
            <v>3</v>
          </cell>
          <cell r="D471">
            <v>0</v>
          </cell>
        </row>
        <row r="472">
          <cell r="A472" t="str">
            <v>109-005-013-0001</v>
          </cell>
          <cell r="B472" t="str">
            <v>Printing and Stationery Payable</v>
          </cell>
          <cell r="C472">
            <v>4</v>
          </cell>
          <cell r="D472">
            <v>0</v>
          </cell>
        </row>
        <row r="473">
          <cell r="A473" t="str">
            <v>109-005-014-0000</v>
          </cell>
          <cell r="B473" t="str">
            <v>Entertainment expenses payable</v>
          </cell>
          <cell r="C473">
            <v>3</v>
          </cell>
          <cell r="D473">
            <v>0</v>
          </cell>
        </row>
        <row r="474">
          <cell r="A474" t="str">
            <v>109-005-014-0001</v>
          </cell>
          <cell r="B474" t="str">
            <v>Entertainemnt expenses payable</v>
          </cell>
          <cell r="C474">
            <v>4</v>
          </cell>
          <cell r="D474">
            <v>0</v>
          </cell>
        </row>
        <row r="475">
          <cell r="A475" t="str">
            <v>109-005-015-0000</v>
          </cell>
          <cell r="B475" t="str">
            <v>Newspaper and Periodicals Payable</v>
          </cell>
          <cell r="C475">
            <v>3</v>
          </cell>
          <cell r="D475">
            <v>0</v>
          </cell>
        </row>
        <row r="476">
          <cell r="A476" t="str">
            <v>109-005-015-0001</v>
          </cell>
          <cell r="B476" t="str">
            <v>Newspaper and Periodicals Payable</v>
          </cell>
          <cell r="C476">
            <v>4</v>
          </cell>
          <cell r="D476">
            <v>0</v>
          </cell>
        </row>
        <row r="477">
          <cell r="A477" t="str">
            <v>109-005-016-0000</v>
          </cell>
          <cell r="B477" t="str">
            <v>Lease Rent Payable</v>
          </cell>
          <cell r="C477">
            <v>3</v>
          </cell>
          <cell r="D477">
            <v>0</v>
          </cell>
        </row>
        <row r="478">
          <cell r="A478" t="str">
            <v>109-005-016-0001</v>
          </cell>
          <cell r="B478" t="str">
            <v>Land Lease Rent Charges Payable</v>
          </cell>
          <cell r="C478">
            <v>4</v>
          </cell>
          <cell r="D478">
            <v>0</v>
          </cell>
        </row>
        <row r="479">
          <cell r="A479" t="str">
            <v>109-005-017-0000</v>
          </cell>
          <cell r="B479" t="str">
            <v>Miscellaneous Expenses Payable</v>
          </cell>
          <cell r="C479">
            <v>3</v>
          </cell>
          <cell r="D479">
            <v>0</v>
          </cell>
        </row>
        <row r="480">
          <cell r="A480" t="str">
            <v>109-005-017-0001</v>
          </cell>
          <cell r="B480" t="str">
            <v>Miscellaneous Expenses Payable</v>
          </cell>
          <cell r="C480">
            <v>4</v>
          </cell>
          <cell r="D480">
            <v>0</v>
          </cell>
        </row>
        <row r="481">
          <cell r="A481" t="str">
            <v>109-005-018-0000</v>
          </cell>
          <cell r="B481" t="str">
            <v>legal &amp; Professional Charges payable</v>
          </cell>
          <cell r="C481">
            <v>3</v>
          </cell>
          <cell r="D481">
            <v>0</v>
          </cell>
        </row>
        <row r="482">
          <cell r="A482" t="str">
            <v>109-005-018-0001</v>
          </cell>
          <cell r="B482" t="str">
            <v>legal &amp; Professional Charges payable</v>
          </cell>
          <cell r="C482">
            <v>4</v>
          </cell>
          <cell r="D482">
            <v>0</v>
          </cell>
        </row>
        <row r="483">
          <cell r="A483" t="str">
            <v>109-005-018-0002</v>
          </cell>
          <cell r="B483" t="str">
            <v>Interest on liabilities under finance lease Payabl</v>
          </cell>
          <cell r="C483">
            <v>4</v>
          </cell>
          <cell r="D483">
            <v>0</v>
          </cell>
        </row>
        <row r="484">
          <cell r="A484" t="str">
            <v>109-005-018-0003</v>
          </cell>
          <cell r="B484" t="str">
            <v>Interest on short term running finance Payable</v>
          </cell>
          <cell r="C484">
            <v>4</v>
          </cell>
          <cell r="D484">
            <v>0</v>
          </cell>
        </row>
        <row r="485">
          <cell r="A485" t="str">
            <v>109-005-018-0004</v>
          </cell>
          <cell r="B485" t="str">
            <v>Bank Guarantee Commission Payable</v>
          </cell>
          <cell r="C485">
            <v>4</v>
          </cell>
          <cell r="D485">
            <v>0</v>
          </cell>
        </row>
        <row r="486">
          <cell r="A486" t="str">
            <v>109-005-019-0000</v>
          </cell>
          <cell r="B486" t="str">
            <v>Excise Duty On PLS Bank Accounts Payable</v>
          </cell>
          <cell r="C486">
            <v>3</v>
          </cell>
          <cell r="D486">
            <v>0</v>
          </cell>
        </row>
        <row r="487">
          <cell r="A487" t="str">
            <v>109-005-024-0000</v>
          </cell>
          <cell r="B487" t="str">
            <v>Bank Charges Of Saving Bank Accounts Payable</v>
          </cell>
          <cell r="C487">
            <v>3</v>
          </cell>
          <cell r="D487">
            <v>0</v>
          </cell>
        </row>
        <row r="488">
          <cell r="A488" t="str">
            <v>109-005-025-0000</v>
          </cell>
          <cell r="B488" t="str">
            <v>Bank Charges Of Current Bank Accounts Payable</v>
          </cell>
          <cell r="C488">
            <v>3</v>
          </cell>
          <cell r="D488">
            <v>0</v>
          </cell>
        </row>
        <row r="489">
          <cell r="A489" t="str">
            <v>109-005-026-0000</v>
          </cell>
          <cell r="B489" t="str">
            <v>Bank Charges Of Term Deposit Accounts Payable</v>
          </cell>
          <cell r="C489">
            <v>3</v>
          </cell>
          <cell r="D489">
            <v>0</v>
          </cell>
        </row>
        <row r="490">
          <cell r="A490" t="str">
            <v>109-006-000-0000</v>
          </cell>
          <cell r="B490" t="str">
            <v>Other Liabilties</v>
          </cell>
          <cell r="C490">
            <v>2</v>
          </cell>
          <cell r="D490">
            <v>-240000</v>
          </cell>
        </row>
        <row r="491">
          <cell r="A491" t="str">
            <v>109-006-001-0000</v>
          </cell>
          <cell r="B491" t="str">
            <v>Other Liabilties</v>
          </cell>
          <cell r="C491">
            <v>3</v>
          </cell>
          <cell r="D491">
            <v>0</v>
          </cell>
        </row>
        <row r="492">
          <cell r="A492" t="str">
            <v>109-006-001-0001</v>
          </cell>
          <cell r="B492" t="str">
            <v>Other Liabilties</v>
          </cell>
          <cell r="C492">
            <v>4</v>
          </cell>
          <cell r="D492">
            <v>0</v>
          </cell>
        </row>
        <row r="493">
          <cell r="A493" t="str">
            <v>109-006-001-0002</v>
          </cell>
          <cell r="B493" t="str">
            <v>Hiring Charges Payable CMP</v>
          </cell>
          <cell r="C493">
            <v>4</v>
          </cell>
          <cell r="D493">
            <v>0</v>
          </cell>
        </row>
        <row r="494">
          <cell r="A494" t="str">
            <v>109-006-001-0003</v>
          </cell>
          <cell r="B494" t="str">
            <v>KRAC Hiring Charges Payable</v>
          </cell>
          <cell r="C494">
            <v>4</v>
          </cell>
          <cell r="D494">
            <v>0</v>
          </cell>
        </row>
        <row r="495">
          <cell r="A495" t="str">
            <v>109-006-001-0004</v>
          </cell>
          <cell r="B495" t="str">
            <v>Tractor Hiring charges</v>
          </cell>
          <cell r="C495">
            <v>4</v>
          </cell>
          <cell r="D495">
            <v>0</v>
          </cell>
        </row>
        <row r="496">
          <cell r="A496" t="str">
            <v>109-006-002-0000</v>
          </cell>
          <cell r="B496" t="str">
            <v>Funds Account</v>
          </cell>
          <cell r="C496">
            <v>3</v>
          </cell>
          <cell r="D496">
            <v>-240000</v>
          </cell>
        </row>
        <row r="497">
          <cell r="A497" t="str">
            <v>109-006-002-0001</v>
          </cell>
          <cell r="B497" t="str">
            <v>Provision for Overheads</v>
          </cell>
          <cell r="C497">
            <v>4</v>
          </cell>
          <cell r="D497">
            <v>0</v>
          </cell>
        </row>
        <row r="498">
          <cell r="A498" t="str">
            <v>109-006-002-0002</v>
          </cell>
          <cell r="B498" t="str">
            <v>Provision for Maintainance Cost Fund</v>
          </cell>
          <cell r="C498">
            <v>4</v>
          </cell>
          <cell r="D498">
            <v>-240000</v>
          </cell>
        </row>
        <row r="499">
          <cell r="A499" t="str">
            <v>109-006-003-0000</v>
          </cell>
          <cell r="B499" t="str">
            <v>Mobilization Advance</v>
          </cell>
          <cell r="C499">
            <v>3</v>
          </cell>
          <cell r="D499">
            <v>0</v>
          </cell>
        </row>
        <row r="500">
          <cell r="A500" t="str">
            <v>109-007-000-0000</v>
          </cell>
          <cell r="B500" t="str">
            <v>Provision for Taxation</v>
          </cell>
          <cell r="C500">
            <v>2</v>
          </cell>
          <cell r="D500">
            <v>0</v>
          </cell>
        </row>
        <row r="501">
          <cell r="A501" t="str">
            <v>109-007-001-0000</v>
          </cell>
          <cell r="B501" t="str">
            <v>Provision for Taxation</v>
          </cell>
          <cell r="C501">
            <v>3</v>
          </cell>
          <cell r="D501">
            <v>0</v>
          </cell>
        </row>
        <row r="502">
          <cell r="A502" t="str">
            <v>109-007-001-0001</v>
          </cell>
          <cell r="B502" t="str">
            <v>Provision for Taxation</v>
          </cell>
          <cell r="C502">
            <v>4</v>
          </cell>
          <cell r="D502">
            <v>0</v>
          </cell>
        </row>
        <row r="503">
          <cell r="A503" t="str">
            <v>201-000-000-0000</v>
          </cell>
          <cell r="B503" t="str">
            <v>Operating Fixed Assets</v>
          </cell>
          <cell r="C503">
            <v>1</v>
          </cell>
          <cell r="D503">
            <v>680000</v>
          </cell>
        </row>
        <row r="504">
          <cell r="A504" t="str">
            <v>201-001-000-0000</v>
          </cell>
          <cell r="B504" t="str">
            <v>Land</v>
          </cell>
          <cell r="C504">
            <v>2</v>
          </cell>
          <cell r="D504">
            <v>0</v>
          </cell>
        </row>
        <row r="505">
          <cell r="A505" t="str">
            <v>201-001-001-0000</v>
          </cell>
          <cell r="B505" t="str">
            <v>Land</v>
          </cell>
          <cell r="C505">
            <v>3</v>
          </cell>
          <cell r="D505">
            <v>0</v>
          </cell>
        </row>
        <row r="506">
          <cell r="A506" t="str">
            <v>201-001-001-0001</v>
          </cell>
          <cell r="B506" t="str">
            <v>Land</v>
          </cell>
          <cell r="C506">
            <v>4</v>
          </cell>
          <cell r="D506">
            <v>0</v>
          </cell>
        </row>
        <row r="507">
          <cell r="A507" t="str">
            <v>201-002-000-0000</v>
          </cell>
          <cell r="B507" t="str">
            <v>Building</v>
          </cell>
          <cell r="C507">
            <v>2</v>
          </cell>
          <cell r="D507">
            <v>0</v>
          </cell>
        </row>
        <row r="508">
          <cell r="A508" t="str">
            <v>201-002-001-0000</v>
          </cell>
          <cell r="B508" t="str">
            <v>Building</v>
          </cell>
          <cell r="C508">
            <v>3</v>
          </cell>
          <cell r="D508">
            <v>0</v>
          </cell>
        </row>
        <row r="509">
          <cell r="A509" t="str">
            <v>201-002-001-0001</v>
          </cell>
          <cell r="B509" t="str">
            <v>Building</v>
          </cell>
          <cell r="C509">
            <v>4</v>
          </cell>
          <cell r="D509">
            <v>0</v>
          </cell>
        </row>
        <row r="510">
          <cell r="A510" t="str">
            <v>201-003-000-0000</v>
          </cell>
          <cell r="B510" t="str">
            <v>Plant and Machinery</v>
          </cell>
          <cell r="C510">
            <v>2</v>
          </cell>
          <cell r="D510">
            <v>0</v>
          </cell>
        </row>
        <row r="511">
          <cell r="A511" t="str">
            <v>201-003-001-0000</v>
          </cell>
          <cell r="B511" t="str">
            <v>Plant and Machinery</v>
          </cell>
          <cell r="C511">
            <v>3</v>
          </cell>
          <cell r="D511">
            <v>0</v>
          </cell>
        </row>
        <row r="512">
          <cell r="A512" t="str">
            <v>201-003-001-0001</v>
          </cell>
          <cell r="B512" t="str">
            <v>Bitumen Transfer Pump</v>
          </cell>
          <cell r="C512">
            <v>4</v>
          </cell>
          <cell r="D512">
            <v>0</v>
          </cell>
        </row>
        <row r="513">
          <cell r="A513" t="str">
            <v>201-003-001-0002</v>
          </cell>
          <cell r="B513" t="str">
            <v>Pipe Machine 15" to 18" Dia</v>
          </cell>
          <cell r="C513">
            <v>4</v>
          </cell>
          <cell r="D513">
            <v>0</v>
          </cell>
        </row>
        <row r="514">
          <cell r="A514" t="str">
            <v>201-003-001-0003</v>
          </cell>
          <cell r="B514" t="str">
            <v>Broomer</v>
          </cell>
          <cell r="C514">
            <v>4</v>
          </cell>
          <cell r="D514">
            <v>0</v>
          </cell>
        </row>
        <row r="515">
          <cell r="A515" t="str">
            <v>201-003-001-0004</v>
          </cell>
          <cell r="B515" t="str">
            <v>Core Drill Machine</v>
          </cell>
          <cell r="C515">
            <v>4</v>
          </cell>
          <cell r="D515">
            <v>0</v>
          </cell>
        </row>
        <row r="516">
          <cell r="A516" t="str">
            <v>201-003-001-0005</v>
          </cell>
          <cell r="B516" t="str">
            <v>Asphalt Cutter</v>
          </cell>
          <cell r="C516">
            <v>4</v>
          </cell>
          <cell r="D516">
            <v>0</v>
          </cell>
        </row>
        <row r="517">
          <cell r="A517" t="str">
            <v>201-003-001-0006</v>
          </cell>
          <cell r="B517" t="str">
            <v>Generator</v>
          </cell>
          <cell r="C517">
            <v>4</v>
          </cell>
          <cell r="D517">
            <v>0</v>
          </cell>
        </row>
        <row r="518">
          <cell r="A518" t="str">
            <v>201-003-001-0007</v>
          </cell>
          <cell r="B518" t="str">
            <v>Oil/Water Tanker</v>
          </cell>
          <cell r="C518">
            <v>4</v>
          </cell>
          <cell r="D518">
            <v>0</v>
          </cell>
        </row>
        <row r="519">
          <cell r="A519" t="str">
            <v>201-003-001-0008</v>
          </cell>
          <cell r="B519" t="str">
            <v>Renault Dump Truck</v>
          </cell>
          <cell r="C519">
            <v>4</v>
          </cell>
          <cell r="D519">
            <v>0</v>
          </cell>
        </row>
        <row r="520">
          <cell r="A520" t="str">
            <v>201-004-000-0000</v>
          </cell>
          <cell r="B520" t="str">
            <v>Furniture and Fixture</v>
          </cell>
          <cell r="C520">
            <v>2</v>
          </cell>
          <cell r="D520">
            <v>0</v>
          </cell>
        </row>
        <row r="521">
          <cell r="A521" t="str">
            <v>201-004-001-0000</v>
          </cell>
          <cell r="B521" t="str">
            <v>Furniture and Fixture</v>
          </cell>
          <cell r="C521">
            <v>3</v>
          </cell>
          <cell r="D521">
            <v>0</v>
          </cell>
        </row>
        <row r="522">
          <cell r="A522" t="str">
            <v>201-004-001-0001</v>
          </cell>
          <cell r="B522" t="str">
            <v>Tables</v>
          </cell>
          <cell r="C522">
            <v>4</v>
          </cell>
          <cell r="D522">
            <v>0</v>
          </cell>
        </row>
        <row r="523">
          <cell r="A523" t="str">
            <v>201-004-001-0002</v>
          </cell>
          <cell r="B523" t="str">
            <v>Charpayees  (Beds)</v>
          </cell>
          <cell r="C523">
            <v>4</v>
          </cell>
          <cell r="D523">
            <v>0</v>
          </cell>
        </row>
        <row r="524">
          <cell r="A524" t="str">
            <v>201-004-001-0003</v>
          </cell>
          <cell r="B524" t="str">
            <v>Sofa Chairs and Chairs</v>
          </cell>
          <cell r="C524">
            <v>4</v>
          </cell>
          <cell r="D524">
            <v>0</v>
          </cell>
        </row>
        <row r="525">
          <cell r="A525" t="str">
            <v>201-004-001-0004</v>
          </cell>
          <cell r="B525" t="str">
            <v>Almirah</v>
          </cell>
          <cell r="C525">
            <v>4</v>
          </cell>
          <cell r="D525">
            <v>0</v>
          </cell>
        </row>
        <row r="526">
          <cell r="A526" t="str">
            <v>201-004-001-0005</v>
          </cell>
          <cell r="B526" t="str">
            <v>Wooden Cabinet Draz</v>
          </cell>
          <cell r="C526">
            <v>4</v>
          </cell>
          <cell r="D526">
            <v>0</v>
          </cell>
        </row>
        <row r="527">
          <cell r="A527" t="str">
            <v>201-004-001-0006</v>
          </cell>
          <cell r="B527" t="str">
            <v>Stools</v>
          </cell>
          <cell r="C527">
            <v>4</v>
          </cell>
          <cell r="D527">
            <v>0</v>
          </cell>
        </row>
        <row r="528">
          <cell r="A528" t="str">
            <v>201-004-001-0007</v>
          </cell>
          <cell r="B528" t="str">
            <v>Partition</v>
          </cell>
          <cell r="C528">
            <v>4</v>
          </cell>
          <cell r="D528">
            <v>0</v>
          </cell>
        </row>
        <row r="529">
          <cell r="A529" t="str">
            <v>201-004-001-0008</v>
          </cell>
          <cell r="B529" t="str">
            <v>Carpets</v>
          </cell>
          <cell r="C529">
            <v>4</v>
          </cell>
          <cell r="D529">
            <v>0</v>
          </cell>
        </row>
        <row r="530">
          <cell r="A530" t="str">
            <v>201-004-001-0009</v>
          </cell>
          <cell r="B530" t="str">
            <v>Portable Site Office Cabin</v>
          </cell>
          <cell r="C530">
            <v>4</v>
          </cell>
          <cell r="D530">
            <v>0</v>
          </cell>
        </row>
        <row r="531">
          <cell r="A531" t="str">
            <v>201-004-001-0010</v>
          </cell>
          <cell r="B531" t="str">
            <v>Matress</v>
          </cell>
          <cell r="C531">
            <v>4</v>
          </cell>
          <cell r="D531">
            <v>0</v>
          </cell>
        </row>
        <row r="532">
          <cell r="A532" t="str">
            <v>201-004-001-0011</v>
          </cell>
          <cell r="B532" t="str">
            <v>Tarpal</v>
          </cell>
          <cell r="C532">
            <v>4</v>
          </cell>
          <cell r="D532">
            <v>0</v>
          </cell>
        </row>
        <row r="533">
          <cell r="A533" t="str">
            <v>201-004-001-0012</v>
          </cell>
          <cell r="B533" t="str">
            <v>Steel Door</v>
          </cell>
          <cell r="C533">
            <v>4</v>
          </cell>
          <cell r="D533">
            <v>0</v>
          </cell>
        </row>
        <row r="534">
          <cell r="A534" t="str">
            <v>201-004-001-0013</v>
          </cell>
          <cell r="B534" t="str">
            <v>Bricks</v>
          </cell>
          <cell r="C534">
            <v>4</v>
          </cell>
          <cell r="D534">
            <v>0</v>
          </cell>
        </row>
        <row r="535">
          <cell r="A535" t="str">
            <v>201-005-000-0000</v>
          </cell>
          <cell r="B535" t="str">
            <v>Vehicles</v>
          </cell>
          <cell r="C535">
            <v>2</v>
          </cell>
          <cell r="D535">
            <v>680000</v>
          </cell>
        </row>
        <row r="536">
          <cell r="A536" t="str">
            <v>201-005-001-0000</v>
          </cell>
          <cell r="B536" t="str">
            <v>Heavy  Vehicle</v>
          </cell>
          <cell r="C536">
            <v>3</v>
          </cell>
          <cell r="D536">
            <v>680000</v>
          </cell>
        </row>
        <row r="537">
          <cell r="A537" t="str">
            <v>201-005-002-0000</v>
          </cell>
          <cell r="B537" t="str">
            <v>Light Vehicle</v>
          </cell>
          <cell r="C537">
            <v>3</v>
          </cell>
          <cell r="D537">
            <v>0</v>
          </cell>
        </row>
        <row r="538">
          <cell r="A538" t="str">
            <v>201-005-002-0001</v>
          </cell>
          <cell r="B538" t="str">
            <v>Suzuki Cultus</v>
          </cell>
          <cell r="C538">
            <v>4</v>
          </cell>
          <cell r="D538">
            <v>680000</v>
          </cell>
        </row>
        <row r="539">
          <cell r="A539" t="str">
            <v>201-006-000-0000</v>
          </cell>
          <cell r="B539" t="str">
            <v>Office Equipments</v>
          </cell>
          <cell r="C539">
            <v>2</v>
          </cell>
          <cell r="D539">
            <v>0</v>
          </cell>
        </row>
        <row r="540">
          <cell r="A540" t="str">
            <v>201-006-001-0000</v>
          </cell>
          <cell r="B540" t="str">
            <v>Office Equipments</v>
          </cell>
          <cell r="C540">
            <v>3</v>
          </cell>
          <cell r="D540">
            <v>0</v>
          </cell>
        </row>
        <row r="541">
          <cell r="A541" t="str">
            <v>201-006-001-0001</v>
          </cell>
          <cell r="B541" t="str">
            <v>Telephones and Telephone Exchange</v>
          </cell>
          <cell r="C541">
            <v>4</v>
          </cell>
          <cell r="D541">
            <v>0</v>
          </cell>
        </row>
        <row r="542">
          <cell r="A542" t="str">
            <v>201-006-001-0002</v>
          </cell>
          <cell r="B542" t="str">
            <v>Fax Machine</v>
          </cell>
          <cell r="C542">
            <v>4</v>
          </cell>
          <cell r="D542">
            <v>0</v>
          </cell>
        </row>
        <row r="543">
          <cell r="A543" t="str">
            <v>201-006-001-0003</v>
          </cell>
          <cell r="B543" t="str">
            <v>Pagers</v>
          </cell>
          <cell r="C543">
            <v>4</v>
          </cell>
          <cell r="D543">
            <v>0</v>
          </cell>
        </row>
        <row r="544">
          <cell r="A544" t="str">
            <v>201-006-001-0004</v>
          </cell>
          <cell r="B544" t="str">
            <v>Mobile Phone Sets</v>
          </cell>
          <cell r="C544">
            <v>4</v>
          </cell>
          <cell r="D544">
            <v>0</v>
          </cell>
        </row>
        <row r="545">
          <cell r="A545" t="str">
            <v>201-006-001-0005</v>
          </cell>
          <cell r="B545" t="str">
            <v>Type Writer</v>
          </cell>
          <cell r="C545">
            <v>4</v>
          </cell>
          <cell r="D545">
            <v>0</v>
          </cell>
        </row>
        <row r="546">
          <cell r="A546" t="str">
            <v>201-006-001-0006</v>
          </cell>
          <cell r="B546" t="str">
            <v>Calculators</v>
          </cell>
          <cell r="C546">
            <v>4</v>
          </cell>
          <cell r="D546">
            <v>0</v>
          </cell>
        </row>
        <row r="547">
          <cell r="A547" t="str">
            <v>201-006-001-0007</v>
          </cell>
          <cell r="B547" t="str">
            <v>Clocks</v>
          </cell>
          <cell r="C547">
            <v>4</v>
          </cell>
          <cell r="D547">
            <v>0</v>
          </cell>
        </row>
        <row r="548">
          <cell r="A548" t="str">
            <v>201-006-001-0008</v>
          </cell>
          <cell r="B548" t="str">
            <v>Projector</v>
          </cell>
          <cell r="C548">
            <v>4</v>
          </cell>
          <cell r="D548">
            <v>0</v>
          </cell>
        </row>
        <row r="549">
          <cell r="A549" t="str">
            <v>201-006-001-0009</v>
          </cell>
          <cell r="B549" t="str">
            <v>Fire Fighting Equipments</v>
          </cell>
          <cell r="C549">
            <v>4</v>
          </cell>
          <cell r="D549">
            <v>0</v>
          </cell>
        </row>
        <row r="550">
          <cell r="A550" t="str">
            <v>201-006-001-0010</v>
          </cell>
          <cell r="B550" t="str">
            <v>Cameras (Still)</v>
          </cell>
          <cell r="C550">
            <v>4</v>
          </cell>
          <cell r="D550">
            <v>0</v>
          </cell>
        </row>
        <row r="551">
          <cell r="A551" t="str">
            <v>201-007-000-0000</v>
          </cell>
          <cell r="B551" t="str">
            <v>Electric Equipments and Installations</v>
          </cell>
          <cell r="C551">
            <v>2</v>
          </cell>
          <cell r="D551">
            <v>0</v>
          </cell>
        </row>
        <row r="552">
          <cell r="A552" t="str">
            <v>201-007-001-0000</v>
          </cell>
          <cell r="B552" t="str">
            <v>Electric Equipments and Installations</v>
          </cell>
          <cell r="C552">
            <v>3</v>
          </cell>
          <cell r="D552">
            <v>0</v>
          </cell>
        </row>
        <row r="553">
          <cell r="A553" t="str">
            <v>201-007-001-0001</v>
          </cell>
          <cell r="B553" t="str">
            <v>Air conditioners</v>
          </cell>
          <cell r="C553">
            <v>4</v>
          </cell>
          <cell r="D553">
            <v>0</v>
          </cell>
        </row>
        <row r="554">
          <cell r="A554" t="str">
            <v>201-007-001-0002</v>
          </cell>
          <cell r="B554" t="str">
            <v>Hot / cool Water cooler</v>
          </cell>
          <cell r="C554">
            <v>4</v>
          </cell>
          <cell r="D554">
            <v>0</v>
          </cell>
        </row>
        <row r="555">
          <cell r="A555" t="str">
            <v>201-007-001-0003</v>
          </cell>
          <cell r="B555" t="str">
            <v>Fans</v>
          </cell>
          <cell r="C555">
            <v>4</v>
          </cell>
          <cell r="D555">
            <v>0</v>
          </cell>
        </row>
        <row r="556">
          <cell r="A556" t="str">
            <v>201-007-001-0004</v>
          </cell>
          <cell r="B556" t="str">
            <v>Exhaust Fans</v>
          </cell>
          <cell r="C556">
            <v>4</v>
          </cell>
          <cell r="D556">
            <v>0</v>
          </cell>
        </row>
        <row r="557">
          <cell r="A557" t="str">
            <v>201-007-001-0005</v>
          </cell>
          <cell r="B557" t="str">
            <v>Water Pumps</v>
          </cell>
          <cell r="C557">
            <v>4</v>
          </cell>
          <cell r="D557">
            <v>0</v>
          </cell>
        </row>
        <row r="558">
          <cell r="A558" t="str">
            <v>201-007-001-0006</v>
          </cell>
          <cell r="B558" t="str">
            <v>T.V</v>
          </cell>
          <cell r="C558">
            <v>4</v>
          </cell>
          <cell r="D558">
            <v>0</v>
          </cell>
        </row>
        <row r="559">
          <cell r="A559" t="str">
            <v>201-007-001-0007</v>
          </cell>
          <cell r="B559" t="str">
            <v>VCR</v>
          </cell>
          <cell r="C559">
            <v>4</v>
          </cell>
          <cell r="D559">
            <v>0</v>
          </cell>
        </row>
        <row r="560">
          <cell r="A560" t="str">
            <v>201-007-001-0008</v>
          </cell>
          <cell r="B560" t="str">
            <v>Gas Appliances</v>
          </cell>
          <cell r="C560">
            <v>4</v>
          </cell>
          <cell r="D560">
            <v>0</v>
          </cell>
        </row>
        <row r="561">
          <cell r="A561" t="str">
            <v>201-007-001-0009</v>
          </cell>
          <cell r="B561" t="str">
            <v>Refrigerators</v>
          </cell>
          <cell r="C561">
            <v>4</v>
          </cell>
          <cell r="D561">
            <v>0</v>
          </cell>
        </row>
        <row r="562">
          <cell r="A562" t="str">
            <v>201-007-001-0010</v>
          </cell>
          <cell r="B562" t="str">
            <v>Water Filter</v>
          </cell>
          <cell r="C562">
            <v>4</v>
          </cell>
          <cell r="D562">
            <v>0</v>
          </cell>
        </row>
        <row r="563">
          <cell r="A563" t="str">
            <v>201-007-001-0011</v>
          </cell>
          <cell r="B563" t="str">
            <v>400 KVA Transformer</v>
          </cell>
          <cell r="C563">
            <v>4</v>
          </cell>
          <cell r="D563">
            <v>0</v>
          </cell>
        </row>
        <row r="564">
          <cell r="A564" t="str">
            <v>201-007-001-0012</v>
          </cell>
          <cell r="B564" t="str">
            <v>Vaccum Pump</v>
          </cell>
          <cell r="C564">
            <v>4</v>
          </cell>
          <cell r="D564">
            <v>0</v>
          </cell>
        </row>
        <row r="565">
          <cell r="A565" t="str">
            <v>201-007-001-0013</v>
          </cell>
          <cell r="B565" t="str">
            <v>Office Bell</v>
          </cell>
          <cell r="C565">
            <v>4</v>
          </cell>
          <cell r="D565">
            <v>0</v>
          </cell>
        </row>
        <row r="566">
          <cell r="A566" t="str">
            <v>201-007-001-0014</v>
          </cell>
          <cell r="B566" t="str">
            <v>Room AIR Cooler</v>
          </cell>
          <cell r="C566">
            <v>4</v>
          </cell>
          <cell r="D566">
            <v>0</v>
          </cell>
        </row>
        <row r="567">
          <cell r="A567" t="str">
            <v>201-008-000-0000</v>
          </cell>
          <cell r="B567" t="str">
            <v>Wireless Equipments</v>
          </cell>
          <cell r="C567">
            <v>2</v>
          </cell>
          <cell r="D567">
            <v>0</v>
          </cell>
        </row>
        <row r="568">
          <cell r="A568" t="str">
            <v>201-008-001-0000</v>
          </cell>
          <cell r="B568" t="str">
            <v>Wireless Equipments</v>
          </cell>
          <cell r="C568">
            <v>3</v>
          </cell>
          <cell r="D568">
            <v>0</v>
          </cell>
        </row>
        <row r="569">
          <cell r="A569" t="str">
            <v>201-008-001-0001</v>
          </cell>
          <cell r="B569" t="str">
            <v>Wireless Equipments</v>
          </cell>
          <cell r="C569">
            <v>4</v>
          </cell>
          <cell r="D569">
            <v>0</v>
          </cell>
        </row>
        <row r="570">
          <cell r="A570" t="str">
            <v>201-009-000-0000</v>
          </cell>
          <cell r="B570" t="str">
            <v>Laboratory Equipments</v>
          </cell>
          <cell r="C570">
            <v>2</v>
          </cell>
          <cell r="D570">
            <v>0</v>
          </cell>
        </row>
        <row r="571">
          <cell r="A571" t="str">
            <v>201-009-001-0000</v>
          </cell>
          <cell r="B571" t="str">
            <v>Laboratory Equipments</v>
          </cell>
          <cell r="C571">
            <v>3</v>
          </cell>
          <cell r="D571">
            <v>0</v>
          </cell>
        </row>
        <row r="572">
          <cell r="A572" t="str">
            <v>201-009-001-0001</v>
          </cell>
          <cell r="B572" t="str">
            <v>Laboratory Equipments</v>
          </cell>
          <cell r="C572">
            <v>4</v>
          </cell>
          <cell r="D572">
            <v>0</v>
          </cell>
        </row>
        <row r="573">
          <cell r="A573" t="str">
            <v>201-010-000-0000</v>
          </cell>
          <cell r="B573" t="str">
            <v>Survey Equipments</v>
          </cell>
          <cell r="C573">
            <v>2</v>
          </cell>
          <cell r="D573">
            <v>0</v>
          </cell>
        </row>
        <row r="574">
          <cell r="A574" t="str">
            <v>201-010-001-0000</v>
          </cell>
          <cell r="B574" t="str">
            <v>Survey Equipments</v>
          </cell>
          <cell r="C574">
            <v>3</v>
          </cell>
          <cell r="D574">
            <v>0</v>
          </cell>
        </row>
        <row r="575">
          <cell r="A575" t="str">
            <v>201-010-001-0001</v>
          </cell>
          <cell r="B575" t="str">
            <v>Survey Equipments</v>
          </cell>
          <cell r="C575">
            <v>4</v>
          </cell>
          <cell r="D575">
            <v>0</v>
          </cell>
        </row>
        <row r="576">
          <cell r="A576" t="str">
            <v>201-011-000-0000</v>
          </cell>
          <cell r="B576" t="str">
            <v>Computers</v>
          </cell>
          <cell r="C576">
            <v>2</v>
          </cell>
          <cell r="D576">
            <v>0</v>
          </cell>
        </row>
        <row r="577">
          <cell r="A577" t="str">
            <v>201-011-001-0000</v>
          </cell>
          <cell r="B577" t="str">
            <v>Computers</v>
          </cell>
          <cell r="C577">
            <v>3</v>
          </cell>
          <cell r="D577">
            <v>0</v>
          </cell>
        </row>
        <row r="578">
          <cell r="A578" t="str">
            <v>201-011-001-0001</v>
          </cell>
          <cell r="B578" t="str">
            <v>CPU + Monitors+Key Board+Mouse</v>
          </cell>
          <cell r="C578">
            <v>4</v>
          </cell>
          <cell r="D578">
            <v>0</v>
          </cell>
        </row>
        <row r="579">
          <cell r="A579" t="str">
            <v>201-011-001-0002</v>
          </cell>
          <cell r="B579" t="str">
            <v>Printers</v>
          </cell>
          <cell r="C579">
            <v>4</v>
          </cell>
          <cell r="D579">
            <v>0</v>
          </cell>
        </row>
        <row r="580">
          <cell r="A580" t="str">
            <v>201-011-001-0003</v>
          </cell>
          <cell r="B580" t="str">
            <v>UPS</v>
          </cell>
          <cell r="C580">
            <v>4</v>
          </cell>
          <cell r="D580">
            <v>0</v>
          </cell>
        </row>
        <row r="581">
          <cell r="A581" t="str">
            <v>201-011-001-0004</v>
          </cell>
          <cell r="B581" t="str">
            <v>Stablizers</v>
          </cell>
          <cell r="C581">
            <v>4</v>
          </cell>
          <cell r="D581">
            <v>0</v>
          </cell>
        </row>
        <row r="582">
          <cell r="A582" t="str">
            <v>202-000-000-0000</v>
          </cell>
          <cell r="B582" t="str">
            <v>Accumulated Depriciation of Operating Fixed Assets</v>
          </cell>
          <cell r="C582">
            <v>1</v>
          </cell>
          <cell r="D582">
            <v>-68000</v>
          </cell>
        </row>
        <row r="583">
          <cell r="A583" t="str">
            <v>202-001-000-0000</v>
          </cell>
          <cell r="B583" t="str">
            <v>Accumulated Depriciation of Operating Fixed Assets</v>
          </cell>
          <cell r="C583">
            <v>2</v>
          </cell>
          <cell r="D583">
            <v>-68000</v>
          </cell>
        </row>
        <row r="584">
          <cell r="A584" t="str">
            <v>202-001-001-0000</v>
          </cell>
          <cell r="B584" t="str">
            <v>Accumulated Depriciation of Operating Fixed Assets</v>
          </cell>
          <cell r="C584">
            <v>3</v>
          </cell>
          <cell r="D584">
            <v>-68000</v>
          </cell>
        </row>
        <row r="585">
          <cell r="A585" t="str">
            <v>202-001-001-0001</v>
          </cell>
          <cell r="B585" t="str">
            <v>Accumulated Depriciation of Operating Fixed Assets</v>
          </cell>
          <cell r="C585">
            <v>4</v>
          </cell>
          <cell r="D585">
            <v>-68000</v>
          </cell>
        </row>
        <row r="586">
          <cell r="A586" t="str">
            <v>203-000-000-0000</v>
          </cell>
          <cell r="B586" t="str">
            <v>Assets Subject to Finance Lease</v>
          </cell>
          <cell r="C586">
            <v>1</v>
          </cell>
          <cell r="D586">
            <v>0</v>
          </cell>
        </row>
        <row r="587">
          <cell r="A587" t="str">
            <v>203-001-000-0000</v>
          </cell>
          <cell r="B587" t="str">
            <v>Assets Subject to Finance Lease</v>
          </cell>
          <cell r="C587">
            <v>2</v>
          </cell>
          <cell r="D587">
            <v>0</v>
          </cell>
        </row>
        <row r="588">
          <cell r="A588" t="str">
            <v>203-001-001-0000</v>
          </cell>
          <cell r="B588" t="str">
            <v>Assets Subject to Finance Lease</v>
          </cell>
          <cell r="C588">
            <v>3</v>
          </cell>
          <cell r="D588">
            <v>0</v>
          </cell>
        </row>
        <row r="589">
          <cell r="A589" t="str">
            <v>203-001-001-0001</v>
          </cell>
          <cell r="B589" t="str">
            <v>Assets Subject to Finance Lease</v>
          </cell>
          <cell r="C589">
            <v>4</v>
          </cell>
          <cell r="D589">
            <v>0</v>
          </cell>
        </row>
        <row r="590">
          <cell r="A590" t="str">
            <v>204-000-000-0000</v>
          </cell>
          <cell r="B590" t="str">
            <v>Accumulated Amortisation of Assets Subect to Finan</v>
          </cell>
          <cell r="C590">
            <v>1</v>
          </cell>
          <cell r="D590">
            <v>0</v>
          </cell>
        </row>
        <row r="591">
          <cell r="A591" t="str">
            <v>204-001-000-0000</v>
          </cell>
          <cell r="B591" t="str">
            <v>Accumulated Amortisation of Assets Subect to Finan</v>
          </cell>
          <cell r="C591">
            <v>2</v>
          </cell>
          <cell r="D591">
            <v>0</v>
          </cell>
        </row>
        <row r="592">
          <cell r="A592" t="str">
            <v>204-001-001-0000</v>
          </cell>
          <cell r="B592" t="str">
            <v>Accumulated Amortisation of Assets Subect to Finan</v>
          </cell>
          <cell r="C592">
            <v>3</v>
          </cell>
          <cell r="D592">
            <v>0</v>
          </cell>
        </row>
        <row r="593">
          <cell r="A593" t="str">
            <v>204-001-001-0001</v>
          </cell>
          <cell r="B593" t="str">
            <v>Accumulated Amortisation of Assets Subect to Finan</v>
          </cell>
          <cell r="C593">
            <v>4</v>
          </cell>
          <cell r="D593">
            <v>0</v>
          </cell>
        </row>
        <row r="594">
          <cell r="A594" t="str">
            <v>205-000-000-0000</v>
          </cell>
          <cell r="B594" t="str">
            <v>Capital Work in Progress</v>
          </cell>
          <cell r="C594">
            <v>1</v>
          </cell>
          <cell r="D594">
            <v>0</v>
          </cell>
        </row>
        <row r="595">
          <cell r="A595" t="str">
            <v>205-001-000-0000</v>
          </cell>
          <cell r="B595" t="str">
            <v>Capital Work in Progress</v>
          </cell>
          <cell r="C595">
            <v>2</v>
          </cell>
          <cell r="D595">
            <v>0</v>
          </cell>
        </row>
        <row r="596">
          <cell r="A596" t="str">
            <v>205-001-001-0000</v>
          </cell>
          <cell r="B596" t="str">
            <v>Capital Work in Progress</v>
          </cell>
          <cell r="C596">
            <v>3</v>
          </cell>
          <cell r="D596">
            <v>0</v>
          </cell>
        </row>
        <row r="597">
          <cell r="A597" t="str">
            <v>205-001-001-0001</v>
          </cell>
          <cell r="B597" t="str">
            <v>Capital Work in Progress</v>
          </cell>
          <cell r="C597">
            <v>4</v>
          </cell>
          <cell r="D597">
            <v>0</v>
          </cell>
        </row>
        <row r="598">
          <cell r="A598" t="str">
            <v>206-000-000-0000</v>
          </cell>
          <cell r="B598" t="str">
            <v>Long Term Investments</v>
          </cell>
          <cell r="C598">
            <v>1</v>
          </cell>
          <cell r="D598">
            <v>0</v>
          </cell>
        </row>
        <row r="599">
          <cell r="A599" t="str">
            <v>206-001-000-0000</v>
          </cell>
          <cell r="B599" t="str">
            <v>Long Term Investments</v>
          </cell>
          <cell r="C599">
            <v>2</v>
          </cell>
          <cell r="D599">
            <v>0</v>
          </cell>
        </row>
        <row r="600">
          <cell r="A600" t="str">
            <v>206-001-001-0000</v>
          </cell>
          <cell r="B600" t="str">
            <v>Long Term Investments</v>
          </cell>
          <cell r="C600">
            <v>3</v>
          </cell>
          <cell r="D600">
            <v>0</v>
          </cell>
        </row>
        <row r="601">
          <cell r="A601" t="str">
            <v>206-001-001-0001</v>
          </cell>
          <cell r="B601" t="str">
            <v>Long Term Investments</v>
          </cell>
          <cell r="C601">
            <v>4</v>
          </cell>
          <cell r="D601">
            <v>0</v>
          </cell>
        </row>
        <row r="602">
          <cell r="A602" t="str">
            <v>207-000-000-0000</v>
          </cell>
          <cell r="B602" t="str">
            <v>Long Term Loans, Deposits and Deferred Cost</v>
          </cell>
          <cell r="C602">
            <v>1</v>
          </cell>
          <cell r="D602">
            <v>0</v>
          </cell>
        </row>
        <row r="603">
          <cell r="A603" t="str">
            <v>207-001-000-0000</v>
          </cell>
          <cell r="B603" t="str">
            <v>Long Term Loans, Deposits and Deferred Cost</v>
          </cell>
          <cell r="C603">
            <v>2</v>
          </cell>
          <cell r="D603">
            <v>0</v>
          </cell>
        </row>
        <row r="604">
          <cell r="A604" t="str">
            <v>207-001-001-0000</v>
          </cell>
          <cell r="B604" t="str">
            <v>Long Term Loans</v>
          </cell>
          <cell r="C604">
            <v>3</v>
          </cell>
          <cell r="D604">
            <v>0</v>
          </cell>
        </row>
        <row r="605">
          <cell r="A605" t="str">
            <v>207-001-001-0001</v>
          </cell>
          <cell r="B605" t="str">
            <v>Loan</v>
          </cell>
          <cell r="C605">
            <v>4</v>
          </cell>
          <cell r="D605">
            <v>0</v>
          </cell>
        </row>
        <row r="606">
          <cell r="A606" t="str">
            <v>207-001-002-0000</v>
          </cell>
          <cell r="B606" t="str">
            <v>Long Term Deposits</v>
          </cell>
          <cell r="C606">
            <v>3</v>
          </cell>
          <cell r="D606">
            <v>0</v>
          </cell>
        </row>
        <row r="607">
          <cell r="A607" t="str">
            <v>207-001-002-0001</v>
          </cell>
          <cell r="B607" t="str">
            <v>Deposits</v>
          </cell>
          <cell r="C607">
            <v>4</v>
          </cell>
          <cell r="D607">
            <v>0</v>
          </cell>
        </row>
        <row r="608">
          <cell r="A608" t="str">
            <v>207-001-003-0000</v>
          </cell>
          <cell r="B608" t="str">
            <v>Deferred  Cost</v>
          </cell>
          <cell r="C608">
            <v>3</v>
          </cell>
          <cell r="D608">
            <v>0</v>
          </cell>
        </row>
        <row r="609">
          <cell r="A609" t="str">
            <v>207-001-003-0001</v>
          </cell>
          <cell r="B609" t="str">
            <v>Deferred  Cost</v>
          </cell>
          <cell r="C609">
            <v>4</v>
          </cell>
          <cell r="D609">
            <v>0</v>
          </cell>
        </row>
        <row r="610">
          <cell r="A610" t="str">
            <v>208-000-000-0000</v>
          </cell>
          <cell r="B610" t="str">
            <v>Stores, Spares and Losse Tools</v>
          </cell>
          <cell r="C610">
            <v>1</v>
          </cell>
          <cell r="D610">
            <v>0</v>
          </cell>
        </row>
        <row r="611">
          <cell r="A611" t="str">
            <v>208-001-000-0000</v>
          </cell>
          <cell r="B611" t="str">
            <v>Stores, Spares and Losse Tools</v>
          </cell>
          <cell r="C611">
            <v>2</v>
          </cell>
          <cell r="D611">
            <v>0</v>
          </cell>
        </row>
        <row r="612">
          <cell r="A612" t="str">
            <v>208-001-001-0000</v>
          </cell>
          <cell r="B612" t="str">
            <v>Stores, Spares and Losse Tools</v>
          </cell>
          <cell r="C612">
            <v>3</v>
          </cell>
          <cell r="D612">
            <v>0</v>
          </cell>
        </row>
        <row r="613">
          <cell r="A613" t="str">
            <v>208-001-001-0001</v>
          </cell>
          <cell r="B613" t="str">
            <v>Stores</v>
          </cell>
          <cell r="C613">
            <v>4</v>
          </cell>
          <cell r="D613">
            <v>0</v>
          </cell>
        </row>
        <row r="614">
          <cell r="A614" t="str">
            <v>208-001-001-0002</v>
          </cell>
          <cell r="B614" t="str">
            <v>Spares</v>
          </cell>
          <cell r="C614">
            <v>4</v>
          </cell>
          <cell r="D614">
            <v>0</v>
          </cell>
        </row>
        <row r="615">
          <cell r="A615" t="str">
            <v>208-001-001-0003</v>
          </cell>
          <cell r="B615" t="str">
            <v>Loose Tools</v>
          </cell>
          <cell r="C615">
            <v>4</v>
          </cell>
          <cell r="D615">
            <v>0</v>
          </cell>
        </row>
        <row r="616">
          <cell r="A616" t="str">
            <v>209-000-000-0000</v>
          </cell>
          <cell r="B616" t="str">
            <v>Stock in Trade</v>
          </cell>
          <cell r="C616">
            <v>1</v>
          </cell>
          <cell r="D616">
            <v>0</v>
          </cell>
        </row>
        <row r="617">
          <cell r="A617" t="str">
            <v>209-001-000-0000</v>
          </cell>
          <cell r="B617" t="str">
            <v>Stock in Trade</v>
          </cell>
          <cell r="C617">
            <v>2</v>
          </cell>
          <cell r="D617">
            <v>0</v>
          </cell>
        </row>
        <row r="618">
          <cell r="A618" t="str">
            <v>209-001-001-0000</v>
          </cell>
          <cell r="B618" t="str">
            <v>Stock in Trade</v>
          </cell>
          <cell r="C618">
            <v>3</v>
          </cell>
          <cell r="D618">
            <v>0</v>
          </cell>
        </row>
        <row r="619">
          <cell r="A619" t="str">
            <v>209-001-001-0001</v>
          </cell>
          <cell r="B619" t="str">
            <v>Raw material</v>
          </cell>
          <cell r="C619">
            <v>4</v>
          </cell>
          <cell r="D619">
            <v>0</v>
          </cell>
        </row>
        <row r="620">
          <cell r="A620" t="str">
            <v>209-001-001-0002</v>
          </cell>
          <cell r="B620" t="str">
            <v>Construction material</v>
          </cell>
          <cell r="C620">
            <v>4</v>
          </cell>
          <cell r="D620">
            <v>0</v>
          </cell>
        </row>
        <row r="621">
          <cell r="A621" t="str">
            <v>209-001-001-0003</v>
          </cell>
          <cell r="B621" t="str">
            <v>Precasting factory material</v>
          </cell>
          <cell r="C621">
            <v>4</v>
          </cell>
          <cell r="D621">
            <v>0</v>
          </cell>
        </row>
        <row r="622">
          <cell r="A622" t="str">
            <v>209-001-001-0004</v>
          </cell>
          <cell r="B622" t="str">
            <v>Work in Process</v>
          </cell>
          <cell r="C622">
            <v>4</v>
          </cell>
          <cell r="D622">
            <v>0</v>
          </cell>
        </row>
        <row r="623">
          <cell r="A623" t="str">
            <v>209-001-001-0005</v>
          </cell>
          <cell r="B623" t="str">
            <v>Finished Goods</v>
          </cell>
          <cell r="C623">
            <v>4</v>
          </cell>
          <cell r="D623">
            <v>0</v>
          </cell>
        </row>
        <row r="624">
          <cell r="A624" t="str">
            <v>210-000-000-0000</v>
          </cell>
          <cell r="B624" t="str">
            <v>Work in progress</v>
          </cell>
          <cell r="C624">
            <v>1</v>
          </cell>
          <cell r="D624">
            <v>0</v>
          </cell>
        </row>
        <row r="625">
          <cell r="A625" t="str">
            <v>210-001-000-0000</v>
          </cell>
          <cell r="B625" t="str">
            <v>Work in progress</v>
          </cell>
          <cell r="C625">
            <v>2</v>
          </cell>
          <cell r="D625">
            <v>0</v>
          </cell>
        </row>
        <row r="626">
          <cell r="A626" t="str">
            <v>210-001-001-0000</v>
          </cell>
          <cell r="B626" t="str">
            <v>Work in progress</v>
          </cell>
          <cell r="C626">
            <v>3</v>
          </cell>
          <cell r="D626">
            <v>0</v>
          </cell>
        </row>
        <row r="627">
          <cell r="A627" t="str">
            <v>210-001-001-0001</v>
          </cell>
          <cell r="B627" t="str">
            <v>Work in progress</v>
          </cell>
          <cell r="C627">
            <v>4</v>
          </cell>
          <cell r="D627">
            <v>0</v>
          </cell>
        </row>
        <row r="628">
          <cell r="A628" t="str">
            <v>211-000-000-0000</v>
          </cell>
          <cell r="B628" t="str">
            <v>Contract Receivable/Trade Debts</v>
          </cell>
          <cell r="C628">
            <v>1</v>
          </cell>
          <cell r="D628">
            <v>13124222</v>
          </cell>
        </row>
        <row r="629">
          <cell r="A629" t="str">
            <v>211-001-000-0000</v>
          </cell>
          <cell r="B629" t="str">
            <v>Contract Receivable/Trade Debts</v>
          </cell>
          <cell r="C629">
            <v>2</v>
          </cell>
          <cell r="D629">
            <v>13124222</v>
          </cell>
        </row>
        <row r="630">
          <cell r="A630" t="str">
            <v>211-001-001-0000</v>
          </cell>
          <cell r="B630" t="str">
            <v>Contract Receivable/Trade Debts</v>
          </cell>
          <cell r="C630">
            <v>3</v>
          </cell>
          <cell r="D630">
            <v>13124222</v>
          </cell>
        </row>
        <row r="631">
          <cell r="A631" t="str">
            <v>211-001-001-0001</v>
          </cell>
          <cell r="B631" t="str">
            <v>Contract Receivable from NHA Account RUADP</v>
          </cell>
          <cell r="C631">
            <v>4</v>
          </cell>
          <cell r="D631">
            <v>0</v>
          </cell>
        </row>
        <row r="632">
          <cell r="A632" t="str">
            <v>211-001-001-0002</v>
          </cell>
          <cell r="B632" t="str">
            <v>Contract Receivable from NHA PTCL</v>
          </cell>
          <cell r="C632">
            <v>4</v>
          </cell>
          <cell r="D632">
            <v>0</v>
          </cell>
        </row>
        <row r="633">
          <cell r="A633" t="str">
            <v>211-001-001-0003</v>
          </cell>
          <cell r="B633" t="str">
            <v>Contract Receivable from NHA Cantt Board Project</v>
          </cell>
          <cell r="C633">
            <v>4</v>
          </cell>
          <cell r="D633">
            <v>0</v>
          </cell>
        </row>
        <row r="634">
          <cell r="A634" t="str">
            <v>211-001-001-0004</v>
          </cell>
          <cell r="B634" t="str">
            <v>Contract Receivable from NHA Service Road M-2</v>
          </cell>
          <cell r="C634">
            <v>4</v>
          </cell>
          <cell r="D634">
            <v>0</v>
          </cell>
        </row>
        <row r="635">
          <cell r="A635" t="str">
            <v>211-001-001-0005</v>
          </cell>
          <cell r="B635" t="str">
            <v>Contract Receivable from NHA Cantt Board Prj (FAA)</v>
          </cell>
          <cell r="C635">
            <v>4</v>
          </cell>
          <cell r="D635">
            <v>0</v>
          </cell>
        </row>
        <row r="636">
          <cell r="A636" t="str">
            <v>211-001-001-0006</v>
          </cell>
          <cell r="B636" t="str">
            <v>Contract Receivable from Dina Driving School</v>
          </cell>
          <cell r="C636">
            <v>4</v>
          </cell>
          <cell r="D636">
            <v>0</v>
          </cell>
        </row>
        <row r="637">
          <cell r="A637" t="str">
            <v>211-001-001-0007</v>
          </cell>
          <cell r="B637" t="str">
            <v>Contract Receivable from OTC CMH</v>
          </cell>
          <cell r="C637">
            <v>4</v>
          </cell>
          <cell r="D637">
            <v>13124222</v>
          </cell>
        </row>
        <row r="638">
          <cell r="A638" t="str">
            <v>212-000-000-0000</v>
          </cell>
          <cell r="B638" t="str">
            <v>Loans, Advances, Deposits, Prepayments and other R</v>
          </cell>
          <cell r="C638">
            <v>1</v>
          </cell>
          <cell r="D638">
            <v>2932381</v>
          </cell>
        </row>
        <row r="639">
          <cell r="A639" t="str">
            <v>212-001-000-0000</v>
          </cell>
          <cell r="B639" t="str">
            <v>Loans</v>
          </cell>
          <cell r="C639">
            <v>2</v>
          </cell>
          <cell r="D639">
            <v>0</v>
          </cell>
        </row>
        <row r="640">
          <cell r="A640" t="str">
            <v>212-001-001-0000</v>
          </cell>
          <cell r="B640" t="str">
            <v>Loans to Associated Projects</v>
          </cell>
          <cell r="C640">
            <v>3</v>
          </cell>
          <cell r="D640">
            <v>0</v>
          </cell>
        </row>
        <row r="641">
          <cell r="A641" t="str">
            <v>212-001-001-0001</v>
          </cell>
          <cell r="B641" t="str">
            <v>Local Loans RUADP</v>
          </cell>
          <cell r="C641">
            <v>4</v>
          </cell>
          <cell r="D641">
            <v>0</v>
          </cell>
        </row>
        <row r="642">
          <cell r="A642" t="str">
            <v>212-001-001-0002</v>
          </cell>
          <cell r="B642" t="str">
            <v>Local Loans PTCL Project</v>
          </cell>
          <cell r="C642">
            <v>4</v>
          </cell>
          <cell r="D642">
            <v>0</v>
          </cell>
        </row>
        <row r="643">
          <cell r="A643" t="str">
            <v>212-001-001-0003</v>
          </cell>
          <cell r="B643" t="str">
            <v>Local Loan Cantt Board Projects</v>
          </cell>
          <cell r="C643">
            <v>4</v>
          </cell>
          <cell r="D643">
            <v>0</v>
          </cell>
        </row>
        <row r="644">
          <cell r="A644" t="str">
            <v>212-001-001-0004</v>
          </cell>
          <cell r="B644" t="str">
            <v>Local Loan Service Road M-2</v>
          </cell>
          <cell r="C644">
            <v>4</v>
          </cell>
          <cell r="D644">
            <v>0</v>
          </cell>
        </row>
        <row r="645">
          <cell r="A645" t="str">
            <v>212-001-001-0005</v>
          </cell>
          <cell r="B645" t="str">
            <v>Local Loan Cantt Board Projects (FAA)</v>
          </cell>
          <cell r="C645">
            <v>4</v>
          </cell>
          <cell r="D645">
            <v>0</v>
          </cell>
        </row>
        <row r="646">
          <cell r="A646" t="str">
            <v>212-001-001-0006</v>
          </cell>
          <cell r="B646" t="str">
            <v>Local Loan to Proj Con KRAC</v>
          </cell>
          <cell r="C646">
            <v>4</v>
          </cell>
          <cell r="D646">
            <v>0</v>
          </cell>
        </row>
        <row r="647">
          <cell r="A647" t="str">
            <v>212-001-001-0007</v>
          </cell>
          <cell r="B647" t="str">
            <v>Local Loan to Proj Con MDA(AK)</v>
          </cell>
          <cell r="C647">
            <v>4</v>
          </cell>
          <cell r="D647">
            <v>0</v>
          </cell>
        </row>
        <row r="648">
          <cell r="A648" t="str">
            <v>212-001-001-0008</v>
          </cell>
          <cell r="B648" t="str">
            <v>Local Loan to Proj Con Driving Trac Dina NLC</v>
          </cell>
          <cell r="C648">
            <v>4</v>
          </cell>
          <cell r="D648">
            <v>0</v>
          </cell>
        </row>
        <row r="649">
          <cell r="A649" t="str">
            <v>212-001-001-9001</v>
          </cell>
          <cell r="B649" t="str">
            <v>Sawan camp</v>
          </cell>
          <cell r="C649">
            <v>4</v>
          </cell>
          <cell r="D649">
            <v>0</v>
          </cell>
        </row>
        <row r="650">
          <cell r="A650" t="str">
            <v>212-001-002-0000</v>
          </cell>
          <cell r="B650" t="str">
            <v>Loan To Army Officers</v>
          </cell>
          <cell r="C650">
            <v>3</v>
          </cell>
          <cell r="D650">
            <v>0</v>
          </cell>
        </row>
        <row r="651">
          <cell r="A651" t="str">
            <v>212-001-002-0001</v>
          </cell>
          <cell r="B651" t="str">
            <v>Loan To Army Officers</v>
          </cell>
          <cell r="C651">
            <v>4</v>
          </cell>
          <cell r="D651">
            <v>0</v>
          </cell>
        </row>
        <row r="652">
          <cell r="A652" t="str">
            <v>212-001-003-0000</v>
          </cell>
          <cell r="B652" t="str">
            <v>Loan to Civil Staff</v>
          </cell>
          <cell r="C652">
            <v>3</v>
          </cell>
          <cell r="D652">
            <v>0</v>
          </cell>
        </row>
        <row r="653">
          <cell r="A653" t="str">
            <v>212-001-003-0001</v>
          </cell>
          <cell r="B653" t="str">
            <v>Civilian Staff</v>
          </cell>
          <cell r="C653">
            <v>4</v>
          </cell>
          <cell r="D653">
            <v>0</v>
          </cell>
        </row>
        <row r="654">
          <cell r="A654" t="str">
            <v>212-001-004-0000</v>
          </cell>
          <cell r="B654" t="str">
            <v>Loan to JCOs' staff</v>
          </cell>
          <cell r="C654">
            <v>3</v>
          </cell>
          <cell r="D654">
            <v>0</v>
          </cell>
        </row>
        <row r="655">
          <cell r="A655" t="str">
            <v>212-001-004-0001</v>
          </cell>
          <cell r="B655" t="str">
            <v>Loan To JCO's Staff</v>
          </cell>
          <cell r="C655">
            <v>4</v>
          </cell>
          <cell r="D655">
            <v>0</v>
          </cell>
        </row>
        <row r="656">
          <cell r="A656" t="str">
            <v>212-002-000-0000</v>
          </cell>
          <cell r="B656" t="str">
            <v>Advance to Employees against Salaries</v>
          </cell>
          <cell r="C656">
            <v>2</v>
          </cell>
          <cell r="D656">
            <v>0</v>
          </cell>
        </row>
        <row r="657">
          <cell r="A657" t="str">
            <v>212-002-001-0000</v>
          </cell>
          <cell r="B657" t="str">
            <v>Advance to Army Officers</v>
          </cell>
          <cell r="C657">
            <v>3</v>
          </cell>
          <cell r="D657">
            <v>0</v>
          </cell>
        </row>
        <row r="658">
          <cell r="A658" t="str">
            <v>212-002-001-0001</v>
          </cell>
          <cell r="B658" t="str">
            <v>Army Officers</v>
          </cell>
          <cell r="C658">
            <v>4</v>
          </cell>
          <cell r="D658">
            <v>0</v>
          </cell>
        </row>
        <row r="659">
          <cell r="A659" t="str">
            <v>212-002-002-0000</v>
          </cell>
          <cell r="B659" t="str">
            <v>Advance to Civil staff</v>
          </cell>
          <cell r="C659">
            <v>3</v>
          </cell>
          <cell r="D659">
            <v>0</v>
          </cell>
        </row>
        <row r="660">
          <cell r="A660" t="str">
            <v>212-002-002-0001</v>
          </cell>
          <cell r="B660" t="str">
            <v>Civil staff</v>
          </cell>
          <cell r="C660">
            <v>4</v>
          </cell>
          <cell r="D660">
            <v>0</v>
          </cell>
        </row>
        <row r="661">
          <cell r="A661" t="str">
            <v>212-002-003-0000</v>
          </cell>
          <cell r="B661" t="str">
            <v>Advance to JCOs' Staff</v>
          </cell>
          <cell r="C661">
            <v>3</v>
          </cell>
          <cell r="D661">
            <v>0</v>
          </cell>
        </row>
        <row r="662">
          <cell r="A662" t="str">
            <v>212-003-000-0000</v>
          </cell>
          <cell r="B662" t="str">
            <v>Advance to Employees against Expenses</v>
          </cell>
          <cell r="C662">
            <v>2</v>
          </cell>
          <cell r="D662">
            <v>0</v>
          </cell>
        </row>
        <row r="663">
          <cell r="A663" t="str">
            <v>212-003-001-0000</v>
          </cell>
          <cell r="B663" t="str">
            <v>Advance to Army Officers</v>
          </cell>
          <cell r="C663">
            <v>3</v>
          </cell>
          <cell r="D663">
            <v>0</v>
          </cell>
        </row>
        <row r="664">
          <cell r="A664" t="str">
            <v>212-003-001-0001</v>
          </cell>
          <cell r="B664" t="str">
            <v>Advance To Army Officers</v>
          </cell>
          <cell r="C664">
            <v>4</v>
          </cell>
          <cell r="D664">
            <v>0</v>
          </cell>
        </row>
        <row r="665">
          <cell r="A665" t="str">
            <v>212-003-002-0000</v>
          </cell>
          <cell r="B665" t="str">
            <v>Advance to Civil staff</v>
          </cell>
          <cell r="C665">
            <v>3</v>
          </cell>
          <cell r="D665">
            <v>0</v>
          </cell>
        </row>
        <row r="666">
          <cell r="A666" t="str">
            <v>212-003-003-0000</v>
          </cell>
          <cell r="B666" t="str">
            <v>Advance to JCOs' Staff</v>
          </cell>
          <cell r="C666">
            <v>3</v>
          </cell>
          <cell r="D666">
            <v>0</v>
          </cell>
        </row>
        <row r="667">
          <cell r="A667" t="str">
            <v>212-004-000-0000</v>
          </cell>
          <cell r="B667" t="str">
            <v>Advance to Associated Projects</v>
          </cell>
          <cell r="C667">
            <v>2</v>
          </cell>
          <cell r="D667">
            <v>0</v>
          </cell>
        </row>
        <row r="668">
          <cell r="A668" t="str">
            <v>212-004-001-0000</v>
          </cell>
          <cell r="B668" t="str">
            <v>Advance to Associated Projects</v>
          </cell>
          <cell r="C668">
            <v>3</v>
          </cell>
          <cell r="D668">
            <v>0</v>
          </cell>
        </row>
        <row r="669">
          <cell r="A669" t="str">
            <v>212-005-000-0000</v>
          </cell>
          <cell r="B669" t="str">
            <v>Advance to Contractors</v>
          </cell>
          <cell r="C669">
            <v>2</v>
          </cell>
          <cell r="D669">
            <v>0</v>
          </cell>
        </row>
        <row r="670">
          <cell r="A670" t="str">
            <v>212-005-001-0000</v>
          </cell>
          <cell r="B670" t="str">
            <v>Advance to Contractors</v>
          </cell>
          <cell r="C670">
            <v>3</v>
          </cell>
          <cell r="D670">
            <v>0</v>
          </cell>
        </row>
        <row r="671">
          <cell r="A671" t="str">
            <v>212-005-001-0001</v>
          </cell>
          <cell r="B671" t="str">
            <v>Advance to Contractors</v>
          </cell>
          <cell r="C671">
            <v>4</v>
          </cell>
          <cell r="D671">
            <v>0</v>
          </cell>
        </row>
        <row r="672">
          <cell r="A672" t="str">
            <v>212-006-000-0000</v>
          </cell>
          <cell r="B672" t="str">
            <v>Moblization Advances</v>
          </cell>
          <cell r="C672">
            <v>2</v>
          </cell>
          <cell r="D672">
            <v>0</v>
          </cell>
        </row>
        <row r="673">
          <cell r="A673" t="str">
            <v>212-006-001-0000</v>
          </cell>
          <cell r="B673" t="str">
            <v>Moblization Advances</v>
          </cell>
          <cell r="C673">
            <v>3</v>
          </cell>
          <cell r="D673">
            <v>0</v>
          </cell>
        </row>
        <row r="674">
          <cell r="A674" t="str">
            <v>212-006-001-0001</v>
          </cell>
          <cell r="B674" t="str">
            <v>Moblization Advances NHA</v>
          </cell>
          <cell r="C674">
            <v>4</v>
          </cell>
          <cell r="D674">
            <v>0</v>
          </cell>
        </row>
        <row r="675">
          <cell r="A675" t="str">
            <v>212-006-001-0002</v>
          </cell>
          <cell r="B675" t="str">
            <v>Moblization Advances GHQ</v>
          </cell>
          <cell r="C675">
            <v>4</v>
          </cell>
          <cell r="D675">
            <v>0</v>
          </cell>
        </row>
        <row r="676">
          <cell r="A676" t="str">
            <v>212-006-002-0000</v>
          </cell>
          <cell r="B676" t="str">
            <v>Advance for Legal Charges</v>
          </cell>
          <cell r="C676">
            <v>3</v>
          </cell>
          <cell r="D676">
            <v>0</v>
          </cell>
        </row>
        <row r="677">
          <cell r="A677" t="str">
            <v>212-006-002-0001</v>
          </cell>
          <cell r="B677" t="str">
            <v>Advance for Legal Charges</v>
          </cell>
          <cell r="C677">
            <v>4</v>
          </cell>
          <cell r="D677">
            <v>0</v>
          </cell>
        </row>
        <row r="678">
          <cell r="A678" t="str">
            <v>212-007-000-0000</v>
          </cell>
          <cell r="B678" t="str">
            <v>Deposits</v>
          </cell>
          <cell r="C678">
            <v>2</v>
          </cell>
          <cell r="D678">
            <v>0</v>
          </cell>
        </row>
        <row r="679">
          <cell r="A679" t="str">
            <v>212-007-001-0000</v>
          </cell>
          <cell r="B679" t="str">
            <v>Deposits - Utilities</v>
          </cell>
          <cell r="C679">
            <v>3</v>
          </cell>
          <cell r="D679">
            <v>0</v>
          </cell>
        </row>
        <row r="680">
          <cell r="A680" t="str">
            <v>212-007-001-0001</v>
          </cell>
          <cell r="B680" t="str">
            <v>Telephone Security Deposits</v>
          </cell>
          <cell r="C680">
            <v>4</v>
          </cell>
          <cell r="D680">
            <v>0</v>
          </cell>
        </row>
        <row r="681">
          <cell r="A681" t="str">
            <v>212-007-001-0002</v>
          </cell>
          <cell r="B681" t="str">
            <v>Electricity Security Deposits</v>
          </cell>
          <cell r="C681">
            <v>4</v>
          </cell>
          <cell r="D681">
            <v>0</v>
          </cell>
        </row>
        <row r="682">
          <cell r="A682" t="str">
            <v>212-007-001-0003</v>
          </cell>
          <cell r="B682" t="str">
            <v>Mobilephone Security Deposits</v>
          </cell>
          <cell r="C682">
            <v>4</v>
          </cell>
          <cell r="D682">
            <v>0</v>
          </cell>
        </row>
        <row r="683">
          <cell r="A683" t="str">
            <v>212-007-001-0004</v>
          </cell>
          <cell r="B683" t="str">
            <v>Sui Gas Security Deposits</v>
          </cell>
          <cell r="C683">
            <v>4</v>
          </cell>
          <cell r="D683">
            <v>0</v>
          </cell>
        </row>
        <row r="684">
          <cell r="A684" t="str">
            <v>212-007-002-0000</v>
          </cell>
          <cell r="B684" t="str">
            <v>Security Deposit to Clints</v>
          </cell>
          <cell r="C684">
            <v>3</v>
          </cell>
          <cell r="D684">
            <v>0</v>
          </cell>
        </row>
        <row r="685">
          <cell r="A685" t="str">
            <v>212-008-000-0000</v>
          </cell>
          <cell r="B685" t="str">
            <v>Prepayments</v>
          </cell>
          <cell r="C685">
            <v>2</v>
          </cell>
          <cell r="D685">
            <v>1881000</v>
          </cell>
        </row>
        <row r="686">
          <cell r="A686" t="str">
            <v>212-008-001-0000</v>
          </cell>
          <cell r="B686" t="str">
            <v>Income Tax Deducted at Soruce</v>
          </cell>
          <cell r="C686">
            <v>3</v>
          </cell>
          <cell r="D686">
            <v>0</v>
          </cell>
        </row>
        <row r="687">
          <cell r="A687" t="str">
            <v>212-008-002-0000</v>
          </cell>
          <cell r="B687" t="str">
            <v>Letter of Credits</v>
          </cell>
          <cell r="C687">
            <v>3</v>
          </cell>
          <cell r="D687">
            <v>0</v>
          </cell>
        </row>
        <row r="688">
          <cell r="A688" t="str">
            <v>212-008-003-0000</v>
          </cell>
          <cell r="B688" t="str">
            <v>Bank Guarantee</v>
          </cell>
          <cell r="C688">
            <v>3</v>
          </cell>
          <cell r="D688">
            <v>0</v>
          </cell>
        </row>
        <row r="689">
          <cell r="A689" t="str">
            <v>212-008-004-0000</v>
          </cell>
          <cell r="B689" t="str">
            <v>Retention Money Receivable</v>
          </cell>
          <cell r="C689">
            <v>3</v>
          </cell>
          <cell r="D689">
            <v>1881000</v>
          </cell>
        </row>
        <row r="690">
          <cell r="A690" t="str">
            <v>212-008-004-0001</v>
          </cell>
          <cell r="B690" t="str">
            <v>Retention Money with NHA</v>
          </cell>
          <cell r="C690">
            <v>4</v>
          </cell>
          <cell r="D690">
            <v>0</v>
          </cell>
        </row>
        <row r="691">
          <cell r="A691" t="str">
            <v>212-008-004-0002</v>
          </cell>
          <cell r="B691" t="str">
            <v>Retention Money with PTCL</v>
          </cell>
          <cell r="C691">
            <v>4</v>
          </cell>
          <cell r="D691">
            <v>0</v>
          </cell>
        </row>
        <row r="692">
          <cell r="A692" t="str">
            <v>212-008-004-0003</v>
          </cell>
          <cell r="B692" t="str">
            <v>Retention Money with CBR</v>
          </cell>
          <cell r="C692">
            <v>4</v>
          </cell>
          <cell r="D692">
            <v>0</v>
          </cell>
        </row>
        <row r="693">
          <cell r="A693" t="str">
            <v>212-008-004-0004</v>
          </cell>
          <cell r="B693" t="str">
            <v>Retention Money with SVC Rd M-2</v>
          </cell>
          <cell r="C693">
            <v>4</v>
          </cell>
          <cell r="D693">
            <v>0</v>
          </cell>
        </row>
        <row r="694">
          <cell r="A694" t="str">
            <v>212-008-004-0005</v>
          </cell>
          <cell r="B694" t="str">
            <v>Retention Money with CBR ( FAA )</v>
          </cell>
          <cell r="C694">
            <v>4</v>
          </cell>
          <cell r="D694">
            <v>0</v>
          </cell>
        </row>
        <row r="695">
          <cell r="A695" t="str">
            <v>212-008-004-0007</v>
          </cell>
          <cell r="B695" t="str">
            <v>Retention Money with OTC CMH</v>
          </cell>
          <cell r="C695">
            <v>4</v>
          </cell>
          <cell r="D695">
            <v>1881000</v>
          </cell>
        </row>
        <row r="696">
          <cell r="A696" t="str">
            <v>212-009-000-0000</v>
          </cell>
          <cell r="B696" t="str">
            <v>Other Receivables</v>
          </cell>
          <cell r="C696">
            <v>2</v>
          </cell>
          <cell r="D696">
            <v>0</v>
          </cell>
        </row>
        <row r="697">
          <cell r="A697" t="str">
            <v>212-009-001-0000</v>
          </cell>
          <cell r="B697" t="str">
            <v>Other Receivables</v>
          </cell>
          <cell r="C697">
            <v>3</v>
          </cell>
          <cell r="D697">
            <v>0</v>
          </cell>
        </row>
        <row r="698">
          <cell r="A698" t="str">
            <v>212-009-001-0001</v>
          </cell>
          <cell r="B698" t="str">
            <v>Other Receivables</v>
          </cell>
          <cell r="C698">
            <v>4</v>
          </cell>
          <cell r="D698">
            <v>0</v>
          </cell>
        </row>
        <row r="699">
          <cell r="A699" t="str">
            <v>212-009-001-0002</v>
          </cell>
          <cell r="B699" t="str">
            <v>Profit from Bank Receivable</v>
          </cell>
          <cell r="C699">
            <v>4</v>
          </cell>
          <cell r="D699">
            <v>0</v>
          </cell>
        </row>
        <row r="700">
          <cell r="A700" t="str">
            <v>212-009-001-0003</v>
          </cell>
          <cell r="B700" t="str">
            <v>Hiring Receipts Receivable</v>
          </cell>
          <cell r="C700">
            <v>4</v>
          </cell>
          <cell r="D700">
            <v>0</v>
          </cell>
        </row>
        <row r="701">
          <cell r="A701" t="str">
            <v>212-010-000-0000</v>
          </cell>
          <cell r="B701" t="str">
            <v>Short Term Investment</v>
          </cell>
          <cell r="C701">
            <v>2</v>
          </cell>
          <cell r="D701">
            <v>0</v>
          </cell>
        </row>
        <row r="702">
          <cell r="A702" t="str">
            <v>212-010-001-0000</v>
          </cell>
          <cell r="B702" t="str">
            <v>Short Term Investment</v>
          </cell>
          <cell r="C702">
            <v>3</v>
          </cell>
          <cell r="D702">
            <v>0</v>
          </cell>
        </row>
        <row r="703">
          <cell r="A703" t="str">
            <v>212-011-000-0000</v>
          </cell>
          <cell r="B703" t="str">
            <v>Cash and Bank Balances</v>
          </cell>
          <cell r="C703">
            <v>2</v>
          </cell>
          <cell r="D703">
            <v>1051381</v>
          </cell>
        </row>
        <row r="704">
          <cell r="A704" t="str">
            <v>212-011-001-0000</v>
          </cell>
          <cell r="B704" t="str">
            <v>Cash at Bank in PLS Accounts</v>
          </cell>
          <cell r="C704">
            <v>3</v>
          </cell>
          <cell r="D704">
            <v>1051381</v>
          </cell>
        </row>
        <row r="705">
          <cell r="A705" t="str">
            <v>212-011-001-1001</v>
          </cell>
          <cell r="B705" t="str">
            <v>National Bank of Pakistan RUADP</v>
          </cell>
          <cell r="C705">
            <v>4</v>
          </cell>
          <cell r="D705">
            <v>0</v>
          </cell>
        </row>
        <row r="706">
          <cell r="A706" t="str">
            <v>212-011-001-1002</v>
          </cell>
          <cell r="B706" t="str">
            <v>NBP#005797-5 PTCL Project</v>
          </cell>
          <cell r="C706">
            <v>4</v>
          </cell>
          <cell r="D706">
            <v>0</v>
          </cell>
        </row>
        <row r="707">
          <cell r="A707" t="str">
            <v>212-011-001-1003</v>
          </cell>
          <cell r="B707" t="str">
            <v>National Bank of Pakistan Cantt Board Rds</v>
          </cell>
          <cell r="C707">
            <v>4</v>
          </cell>
          <cell r="D707">
            <v>0</v>
          </cell>
        </row>
        <row r="708">
          <cell r="A708" t="str">
            <v>212-011-001-1004</v>
          </cell>
          <cell r="B708" t="str">
            <v>National Bank of Pakistan Svc Rd M-2</v>
          </cell>
          <cell r="C708">
            <v>4</v>
          </cell>
          <cell r="D708">
            <v>0</v>
          </cell>
        </row>
        <row r="709">
          <cell r="A709" t="str">
            <v>212-011-001-1005</v>
          </cell>
          <cell r="B709" t="str">
            <v>National Bank of Pakistan Cantt Board (FAA)</v>
          </cell>
          <cell r="C709">
            <v>4</v>
          </cell>
          <cell r="D709">
            <v>0</v>
          </cell>
        </row>
        <row r="710">
          <cell r="A710" t="str">
            <v>212-011-001-1006</v>
          </cell>
          <cell r="B710" t="str">
            <v>National Bank of Pakistan Dina Track</v>
          </cell>
          <cell r="C710">
            <v>4</v>
          </cell>
          <cell r="D710">
            <v>0</v>
          </cell>
        </row>
        <row r="711">
          <cell r="A711" t="str">
            <v>212-011-001-1007</v>
          </cell>
          <cell r="B711" t="str">
            <v>National Bank of Pakistan OT Complex</v>
          </cell>
          <cell r="C711">
            <v>4</v>
          </cell>
          <cell r="D711">
            <v>1051381</v>
          </cell>
        </row>
        <row r="712">
          <cell r="A712" t="str">
            <v>212-011-002-0000</v>
          </cell>
          <cell r="B712" t="str">
            <v>Cash at bank in saving accounts 1</v>
          </cell>
          <cell r="C712">
            <v>3</v>
          </cell>
          <cell r="D712">
            <v>0</v>
          </cell>
        </row>
        <row r="713">
          <cell r="A713" t="str">
            <v>212-011-002-1001</v>
          </cell>
          <cell r="B713" t="str">
            <v>Askari Commercial Bank RUADP</v>
          </cell>
          <cell r="C713">
            <v>4</v>
          </cell>
          <cell r="D713">
            <v>0</v>
          </cell>
        </row>
        <row r="714">
          <cell r="A714" t="str">
            <v>212-011-002-1002</v>
          </cell>
          <cell r="B714" t="str">
            <v>Askari Commercial Bank PTCL</v>
          </cell>
          <cell r="C714">
            <v>4</v>
          </cell>
          <cell r="D714">
            <v>0</v>
          </cell>
        </row>
        <row r="715">
          <cell r="A715" t="str">
            <v>212-011-002-1003</v>
          </cell>
          <cell r="B715" t="str">
            <v>Askari Commercial Bank CBR Project</v>
          </cell>
          <cell r="C715">
            <v>4</v>
          </cell>
          <cell r="D715">
            <v>0</v>
          </cell>
        </row>
        <row r="716">
          <cell r="A716" t="str">
            <v>212-011-002-1004</v>
          </cell>
          <cell r="B716" t="str">
            <v>Askari Commercial Bank SVC RD M-2</v>
          </cell>
          <cell r="C716">
            <v>4</v>
          </cell>
          <cell r="D716">
            <v>0</v>
          </cell>
        </row>
        <row r="717">
          <cell r="A717" t="str">
            <v>212-011-002-1005</v>
          </cell>
          <cell r="B717" t="str">
            <v>Askari Commercial Bank CBR (FAA)</v>
          </cell>
          <cell r="C717">
            <v>4</v>
          </cell>
          <cell r="D717">
            <v>0</v>
          </cell>
        </row>
        <row r="718">
          <cell r="A718" t="str">
            <v>212-011-002-1006</v>
          </cell>
          <cell r="B718" t="str">
            <v>Askari Commercial Bank ARMR</v>
          </cell>
          <cell r="C718">
            <v>4</v>
          </cell>
          <cell r="D718">
            <v>0</v>
          </cell>
        </row>
        <row r="719">
          <cell r="A719" t="str">
            <v>212-011-003-0000</v>
          </cell>
          <cell r="B719" t="str">
            <v>Cash at bank in saving accounts 2</v>
          </cell>
          <cell r="C719">
            <v>3</v>
          </cell>
          <cell r="D719">
            <v>0</v>
          </cell>
        </row>
        <row r="720">
          <cell r="A720" t="str">
            <v>212-011-003-1001</v>
          </cell>
          <cell r="B720" t="str">
            <v>United bank Ltd RUADP</v>
          </cell>
          <cell r="C720">
            <v>4</v>
          </cell>
          <cell r="D720">
            <v>0</v>
          </cell>
        </row>
        <row r="721">
          <cell r="A721" t="str">
            <v>212-011-003-1002</v>
          </cell>
          <cell r="B721" t="str">
            <v>United bank Ltd PTCL Project</v>
          </cell>
          <cell r="C721">
            <v>4</v>
          </cell>
          <cell r="D721">
            <v>0</v>
          </cell>
        </row>
        <row r="722">
          <cell r="A722" t="str">
            <v>212-011-003-1003</v>
          </cell>
          <cell r="B722" t="str">
            <v>United bank Ltd Cantt Board Rds Project</v>
          </cell>
          <cell r="C722">
            <v>4</v>
          </cell>
          <cell r="D722">
            <v>0</v>
          </cell>
        </row>
        <row r="723">
          <cell r="A723" t="str">
            <v>212-011-003-1004</v>
          </cell>
          <cell r="B723" t="str">
            <v>United bank Ltd Service Road M-2</v>
          </cell>
          <cell r="C723">
            <v>4</v>
          </cell>
          <cell r="D723">
            <v>0</v>
          </cell>
        </row>
        <row r="724">
          <cell r="A724" t="str">
            <v>212-011-004-0000</v>
          </cell>
          <cell r="B724" t="str">
            <v>Cash at bank in term deposits accounts</v>
          </cell>
          <cell r="C724">
            <v>3</v>
          </cell>
          <cell r="D724">
            <v>0</v>
          </cell>
        </row>
        <row r="725">
          <cell r="A725" t="str">
            <v>212-012-000-0000</v>
          </cell>
          <cell r="B725" t="str">
            <v>Cash in hand</v>
          </cell>
          <cell r="C725">
            <v>2</v>
          </cell>
          <cell r="D725">
            <v>0</v>
          </cell>
        </row>
        <row r="726">
          <cell r="A726" t="str">
            <v>212-012-001-0000</v>
          </cell>
          <cell r="B726" t="str">
            <v>Cash Account (PLS)</v>
          </cell>
          <cell r="C726">
            <v>3</v>
          </cell>
          <cell r="D726">
            <v>0</v>
          </cell>
        </row>
        <row r="727">
          <cell r="A727" t="str">
            <v>212-012-001-1001</v>
          </cell>
          <cell r="B727" t="str">
            <v>Cash account (NBP)RUADP</v>
          </cell>
          <cell r="C727">
            <v>4</v>
          </cell>
          <cell r="D727">
            <v>0</v>
          </cell>
        </row>
        <row r="728">
          <cell r="A728" t="str">
            <v>212-012-001-1002</v>
          </cell>
          <cell r="B728" t="str">
            <v>Cash account (NBP) PTCL Project</v>
          </cell>
          <cell r="C728">
            <v>4</v>
          </cell>
          <cell r="D728">
            <v>0</v>
          </cell>
        </row>
        <row r="729">
          <cell r="A729" t="str">
            <v>212-012-001-1003</v>
          </cell>
          <cell r="B729" t="str">
            <v>Cash account (NBP) Cantt Board Rds</v>
          </cell>
          <cell r="C729">
            <v>4</v>
          </cell>
          <cell r="D729">
            <v>0</v>
          </cell>
        </row>
        <row r="730">
          <cell r="A730" t="str">
            <v>212-012-001-1004</v>
          </cell>
          <cell r="B730" t="str">
            <v>Cash account (NBP) Svc Rd M-2</v>
          </cell>
          <cell r="C730">
            <v>4</v>
          </cell>
          <cell r="D730">
            <v>0</v>
          </cell>
        </row>
        <row r="731">
          <cell r="A731" t="str">
            <v>212-012-001-1005</v>
          </cell>
          <cell r="B731" t="str">
            <v>Cash account (NBP)Cantt Board (FAA)</v>
          </cell>
          <cell r="C731">
            <v>4</v>
          </cell>
          <cell r="D731">
            <v>0</v>
          </cell>
        </row>
        <row r="732">
          <cell r="A732" t="str">
            <v>212-012-001-1006</v>
          </cell>
          <cell r="B732" t="str">
            <v>Cash Account NBP Dina Track</v>
          </cell>
          <cell r="C732">
            <v>4</v>
          </cell>
          <cell r="D732">
            <v>0</v>
          </cell>
        </row>
        <row r="733">
          <cell r="A733" t="str">
            <v>212-012-001-1007</v>
          </cell>
          <cell r="B733" t="str">
            <v>Cash Account NBP OT Complex</v>
          </cell>
          <cell r="C733">
            <v>4</v>
          </cell>
          <cell r="D733">
            <v>0</v>
          </cell>
        </row>
        <row r="734">
          <cell r="A734" t="str">
            <v>212-012-002-1001</v>
          </cell>
          <cell r="B734" t="str">
            <v>Cash account (ACB)RUADP</v>
          </cell>
          <cell r="C734">
            <v>4</v>
          </cell>
          <cell r="D734">
            <v>0</v>
          </cell>
        </row>
        <row r="735">
          <cell r="A735" t="str">
            <v>212-012-002-1002</v>
          </cell>
          <cell r="B735" t="str">
            <v>Cash account (ACB)PTCL</v>
          </cell>
          <cell r="C735">
            <v>4</v>
          </cell>
          <cell r="D735">
            <v>0</v>
          </cell>
        </row>
        <row r="736">
          <cell r="A736" t="str">
            <v>212-012-002-1003</v>
          </cell>
          <cell r="B736" t="str">
            <v>Cash Account (ACB)CBR project</v>
          </cell>
          <cell r="C736">
            <v>4</v>
          </cell>
          <cell r="D736">
            <v>0</v>
          </cell>
        </row>
        <row r="737">
          <cell r="A737" t="str">
            <v>212-012-002-1004</v>
          </cell>
          <cell r="B737" t="str">
            <v>Cash Account (ACB) SVC RD M-2</v>
          </cell>
          <cell r="C737">
            <v>4</v>
          </cell>
          <cell r="D737">
            <v>0</v>
          </cell>
        </row>
        <row r="738">
          <cell r="A738" t="str">
            <v>212-012-002-1005</v>
          </cell>
          <cell r="B738" t="str">
            <v>Cash Account (ACB) CBR (FAA)</v>
          </cell>
          <cell r="C738">
            <v>4</v>
          </cell>
          <cell r="D738">
            <v>0</v>
          </cell>
        </row>
        <row r="739">
          <cell r="A739" t="str">
            <v>212-012-002-1006</v>
          </cell>
          <cell r="B739" t="str">
            <v>Cash Acct ACB ARMR</v>
          </cell>
          <cell r="C739">
            <v>4</v>
          </cell>
          <cell r="D739">
            <v>0</v>
          </cell>
        </row>
        <row r="740">
          <cell r="A740" t="str">
            <v>212-012-003-1001</v>
          </cell>
          <cell r="B740" t="str">
            <v>Cash account (UBL)RUADP</v>
          </cell>
          <cell r="C740">
            <v>4</v>
          </cell>
          <cell r="D740">
            <v>0</v>
          </cell>
        </row>
        <row r="741">
          <cell r="A741" t="str">
            <v>212-012-003-1002</v>
          </cell>
          <cell r="B741" t="str">
            <v>Cash account (UBL)PTCL</v>
          </cell>
          <cell r="C741">
            <v>4</v>
          </cell>
          <cell r="D741">
            <v>0</v>
          </cell>
        </row>
        <row r="742">
          <cell r="A742" t="str">
            <v>212-012-003-1003</v>
          </cell>
          <cell r="B742" t="str">
            <v>Cash account (UBL)Cantt Board Rds</v>
          </cell>
          <cell r="C742">
            <v>4</v>
          </cell>
          <cell r="D742">
            <v>0</v>
          </cell>
        </row>
        <row r="743">
          <cell r="A743" t="str">
            <v>212-012-003-1004</v>
          </cell>
          <cell r="B743" t="str">
            <v>Cash account (UBL)Service Road M-2</v>
          </cell>
          <cell r="C743">
            <v>4</v>
          </cell>
          <cell r="D743">
            <v>0</v>
          </cell>
        </row>
        <row r="744">
          <cell r="A744" t="str">
            <v>212-012-003-1005</v>
          </cell>
          <cell r="B744" t="str">
            <v>Cash account (UBL)Cantt Board (FAA)</v>
          </cell>
          <cell r="C744">
            <v>4</v>
          </cell>
          <cell r="D744">
            <v>0</v>
          </cell>
        </row>
        <row r="745">
          <cell r="A745" t="str">
            <v>212-013-000-0000</v>
          </cell>
          <cell r="B745" t="str">
            <v>Cash in Transit</v>
          </cell>
          <cell r="C745">
            <v>2</v>
          </cell>
          <cell r="D745">
            <v>0</v>
          </cell>
        </row>
        <row r="746">
          <cell r="A746" t="str">
            <v>212-013-001-0000</v>
          </cell>
          <cell r="B746" t="str">
            <v>Cash in Transit</v>
          </cell>
          <cell r="C746">
            <v>3</v>
          </cell>
          <cell r="D746">
            <v>0</v>
          </cell>
        </row>
        <row r="747">
          <cell r="A747" t="str">
            <v>212-013-001-0001</v>
          </cell>
          <cell r="B747" t="str">
            <v>Cash in Transit</v>
          </cell>
          <cell r="C747">
            <v>4</v>
          </cell>
          <cell r="D747">
            <v>0</v>
          </cell>
        </row>
        <row r="748">
          <cell r="A748" t="str">
            <v>301-000-000-0000</v>
          </cell>
          <cell r="B748" t="str">
            <v>Project Revenue</v>
          </cell>
          <cell r="C748">
            <v>1</v>
          </cell>
          <cell r="D748">
            <v>-24000000</v>
          </cell>
        </row>
        <row r="749">
          <cell r="A749" t="str">
            <v>301-001-000-0000</v>
          </cell>
          <cell r="B749" t="str">
            <v>Contract Revenue Construction Project</v>
          </cell>
          <cell r="C749">
            <v>2</v>
          </cell>
          <cell r="D749">
            <v>-24000000</v>
          </cell>
        </row>
        <row r="750">
          <cell r="A750" t="str">
            <v>301-001-001-0000</v>
          </cell>
          <cell r="B750" t="str">
            <v>Contract Revenue Construction Project</v>
          </cell>
          <cell r="C750">
            <v>3</v>
          </cell>
          <cell r="D750">
            <v>-24000000</v>
          </cell>
        </row>
        <row r="751">
          <cell r="A751" t="str">
            <v>301-001-001-0001</v>
          </cell>
          <cell r="B751" t="str">
            <v>Contract Revenue Construction Projects RUADP</v>
          </cell>
          <cell r="C751">
            <v>4</v>
          </cell>
          <cell r="D751">
            <v>0</v>
          </cell>
        </row>
        <row r="752">
          <cell r="A752" t="str">
            <v>301-001-001-0002</v>
          </cell>
          <cell r="B752" t="str">
            <v>Contract Revenue Construction Projects PTCL</v>
          </cell>
          <cell r="C752">
            <v>4</v>
          </cell>
          <cell r="D752">
            <v>0</v>
          </cell>
        </row>
        <row r="753">
          <cell r="A753" t="str">
            <v>301-001-001-0003</v>
          </cell>
          <cell r="B753" t="str">
            <v>Contract Revenue Construction Projects  CBR</v>
          </cell>
          <cell r="C753">
            <v>4</v>
          </cell>
          <cell r="D753">
            <v>0</v>
          </cell>
        </row>
        <row r="754">
          <cell r="A754" t="str">
            <v>301-001-001-0004</v>
          </cell>
          <cell r="B754" t="str">
            <v>Contract Revenue Construction Projects  SVC M-2</v>
          </cell>
          <cell r="C754">
            <v>4</v>
          </cell>
          <cell r="D754">
            <v>0</v>
          </cell>
        </row>
        <row r="755">
          <cell r="A755" t="str">
            <v>301-001-001-0005</v>
          </cell>
          <cell r="B755" t="str">
            <v>Contract Revenue Construction Projects CBR(FAA)</v>
          </cell>
          <cell r="C755">
            <v>4</v>
          </cell>
          <cell r="D755">
            <v>0</v>
          </cell>
        </row>
        <row r="756">
          <cell r="A756" t="str">
            <v>301-001-001-0006</v>
          </cell>
          <cell r="B756" t="str">
            <v>Contract Revenue  Dina Driving School</v>
          </cell>
          <cell r="C756">
            <v>4</v>
          </cell>
          <cell r="D756">
            <v>0</v>
          </cell>
        </row>
        <row r="757">
          <cell r="A757" t="str">
            <v>301-001-001-0007</v>
          </cell>
          <cell r="B757" t="str">
            <v>Contract Revenue  OTC CMH</v>
          </cell>
          <cell r="C757">
            <v>4</v>
          </cell>
          <cell r="D757">
            <v>-24000000</v>
          </cell>
        </row>
        <row r="758">
          <cell r="A758" t="str">
            <v>301-002-000-0000</v>
          </cell>
          <cell r="B758" t="str">
            <v>Toll Plaza Receipts</v>
          </cell>
          <cell r="C758">
            <v>2</v>
          </cell>
          <cell r="D758">
            <v>0</v>
          </cell>
        </row>
        <row r="759">
          <cell r="A759" t="str">
            <v>301-002-001-0000</v>
          </cell>
          <cell r="B759" t="str">
            <v>Toll Plaza Receipts</v>
          </cell>
          <cell r="C759">
            <v>3</v>
          </cell>
          <cell r="D759">
            <v>0</v>
          </cell>
        </row>
        <row r="760">
          <cell r="A760" t="str">
            <v>301-002-001-0001</v>
          </cell>
          <cell r="B760" t="str">
            <v>Toll Plaza Receipts</v>
          </cell>
          <cell r="C760">
            <v>4</v>
          </cell>
          <cell r="D760">
            <v>0</v>
          </cell>
        </row>
        <row r="761">
          <cell r="A761" t="str">
            <v>302-000-000-0000</v>
          </cell>
          <cell r="B761" t="str">
            <v>Sales</v>
          </cell>
          <cell r="C761">
            <v>1</v>
          </cell>
          <cell r="D761">
            <v>0</v>
          </cell>
        </row>
        <row r="762">
          <cell r="A762" t="str">
            <v>302-001-000-0000</v>
          </cell>
          <cell r="B762" t="str">
            <v>Sales</v>
          </cell>
          <cell r="C762">
            <v>2</v>
          </cell>
          <cell r="D762">
            <v>0</v>
          </cell>
        </row>
        <row r="763">
          <cell r="A763" t="str">
            <v>302-001-001-0000</v>
          </cell>
          <cell r="B763" t="str">
            <v>Sales of Pipes</v>
          </cell>
          <cell r="C763">
            <v>3</v>
          </cell>
          <cell r="D763">
            <v>0</v>
          </cell>
        </row>
        <row r="764">
          <cell r="A764" t="str">
            <v>302-001-002-0000</v>
          </cell>
          <cell r="B764" t="str">
            <v>Sales of Slabs</v>
          </cell>
          <cell r="C764">
            <v>3</v>
          </cell>
          <cell r="D764">
            <v>0</v>
          </cell>
        </row>
        <row r="765">
          <cell r="A765" t="str">
            <v>302-001-003-0000</v>
          </cell>
          <cell r="B765" t="str">
            <v>Sales of Kerb Stones</v>
          </cell>
          <cell r="C765">
            <v>3</v>
          </cell>
          <cell r="D765">
            <v>0</v>
          </cell>
        </row>
        <row r="766">
          <cell r="A766" t="str">
            <v>302-001-004-0000</v>
          </cell>
          <cell r="B766" t="str">
            <v>Sales of Asphalt Materials</v>
          </cell>
          <cell r="C766">
            <v>3</v>
          </cell>
          <cell r="D766">
            <v>0</v>
          </cell>
        </row>
        <row r="767">
          <cell r="A767" t="str">
            <v>303-000-000-0000</v>
          </cell>
          <cell r="B767" t="str">
            <v>Lease Hiring Receipts</v>
          </cell>
          <cell r="C767">
            <v>1</v>
          </cell>
          <cell r="D767">
            <v>0</v>
          </cell>
        </row>
        <row r="768">
          <cell r="A768" t="str">
            <v>303-001-000-0000</v>
          </cell>
          <cell r="B768" t="str">
            <v>Lease Hiring Receipts</v>
          </cell>
          <cell r="C768">
            <v>2</v>
          </cell>
          <cell r="D768">
            <v>0</v>
          </cell>
        </row>
        <row r="769">
          <cell r="A769" t="str">
            <v>303-001-001-0000</v>
          </cell>
          <cell r="B769" t="str">
            <v>Asphalt Plant Lease Hiring Receipts</v>
          </cell>
          <cell r="C769">
            <v>3</v>
          </cell>
          <cell r="D769">
            <v>0</v>
          </cell>
        </row>
        <row r="770">
          <cell r="A770" t="str">
            <v>401-000-000-0000</v>
          </cell>
          <cell r="B770" t="str">
            <v>Contract Cost</v>
          </cell>
          <cell r="C770">
            <v>1</v>
          </cell>
          <cell r="D770">
            <v>0</v>
          </cell>
        </row>
        <row r="771">
          <cell r="A771" t="str">
            <v>401-001-000-0000</v>
          </cell>
          <cell r="B771" t="str">
            <v>Opening Stock</v>
          </cell>
          <cell r="C771">
            <v>2</v>
          </cell>
          <cell r="D771">
            <v>0</v>
          </cell>
        </row>
        <row r="772">
          <cell r="A772" t="str">
            <v>401-001-001-0000</v>
          </cell>
          <cell r="B772" t="str">
            <v>Opening Stock</v>
          </cell>
          <cell r="C772">
            <v>3</v>
          </cell>
          <cell r="D772">
            <v>0</v>
          </cell>
        </row>
        <row r="773">
          <cell r="A773" t="str">
            <v>401-001-001-0001</v>
          </cell>
          <cell r="B773" t="str">
            <v>Opening Stock</v>
          </cell>
          <cell r="C773">
            <v>4</v>
          </cell>
          <cell r="D773">
            <v>0</v>
          </cell>
        </row>
        <row r="774">
          <cell r="A774" t="str">
            <v>402-000-000-0000</v>
          </cell>
          <cell r="B774" t="str">
            <v>Construction Material Purchases</v>
          </cell>
          <cell r="C774">
            <v>1</v>
          </cell>
          <cell r="D774">
            <v>0</v>
          </cell>
        </row>
        <row r="775">
          <cell r="A775" t="str">
            <v>402-001-000-0000</v>
          </cell>
          <cell r="B775" t="str">
            <v>Construction Material Purchases</v>
          </cell>
          <cell r="C775">
            <v>2</v>
          </cell>
          <cell r="D775">
            <v>0</v>
          </cell>
        </row>
        <row r="776">
          <cell r="A776" t="str">
            <v>402-001-001-0000</v>
          </cell>
          <cell r="B776" t="str">
            <v>Construction Material Purchases</v>
          </cell>
          <cell r="C776">
            <v>3</v>
          </cell>
          <cell r="D776">
            <v>0</v>
          </cell>
        </row>
        <row r="777">
          <cell r="A777" t="str">
            <v>402-001-001-0001</v>
          </cell>
          <cell r="B777" t="str">
            <v>Bricks</v>
          </cell>
          <cell r="C777">
            <v>4</v>
          </cell>
          <cell r="D777">
            <v>0</v>
          </cell>
        </row>
        <row r="778">
          <cell r="A778" t="str">
            <v>402-001-001-0002</v>
          </cell>
          <cell r="B778" t="str">
            <v>Steel Rods</v>
          </cell>
          <cell r="C778">
            <v>4</v>
          </cell>
          <cell r="D778">
            <v>0</v>
          </cell>
        </row>
        <row r="779">
          <cell r="A779" t="str">
            <v>402-001-001-0003</v>
          </cell>
          <cell r="B779" t="str">
            <v>Cement</v>
          </cell>
          <cell r="C779">
            <v>4</v>
          </cell>
          <cell r="D779">
            <v>0</v>
          </cell>
        </row>
        <row r="780">
          <cell r="A780" t="str">
            <v>402-001-001-0004</v>
          </cell>
          <cell r="B780" t="str">
            <v>Bitumen</v>
          </cell>
          <cell r="C780">
            <v>4</v>
          </cell>
          <cell r="D780">
            <v>0</v>
          </cell>
        </row>
        <row r="781">
          <cell r="A781" t="str">
            <v>402-001-001-0005</v>
          </cell>
          <cell r="B781" t="str">
            <v>Crush</v>
          </cell>
          <cell r="C781">
            <v>4</v>
          </cell>
          <cell r="D781">
            <v>0</v>
          </cell>
        </row>
        <row r="782">
          <cell r="A782" t="str">
            <v>402-001-001-0006</v>
          </cell>
          <cell r="B782" t="str">
            <v>Pipes</v>
          </cell>
          <cell r="C782">
            <v>4</v>
          </cell>
          <cell r="D782">
            <v>0</v>
          </cell>
        </row>
        <row r="783">
          <cell r="A783" t="str">
            <v>402-001-001-0007</v>
          </cell>
          <cell r="B783" t="str">
            <v>PVC Pipes and Accessories</v>
          </cell>
          <cell r="C783">
            <v>4</v>
          </cell>
          <cell r="D783">
            <v>0</v>
          </cell>
        </row>
        <row r="784">
          <cell r="A784" t="str">
            <v>402-001-001-0008</v>
          </cell>
          <cell r="B784" t="str">
            <v>Slabs</v>
          </cell>
          <cell r="C784">
            <v>4</v>
          </cell>
          <cell r="D784">
            <v>0</v>
          </cell>
        </row>
        <row r="785">
          <cell r="A785" t="str">
            <v>402-001-001-0009</v>
          </cell>
          <cell r="B785" t="str">
            <v>Sand</v>
          </cell>
          <cell r="C785">
            <v>4</v>
          </cell>
          <cell r="D785">
            <v>0</v>
          </cell>
        </row>
        <row r="786">
          <cell r="A786" t="str">
            <v>402-001-001-0010</v>
          </cell>
          <cell r="B786" t="str">
            <v>Sub base Material</v>
          </cell>
          <cell r="C786">
            <v>4</v>
          </cell>
          <cell r="D786">
            <v>0</v>
          </cell>
        </row>
        <row r="787">
          <cell r="A787" t="str">
            <v>402-001-001-0011</v>
          </cell>
          <cell r="B787" t="str">
            <v>Stone dust</v>
          </cell>
          <cell r="C787">
            <v>4</v>
          </cell>
          <cell r="D787">
            <v>0</v>
          </cell>
        </row>
        <row r="788">
          <cell r="A788" t="str">
            <v>402-001-001-0012</v>
          </cell>
          <cell r="B788" t="str">
            <v>Tuff Pavers</v>
          </cell>
          <cell r="C788">
            <v>4</v>
          </cell>
          <cell r="D788">
            <v>0</v>
          </cell>
        </row>
        <row r="789">
          <cell r="A789" t="str">
            <v>402-001-001-0013</v>
          </cell>
          <cell r="B789" t="str">
            <v>Coal</v>
          </cell>
          <cell r="C789">
            <v>4</v>
          </cell>
          <cell r="D789">
            <v>0</v>
          </cell>
        </row>
        <row r="790">
          <cell r="A790" t="str">
            <v>402-001-001-0014</v>
          </cell>
          <cell r="B790" t="str">
            <v>Asphalt Supplied</v>
          </cell>
          <cell r="C790">
            <v>4</v>
          </cell>
          <cell r="D790">
            <v>0</v>
          </cell>
        </row>
        <row r="791">
          <cell r="A791" t="str">
            <v>402-001-001-0015</v>
          </cell>
          <cell r="B791" t="str">
            <v>Oil and Lubricants</v>
          </cell>
          <cell r="C791">
            <v>4</v>
          </cell>
          <cell r="D791">
            <v>0</v>
          </cell>
        </row>
        <row r="792">
          <cell r="A792" t="str">
            <v>402-001-001-0016</v>
          </cell>
          <cell r="B792" t="str">
            <v>Stores and Spares</v>
          </cell>
          <cell r="C792">
            <v>4</v>
          </cell>
          <cell r="D792">
            <v>0</v>
          </cell>
        </row>
        <row r="793">
          <cell r="A793" t="str">
            <v>402-001-001-0017</v>
          </cell>
          <cell r="B793" t="str">
            <v>Loose Tools</v>
          </cell>
          <cell r="C793">
            <v>4</v>
          </cell>
          <cell r="D793">
            <v>0</v>
          </cell>
        </row>
        <row r="794">
          <cell r="A794" t="str">
            <v>402-001-001-0018</v>
          </cell>
          <cell r="B794" t="str">
            <v>Construction Material</v>
          </cell>
          <cell r="C794">
            <v>4</v>
          </cell>
          <cell r="D794">
            <v>0</v>
          </cell>
        </row>
        <row r="795">
          <cell r="A795" t="str">
            <v>402-001-001-0019</v>
          </cell>
          <cell r="B795" t="str">
            <v>Traffic Signals Accessories</v>
          </cell>
          <cell r="C795">
            <v>4</v>
          </cell>
          <cell r="D795">
            <v>0</v>
          </cell>
        </row>
        <row r="796">
          <cell r="A796" t="str">
            <v>402-001-001-0020</v>
          </cell>
          <cell r="B796" t="str">
            <v>Split Unit A/C</v>
          </cell>
          <cell r="C796">
            <v>4</v>
          </cell>
          <cell r="D796">
            <v>0</v>
          </cell>
        </row>
        <row r="797">
          <cell r="A797" t="str">
            <v>402-001-001-0021</v>
          </cell>
          <cell r="B797" t="str">
            <v>Gully Gratings</v>
          </cell>
          <cell r="C797">
            <v>4</v>
          </cell>
          <cell r="D797">
            <v>0</v>
          </cell>
        </row>
        <row r="798">
          <cell r="A798" t="str">
            <v>402-001-001-0022</v>
          </cell>
          <cell r="B798" t="str">
            <v>Tubelar Poles (Steel)</v>
          </cell>
          <cell r="C798">
            <v>4</v>
          </cell>
          <cell r="D798">
            <v>0</v>
          </cell>
        </row>
        <row r="799">
          <cell r="A799" t="str">
            <v>402-001-001-0023</v>
          </cell>
          <cell r="B799" t="str">
            <v>Kerb Stones</v>
          </cell>
          <cell r="C799">
            <v>4</v>
          </cell>
          <cell r="D799">
            <v>0</v>
          </cell>
        </row>
        <row r="800">
          <cell r="A800" t="str">
            <v>402-001-001-0024</v>
          </cell>
          <cell r="B800" t="str">
            <v>Street Sign Boards</v>
          </cell>
          <cell r="C800">
            <v>4</v>
          </cell>
          <cell r="D800">
            <v>0</v>
          </cell>
        </row>
        <row r="801">
          <cell r="A801" t="str">
            <v>402-001-001-0025</v>
          </cell>
          <cell r="B801" t="str">
            <v>Base Material</v>
          </cell>
          <cell r="C801">
            <v>4</v>
          </cell>
          <cell r="D801">
            <v>0</v>
          </cell>
        </row>
        <row r="802">
          <cell r="A802" t="str">
            <v>402-001-001-0026</v>
          </cell>
          <cell r="B802" t="str">
            <v>Man Hole Covers</v>
          </cell>
          <cell r="C802">
            <v>4</v>
          </cell>
          <cell r="D802">
            <v>0</v>
          </cell>
        </row>
        <row r="803">
          <cell r="A803" t="str">
            <v>402-001-001-0027</v>
          </cell>
          <cell r="B803" t="str">
            <v>Earth Filling Material</v>
          </cell>
          <cell r="C803">
            <v>4</v>
          </cell>
          <cell r="D803">
            <v>0</v>
          </cell>
        </row>
        <row r="804">
          <cell r="A804" t="str">
            <v>402-001-001-0028</v>
          </cell>
          <cell r="B804" t="str">
            <v>Fiber Glass</v>
          </cell>
          <cell r="C804">
            <v>4</v>
          </cell>
          <cell r="D804">
            <v>0</v>
          </cell>
        </row>
        <row r="805">
          <cell r="A805" t="str">
            <v>402-001-001-0029</v>
          </cell>
          <cell r="B805" t="str">
            <v>Kassu</v>
          </cell>
          <cell r="C805">
            <v>4</v>
          </cell>
          <cell r="D805">
            <v>0</v>
          </cell>
        </row>
        <row r="806">
          <cell r="A806" t="str">
            <v>402-001-001-0030</v>
          </cell>
          <cell r="B806" t="str">
            <v>Tiles</v>
          </cell>
          <cell r="C806">
            <v>4</v>
          </cell>
          <cell r="D806">
            <v>0</v>
          </cell>
        </row>
        <row r="807">
          <cell r="A807" t="str">
            <v>402-001-001-0031</v>
          </cell>
          <cell r="B807" t="str">
            <v>Medium Curing-70 (Bitumen)</v>
          </cell>
          <cell r="C807">
            <v>4</v>
          </cell>
          <cell r="D807">
            <v>0</v>
          </cell>
        </row>
        <row r="808">
          <cell r="A808" t="str">
            <v>402-001-001-0032</v>
          </cell>
          <cell r="B808" t="str">
            <v>Rapid Curing-70 (Bitumen)</v>
          </cell>
          <cell r="C808">
            <v>4</v>
          </cell>
          <cell r="D808">
            <v>0</v>
          </cell>
        </row>
        <row r="809">
          <cell r="A809" t="str">
            <v>402-001-001-0033</v>
          </cell>
          <cell r="B809" t="str">
            <v>Asphalt Pre Mixing Charges</v>
          </cell>
          <cell r="C809">
            <v>4</v>
          </cell>
          <cell r="D809">
            <v>0</v>
          </cell>
        </row>
        <row r="810">
          <cell r="A810" t="str">
            <v>402-001-001-0034</v>
          </cell>
          <cell r="B810" t="str">
            <v>Paint</v>
          </cell>
          <cell r="C810">
            <v>4</v>
          </cell>
          <cell r="D810">
            <v>0</v>
          </cell>
        </row>
        <row r="811">
          <cell r="A811" t="str">
            <v>402-001-001-0035</v>
          </cell>
          <cell r="B811" t="str">
            <v>Khaka</v>
          </cell>
          <cell r="C811">
            <v>4</v>
          </cell>
          <cell r="D811">
            <v>0</v>
          </cell>
        </row>
        <row r="812">
          <cell r="A812" t="str">
            <v>402-001-001-0036</v>
          </cell>
          <cell r="B812" t="str">
            <v>Cones</v>
          </cell>
          <cell r="C812">
            <v>4</v>
          </cell>
          <cell r="D812">
            <v>0</v>
          </cell>
        </row>
        <row r="813">
          <cell r="A813" t="str">
            <v>402-001-001-0037</v>
          </cell>
          <cell r="B813" t="str">
            <v>Electric Light Poles</v>
          </cell>
          <cell r="C813">
            <v>4</v>
          </cell>
          <cell r="D813">
            <v>0</v>
          </cell>
        </row>
        <row r="814">
          <cell r="A814" t="str">
            <v>402-001-001-0038</v>
          </cell>
          <cell r="B814" t="str">
            <v>Rail Track</v>
          </cell>
          <cell r="C814">
            <v>4</v>
          </cell>
          <cell r="D814">
            <v>0</v>
          </cell>
        </row>
        <row r="815">
          <cell r="A815" t="str">
            <v>402-001-001-0039</v>
          </cell>
          <cell r="B815" t="str">
            <v>Chain</v>
          </cell>
          <cell r="C815">
            <v>4</v>
          </cell>
          <cell r="D815">
            <v>0</v>
          </cell>
        </row>
        <row r="816">
          <cell r="A816" t="str">
            <v>402-001-001-0040</v>
          </cell>
          <cell r="B816" t="str">
            <v>Stainless Steel</v>
          </cell>
          <cell r="C816">
            <v>4</v>
          </cell>
          <cell r="D816">
            <v>0</v>
          </cell>
        </row>
        <row r="817">
          <cell r="A817" t="str">
            <v>402-001-001-0041</v>
          </cell>
          <cell r="B817" t="str">
            <v>Jerssey Barrier</v>
          </cell>
          <cell r="C817">
            <v>4</v>
          </cell>
          <cell r="D817">
            <v>0</v>
          </cell>
        </row>
        <row r="818">
          <cell r="A818" t="str">
            <v>403-000-000-0000</v>
          </cell>
          <cell r="B818" t="str">
            <v>Closing Stock</v>
          </cell>
          <cell r="C818">
            <v>1</v>
          </cell>
          <cell r="D818">
            <v>0</v>
          </cell>
        </row>
        <row r="819">
          <cell r="A819" t="str">
            <v>403-001-000-0000</v>
          </cell>
          <cell r="B819" t="str">
            <v>Closing Stock</v>
          </cell>
          <cell r="C819">
            <v>2</v>
          </cell>
          <cell r="D819">
            <v>0</v>
          </cell>
        </row>
        <row r="820">
          <cell r="A820" t="str">
            <v>403-001-001-0000</v>
          </cell>
          <cell r="B820" t="str">
            <v>Closing Stock</v>
          </cell>
          <cell r="C820">
            <v>3</v>
          </cell>
          <cell r="D820">
            <v>0</v>
          </cell>
        </row>
        <row r="821">
          <cell r="A821" t="str">
            <v>403-001-001-0001</v>
          </cell>
          <cell r="B821" t="str">
            <v>Closing Stock</v>
          </cell>
          <cell r="C821">
            <v>4</v>
          </cell>
          <cell r="D821">
            <v>0</v>
          </cell>
        </row>
        <row r="822">
          <cell r="A822" t="str">
            <v>404-000-000-0000</v>
          </cell>
          <cell r="B822" t="str">
            <v>Direct Labour</v>
          </cell>
          <cell r="C822">
            <v>1</v>
          </cell>
          <cell r="D822">
            <v>0</v>
          </cell>
        </row>
        <row r="823">
          <cell r="A823" t="str">
            <v>404-001-000-0000</v>
          </cell>
          <cell r="B823" t="str">
            <v>Muster Rolls</v>
          </cell>
          <cell r="C823">
            <v>2</v>
          </cell>
          <cell r="D823">
            <v>0</v>
          </cell>
        </row>
        <row r="824">
          <cell r="A824" t="str">
            <v>404-001-001-0000</v>
          </cell>
          <cell r="B824" t="str">
            <v>Muster Rolls</v>
          </cell>
          <cell r="C824">
            <v>3</v>
          </cell>
          <cell r="D824">
            <v>0</v>
          </cell>
        </row>
        <row r="825">
          <cell r="A825" t="str">
            <v>404-001-001-0001</v>
          </cell>
          <cell r="B825" t="str">
            <v>Muster Rolls Regular Labour</v>
          </cell>
          <cell r="C825">
            <v>4</v>
          </cell>
          <cell r="D825">
            <v>0</v>
          </cell>
        </row>
        <row r="826">
          <cell r="A826" t="str">
            <v>404-001-001-0002</v>
          </cell>
          <cell r="B826" t="str">
            <v>Muster Rolls Casual Labour</v>
          </cell>
          <cell r="C826">
            <v>4</v>
          </cell>
          <cell r="D826">
            <v>0</v>
          </cell>
        </row>
        <row r="827">
          <cell r="A827" t="str">
            <v>404-001-001-0003</v>
          </cell>
          <cell r="B827" t="str">
            <v>Muster Rolls Subcontractors</v>
          </cell>
          <cell r="C827">
            <v>4</v>
          </cell>
          <cell r="D827">
            <v>0</v>
          </cell>
        </row>
        <row r="828">
          <cell r="A828" t="str">
            <v>405-000-000-0000</v>
          </cell>
          <cell r="B828" t="str">
            <v>Overheads</v>
          </cell>
          <cell r="C828">
            <v>1</v>
          </cell>
          <cell r="D828">
            <v>491518</v>
          </cell>
        </row>
        <row r="829">
          <cell r="A829" t="str">
            <v>405-001-000-0000</v>
          </cell>
          <cell r="B829" t="str">
            <v>Salaries and Benefits</v>
          </cell>
          <cell r="C829">
            <v>2</v>
          </cell>
          <cell r="D829">
            <v>150808</v>
          </cell>
        </row>
        <row r="830">
          <cell r="A830" t="str">
            <v>405-001-001-0000</v>
          </cell>
          <cell r="B830" t="str">
            <v>Salaries and Benefits Army Officers</v>
          </cell>
          <cell r="C830">
            <v>3</v>
          </cell>
          <cell r="D830">
            <v>0</v>
          </cell>
        </row>
        <row r="831">
          <cell r="A831" t="str">
            <v>405-001-001-0001</v>
          </cell>
          <cell r="B831" t="str">
            <v>Salaries Army Officers</v>
          </cell>
          <cell r="C831">
            <v>4</v>
          </cell>
          <cell r="D831">
            <v>0</v>
          </cell>
        </row>
        <row r="832">
          <cell r="A832" t="str">
            <v>405-001-001-0002</v>
          </cell>
          <cell r="B832" t="str">
            <v>Benefits Army Officers</v>
          </cell>
          <cell r="C832">
            <v>4</v>
          </cell>
          <cell r="D832">
            <v>0</v>
          </cell>
        </row>
        <row r="833">
          <cell r="A833" t="str">
            <v>405-001-001-0003</v>
          </cell>
          <cell r="B833" t="str">
            <v>Overtime Army Officers</v>
          </cell>
          <cell r="C833">
            <v>4</v>
          </cell>
          <cell r="D833">
            <v>0</v>
          </cell>
        </row>
        <row r="834">
          <cell r="A834" t="str">
            <v>405-001-001-0004</v>
          </cell>
          <cell r="B834" t="str">
            <v>Medical Army Officers</v>
          </cell>
          <cell r="C834">
            <v>4</v>
          </cell>
          <cell r="D834">
            <v>0</v>
          </cell>
        </row>
        <row r="835">
          <cell r="A835" t="str">
            <v>405-001-002-0000</v>
          </cell>
          <cell r="B835" t="str">
            <v>Salaries and Benefits Civilian Staff</v>
          </cell>
          <cell r="C835">
            <v>3</v>
          </cell>
          <cell r="D835">
            <v>150808</v>
          </cell>
        </row>
        <row r="836">
          <cell r="A836" t="str">
            <v>405-001-002-0001</v>
          </cell>
          <cell r="B836" t="str">
            <v>Salaries Civilian Staff</v>
          </cell>
          <cell r="C836">
            <v>4</v>
          </cell>
          <cell r="D836">
            <v>146534</v>
          </cell>
        </row>
        <row r="837">
          <cell r="A837" t="str">
            <v>405-001-002-0002</v>
          </cell>
          <cell r="B837" t="str">
            <v>Benefits Civilian Staff</v>
          </cell>
          <cell r="C837">
            <v>4</v>
          </cell>
          <cell r="D837">
            <v>1000</v>
          </cell>
        </row>
        <row r="838">
          <cell r="A838" t="str">
            <v>405-001-002-0003</v>
          </cell>
          <cell r="B838" t="str">
            <v>Overtime Civilian Staff</v>
          </cell>
          <cell r="C838">
            <v>4</v>
          </cell>
          <cell r="D838">
            <v>3274</v>
          </cell>
        </row>
        <row r="839">
          <cell r="A839" t="str">
            <v>405-001-002-0004</v>
          </cell>
          <cell r="B839" t="str">
            <v>Medical Civilian Staff</v>
          </cell>
          <cell r="C839">
            <v>4</v>
          </cell>
          <cell r="D839">
            <v>0</v>
          </cell>
        </row>
        <row r="840">
          <cell r="A840" t="str">
            <v>405-001-003-0000</v>
          </cell>
          <cell r="B840" t="str">
            <v>Salaries and Benefits JCO's Staff</v>
          </cell>
          <cell r="C840">
            <v>3</v>
          </cell>
          <cell r="D840">
            <v>0</v>
          </cell>
        </row>
        <row r="841">
          <cell r="A841" t="str">
            <v>405-001-003-0001</v>
          </cell>
          <cell r="B841" t="str">
            <v>Salaries JCO's Staff</v>
          </cell>
          <cell r="C841">
            <v>4</v>
          </cell>
          <cell r="D841">
            <v>0</v>
          </cell>
        </row>
        <row r="842">
          <cell r="A842" t="str">
            <v>405-001-003-0002</v>
          </cell>
          <cell r="B842" t="str">
            <v>Benefits JCO's Staff</v>
          </cell>
          <cell r="C842">
            <v>4</v>
          </cell>
          <cell r="D842">
            <v>0</v>
          </cell>
        </row>
        <row r="843">
          <cell r="A843" t="str">
            <v>405-001-003-0003</v>
          </cell>
          <cell r="B843" t="str">
            <v>Overtime JCO's Staff</v>
          </cell>
          <cell r="C843">
            <v>4</v>
          </cell>
          <cell r="D843">
            <v>0</v>
          </cell>
        </row>
        <row r="844">
          <cell r="A844" t="str">
            <v>405-001-003-0004</v>
          </cell>
          <cell r="B844" t="str">
            <v>Medical JCO's Staff</v>
          </cell>
          <cell r="C844">
            <v>4</v>
          </cell>
          <cell r="D844">
            <v>0</v>
          </cell>
        </row>
        <row r="845">
          <cell r="A845" t="str">
            <v>405-002-000-0000</v>
          </cell>
          <cell r="B845" t="str">
            <v>Uniform to Staff</v>
          </cell>
          <cell r="C845">
            <v>2</v>
          </cell>
          <cell r="D845">
            <v>0</v>
          </cell>
        </row>
        <row r="846">
          <cell r="A846" t="str">
            <v>405-002-001-0000</v>
          </cell>
          <cell r="B846" t="str">
            <v>Uniform to Staff</v>
          </cell>
          <cell r="C846">
            <v>3</v>
          </cell>
          <cell r="D846">
            <v>0</v>
          </cell>
        </row>
        <row r="847">
          <cell r="A847" t="str">
            <v>405-002-001-0001</v>
          </cell>
          <cell r="B847" t="str">
            <v>Uniform Army Officers</v>
          </cell>
          <cell r="C847">
            <v>4</v>
          </cell>
          <cell r="D847">
            <v>0</v>
          </cell>
        </row>
        <row r="848">
          <cell r="A848" t="str">
            <v>405-002-001-0002</v>
          </cell>
          <cell r="B848" t="str">
            <v>Uniform Civilin Staff</v>
          </cell>
          <cell r="C848">
            <v>4</v>
          </cell>
          <cell r="D848">
            <v>0</v>
          </cell>
        </row>
        <row r="849">
          <cell r="A849" t="str">
            <v>405-002-001-0003</v>
          </cell>
          <cell r="B849" t="str">
            <v>Uniform JCO's Staff</v>
          </cell>
          <cell r="C849">
            <v>4</v>
          </cell>
          <cell r="D849">
            <v>0</v>
          </cell>
        </row>
        <row r="850">
          <cell r="A850" t="str">
            <v>405-003-000-0000</v>
          </cell>
          <cell r="B850" t="str">
            <v>Rent, rates and taxes</v>
          </cell>
          <cell r="C850">
            <v>2</v>
          </cell>
          <cell r="D850">
            <v>0</v>
          </cell>
        </row>
        <row r="851">
          <cell r="A851" t="str">
            <v>405-003-001-0000</v>
          </cell>
          <cell r="B851" t="str">
            <v>Rent, rates and taxes</v>
          </cell>
          <cell r="C851">
            <v>3</v>
          </cell>
          <cell r="D851">
            <v>0</v>
          </cell>
        </row>
        <row r="852">
          <cell r="A852" t="str">
            <v>405-003-001-0001</v>
          </cell>
          <cell r="B852" t="str">
            <v>Rent</v>
          </cell>
          <cell r="C852">
            <v>4</v>
          </cell>
          <cell r="D852">
            <v>0</v>
          </cell>
        </row>
        <row r="853">
          <cell r="A853" t="str">
            <v>405-003-001-0002</v>
          </cell>
          <cell r="B853" t="str">
            <v>Rates and Taxes</v>
          </cell>
          <cell r="C853">
            <v>4</v>
          </cell>
          <cell r="D853">
            <v>0</v>
          </cell>
        </row>
        <row r="854">
          <cell r="A854" t="str">
            <v>405-004-000-0000</v>
          </cell>
          <cell r="B854" t="str">
            <v>Travelling and Conveyance</v>
          </cell>
          <cell r="C854">
            <v>2</v>
          </cell>
          <cell r="D854">
            <v>0</v>
          </cell>
        </row>
        <row r="855">
          <cell r="A855" t="str">
            <v>405-004-001-0000</v>
          </cell>
          <cell r="B855" t="str">
            <v>Travelling and Conveyance</v>
          </cell>
          <cell r="C855">
            <v>3</v>
          </cell>
          <cell r="D855">
            <v>0</v>
          </cell>
        </row>
        <row r="856">
          <cell r="A856" t="str">
            <v>405-004-001-0001</v>
          </cell>
          <cell r="B856" t="str">
            <v>Travelling and Conveyance to Army Officers</v>
          </cell>
          <cell r="C856">
            <v>4</v>
          </cell>
          <cell r="D856">
            <v>0</v>
          </cell>
        </row>
        <row r="857">
          <cell r="A857" t="str">
            <v>405-004-001-0002</v>
          </cell>
          <cell r="B857" t="str">
            <v>Travelling and Conveyance to Civilin Staff</v>
          </cell>
          <cell r="C857">
            <v>4</v>
          </cell>
          <cell r="D857">
            <v>0</v>
          </cell>
        </row>
        <row r="858">
          <cell r="A858" t="str">
            <v>405-004-001-0003</v>
          </cell>
          <cell r="B858" t="str">
            <v>Travelling and Conveyance to JCO's Staff</v>
          </cell>
          <cell r="C858">
            <v>4</v>
          </cell>
          <cell r="D858">
            <v>0</v>
          </cell>
        </row>
        <row r="859">
          <cell r="A859" t="str">
            <v>405-004-001-0004</v>
          </cell>
          <cell r="B859" t="str">
            <v>Travelling and Conveyance to Associated Projects</v>
          </cell>
          <cell r="C859">
            <v>4</v>
          </cell>
          <cell r="D859">
            <v>0</v>
          </cell>
        </row>
        <row r="860">
          <cell r="A860" t="str">
            <v>405-004-001-0005</v>
          </cell>
          <cell r="B860" t="str">
            <v>Travelling and Conveyance shared with HQ</v>
          </cell>
          <cell r="C860">
            <v>4</v>
          </cell>
          <cell r="D860">
            <v>0</v>
          </cell>
        </row>
        <row r="861">
          <cell r="A861" t="str">
            <v>405-005-000-0000</v>
          </cell>
          <cell r="B861" t="str">
            <v>Vehicle Running Expenses</v>
          </cell>
          <cell r="C861">
            <v>2</v>
          </cell>
          <cell r="D861">
            <v>0</v>
          </cell>
        </row>
        <row r="862">
          <cell r="A862" t="str">
            <v>405-005-001-0000</v>
          </cell>
          <cell r="B862" t="str">
            <v>Heavy  Vehicle Running Expenses</v>
          </cell>
          <cell r="C862">
            <v>3</v>
          </cell>
          <cell r="D862">
            <v>0</v>
          </cell>
        </row>
        <row r="863">
          <cell r="A863" t="str">
            <v>405-005-001-0001</v>
          </cell>
          <cell r="B863" t="str">
            <v>Heavy  Vehicle Running Expenses</v>
          </cell>
          <cell r="C863">
            <v>4</v>
          </cell>
          <cell r="D863">
            <v>0</v>
          </cell>
        </row>
        <row r="864">
          <cell r="A864" t="str">
            <v>405-005-002-0000</v>
          </cell>
          <cell r="B864" t="str">
            <v>Light Vehicls Running Expenses</v>
          </cell>
          <cell r="C864">
            <v>3</v>
          </cell>
          <cell r="D864">
            <v>0</v>
          </cell>
        </row>
        <row r="865">
          <cell r="A865" t="str">
            <v>405-005-002-0001</v>
          </cell>
          <cell r="B865" t="str">
            <v>Light Vehicls Running Expenses</v>
          </cell>
          <cell r="C865">
            <v>4</v>
          </cell>
          <cell r="D865">
            <v>0</v>
          </cell>
        </row>
        <row r="866">
          <cell r="A866" t="str">
            <v>405-006-000-0000</v>
          </cell>
          <cell r="B866" t="str">
            <v>Repair and Maintenance</v>
          </cell>
          <cell r="C866">
            <v>2</v>
          </cell>
          <cell r="D866">
            <v>242960</v>
          </cell>
        </row>
        <row r="867">
          <cell r="A867" t="str">
            <v>405-006-001-0000</v>
          </cell>
          <cell r="B867" t="str">
            <v>Heavy Vehicles Repair and Maintainance</v>
          </cell>
          <cell r="C867">
            <v>3</v>
          </cell>
          <cell r="D867">
            <v>0</v>
          </cell>
        </row>
        <row r="868">
          <cell r="A868" t="str">
            <v>405-006-001-0001</v>
          </cell>
          <cell r="B868" t="str">
            <v>Heavy Vehicles Repair and Maintainance</v>
          </cell>
          <cell r="C868">
            <v>4</v>
          </cell>
          <cell r="D868">
            <v>0</v>
          </cell>
        </row>
        <row r="869">
          <cell r="A869" t="str">
            <v>405-006-002-0000</v>
          </cell>
          <cell r="B869" t="str">
            <v>Light Vehicles Repair and Maintainance</v>
          </cell>
          <cell r="C869">
            <v>3</v>
          </cell>
          <cell r="D869">
            <v>0</v>
          </cell>
        </row>
        <row r="870">
          <cell r="A870" t="str">
            <v>405-006-002-0001</v>
          </cell>
          <cell r="B870" t="str">
            <v>Light Vehicles Repair and Maintainance</v>
          </cell>
          <cell r="C870">
            <v>4</v>
          </cell>
          <cell r="D870">
            <v>0</v>
          </cell>
        </row>
        <row r="871">
          <cell r="A871" t="str">
            <v>405-006-003-0000</v>
          </cell>
          <cell r="B871" t="str">
            <v>Spares of Vehicles</v>
          </cell>
          <cell r="C871">
            <v>3</v>
          </cell>
          <cell r="D871">
            <v>0</v>
          </cell>
        </row>
        <row r="872">
          <cell r="A872" t="str">
            <v>405-006-003-0001</v>
          </cell>
          <cell r="B872" t="str">
            <v>Spares of Vehicles</v>
          </cell>
          <cell r="C872">
            <v>4</v>
          </cell>
          <cell r="D872">
            <v>0</v>
          </cell>
        </row>
        <row r="873">
          <cell r="A873" t="str">
            <v>405-006-004-0000</v>
          </cell>
          <cell r="B873" t="str">
            <v>Plant and Machinery Repair and Maintainance</v>
          </cell>
          <cell r="C873">
            <v>3</v>
          </cell>
          <cell r="D873">
            <v>2960</v>
          </cell>
        </row>
        <row r="874">
          <cell r="A874" t="str">
            <v>405-006-004-0001</v>
          </cell>
          <cell r="B874" t="str">
            <v>Plant and Machinery Repair and Maintainance</v>
          </cell>
          <cell r="C874">
            <v>4</v>
          </cell>
          <cell r="D874">
            <v>2960</v>
          </cell>
        </row>
        <row r="875">
          <cell r="A875" t="str">
            <v>405-006-005-0000</v>
          </cell>
          <cell r="B875" t="str">
            <v>Site Frrniture and Fixture Repair and Maintainance</v>
          </cell>
          <cell r="C875">
            <v>3</v>
          </cell>
          <cell r="D875">
            <v>0</v>
          </cell>
        </row>
        <row r="876">
          <cell r="A876" t="str">
            <v>405-006-005-0001</v>
          </cell>
          <cell r="B876" t="str">
            <v>Site Frrniture and Fixture Repair and Maintainance</v>
          </cell>
          <cell r="C876">
            <v>4</v>
          </cell>
          <cell r="D876">
            <v>0</v>
          </cell>
        </row>
        <row r="877">
          <cell r="A877" t="str">
            <v>405-006-006-0000</v>
          </cell>
          <cell r="B877" t="str">
            <v>Site Office Equipment Repair and Maintainance</v>
          </cell>
          <cell r="C877">
            <v>3</v>
          </cell>
          <cell r="D877">
            <v>0</v>
          </cell>
        </row>
        <row r="878">
          <cell r="A878" t="str">
            <v>405-006-006-0001</v>
          </cell>
          <cell r="B878" t="str">
            <v>Site Office Equipment Repair and Maintainance</v>
          </cell>
          <cell r="C878">
            <v>4</v>
          </cell>
          <cell r="D878">
            <v>0</v>
          </cell>
        </row>
        <row r="879">
          <cell r="A879" t="str">
            <v>405-006-007-0000</v>
          </cell>
          <cell r="B879" t="str">
            <v>Site Electrical Equipment Repair and Maintainance</v>
          </cell>
          <cell r="C879">
            <v>3</v>
          </cell>
          <cell r="D879">
            <v>0</v>
          </cell>
        </row>
        <row r="880">
          <cell r="A880" t="str">
            <v>405-006-007-0001</v>
          </cell>
          <cell r="B880" t="str">
            <v>Site Electrical Equipment Repair and Maintainance</v>
          </cell>
          <cell r="C880">
            <v>4</v>
          </cell>
          <cell r="D880">
            <v>0</v>
          </cell>
        </row>
        <row r="881">
          <cell r="A881" t="str">
            <v>405-006-007-0002</v>
          </cell>
          <cell r="B881" t="str">
            <v>Site misc works</v>
          </cell>
          <cell r="C881">
            <v>4</v>
          </cell>
          <cell r="D881">
            <v>0</v>
          </cell>
        </row>
        <row r="882">
          <cell r="A882" t="str">
            <v>405-006-008-0000</v>
          </cell>
          <cell r="B882" t="str">
            <v>Labortory and Survey Equipment Repair and Maintain</v>
          </cell>
          <cell r="C882">
            <v>3</v>
          </cell>
          <cell r="D882">
            <v>0</v>
          </cell>
        </row>
        <row r="883">
          <cell r="A883" t="str">
            <v>405-006-008-0001</v>
          </cell>
          <cell r="B883" t="str">
            <v>Labortory and Survey Equipment Repair and Maintain</v>
          </cell>
          <cell r="C883">
            <v>4</v>
          </cell>
          <cell r="D883">
            <v>0</v>
          </cell>
        </row>
        <row r="884">
          <cell r="A884" t="str">
            <v>405-006-009-0000</v>
          </cell>
          <cell r="B884" t="str">
            <v>Site Computers Repairs and Maintainance</v>
          </cell>
          <cell r="C884">
            <v>3</v>
          </cell>
          <cell r="D884">
            <v>0</v>
          </cell>
        </row>
        <row r="885">
          <cell r="A885" t="str">
            <v>405-006-009-0001</v>
          </cell>
          <cell r="B885" t="str">
            <v>Site Computers Repairs and Maintainance</v>
          </cell>
          <cell r="C885">
            <v>4</v>
          </cell>
          <cell r="D885">
            <v>0</v>
          </cell>
        </row>
        <row r="886">
          <cell r="A886" t="str">
            <v>405-006-009-0002</v>
          </cell>
          <cell r="B886" t="str">
            <v>Computers for NHA</v>
          </cell>
          <cell r="C886">
            <v>4</v>
          </cell>
          <cell r="D886">
            <v>0</v>
          </cell>
        </row>
        <row r="887">
          <cell r="A887" t="str">
            <v>405-006-010-0000</v>
          </cell>
          <cell r="B887" t="str">
            <v>Generators Repairs and Maintainance</v>
          </cell>
          <cell r="C887">
            <v>3</v>
          </cell>
          <cell r="D887">
            <v>0</v>
          </cell>
        </row>
        <row r="888">
          <cell r="A888" t="str">
            <v>405-006-010-0001</v>
          </cell>
          <cell r="B888" t="str">
            <v>Generators Repairs and Maintainance</v>
          </cell>
          <cell r="C888">
            <v>4</v>
          </cell>
          <cell r="D888">
            <v>0</v>
          </cell>
        </row>
        <row r="889">
          <cell r="A889" t="str">
            <v>405-006-011-0000</v>
          </cell>
          <cell r="B889" t="str">
            <v>Fax, Telephones and  Exchange Repair and Maintaina</v>
          </cell>
          <cell r="C889">
            <v>3</v>
          </cell>
          <cell r="D889">
            <v>0</v>
          </cell>
        </row>
        <row r="890">
          <cell r="A890" t="str">
            <v>405-006-011-0001</v>
          </cell>
          <cell r="B890" t="str">
            <v>Fax, Telephones and  Exchange Repair and Maintaina</v>
          </cell>
          <cell r="C890">
            <v>4</v>
          </cell>
          <cell r="D890">
            <v>0</v>
          </cell>
        </row>
        <row r="891">
          <cell r="A891" t="str">
            <v>405-006-012-0000</v>
          </cell>
          <cell r="B891" t="str">
            <v>Site Office Electric  Repair and Maintainance</v>
          </cell>
          <cell r="C891">
            <v>3</v>
          </cell>
          <cell r="D891">
            <v>0</v>
          </cell>
        </row>
        <row r="892">
          <cell r="A892" t="str">
            <v>405-006-012-0001</v>
          </cell>
          <cell r="B892" t="str">
            <v>Site Office Electric  Repair and Maintainance</v>
          </cell>
          <cell r="C892">
            <v>4</v>
          </cell>
          <cell r="D892">
            <v>0</v>
          </cell>
        </row>
        <row r="893">
          <cell r="A893" t="str">
            <v>405-006-013-0000</v>
          </cell>
          <cell r="B893" t="str">
            <v>Site Office Building Repair and Maintainance</v>
          </cell>
          <cell r="C893">
            <v>3</v>
          </cell>
          <cell r="D893">
            <v>0</v>
          </cell>
        </row>
        <row r="894">
          <cell r="A894" t="str">
            <v>405-006-013-0001</v>
          </cell>
          <cell r="B894" t="str">
            <v>Site Office Building Repair and Maintainance</v>
          </cell>
          <cell r="C894">
            <v>4</v>
          </cell>
          <cell r="D894">
            <v>0</v>
          </cell>
        </row>
        <row r="895">
          <cell r="A895" t="str">
            <v>405-006-014-0000</v>
          </cell>
          <cell r="B895" t="str">
            <v>Furniture &amp; Fixture Repair &amp; Maintenance</v>
          </cell>
          <cell r="C895">
            <v>3</v>
          </cell>
          <cell r="D895">
            <v>0</v>
          </cell>
        </row>
        <row r="896">
          <cell r="A896" t="str">
            <v>405-006-014-0001</v>
          </cell>
          <cell r="B896" t="str">
            <v>Furniture &amp; Fixture Repair &amp; Maintenance</v>
          </cell>
          <cell r="C896">
            <v>4</v>
          </cell>
          <cell r="D896">
            <v>0</v>
          </cell>
        </row>
        <row r="897">
          <cell r="A897" t="str">
            <v>405-006-015-0000</v>
          </cell>
          <cell r="B897" t="str">
            <v>Wireless Equipment Repair Charges</v>
          </cell>
          <cell r="C897">
            <v>3</v>
          </cell>
          <cell r="D897">
            <v>0</v>
          </cell>
        </row>
        <row r="898">
          <cell r="A898" t="str">
            <v>405-006-015-0001</v>
          </cell>
          <cell r="B898" t="str">
            <v>Wireless Equipment Repair Charges</v>
          </cell>
          <cell r="C898">
            <v>4</v>
          </cell>
          <cell r="D898">
            <v>0</v>
          </cell>
        </row>
        <row r="899">
          <cell r="A899" t="str">
            <v>405-006-016-0000</v>
          </cell>
          <cell r="B899" t="str">
            <v>Project Maintainance Cost</v>
          </cell>
          <cell r="C899">
            <v>3</v>
          </cell>
          <cell r="D899">
            <v>240000</v>
          </cell>
        </row>
        <row r="900">
          <cell r="A900" t="str">
            <v>405-006-016-0001</v>
          </cell>
          <cell r="B900" t="str">
            <v>Project Maintainance Cost</v>
          </cell>
          <cell r="C900">
            <v>4</v>
          </cell>
          <cell r="D900">
            <v>240000</v>
          </cell>
        </row>
        <row r="901">
          <cell r="A901" t="str">
            <v>405-007-000-0000</v>
          </cell>
          <cell r="B901" t="str">
            <v>Printing and stationery</v>
          </cell>
          <cell r="C901">
            <v>2</v>
          </cell>
          <cell r="D901">
            <v>0</v>
          </cell>
        </row>
        <row r="902">
          <cell r="A902" t="str">
            <v>405-007-001-0000</v>
          </cell>
          <cell r="B902" t="str">
            <v>Printing and stationery</v>
          </cell>
          <cell r="C902">
            <v>3</v>
          </cell>
          <cell r="D902">
            <v>0</v>
          </cell>
        </row>
        <row r="903">
          <cell r="A903" t="str">
            <v>405-007-001-0001</v>
          </cell>
          <cell r="B903" t="str">
            <v>Printing expenses</v>
          </cell>
          <cell r="C903">
            <v>4</v>
          </cell>
          <cell r="D903">
            <v>0</v>
          </cell>
        </row>
        <row r="904">
          <cell r="A904" t="str">
            <v>405-007-001-0002</v>
          </cell>
          <cell r="B904" t="str">
            <v>Stationery expenses</v>
          </cell>
          <cell r="C904">
            <v>4</v>
          </cell>
          <cell r="D904">
            <v>0</v>
          </cell>
        </row>
        <row r="905">
          <cell r="A905" t="str">
            <v>405-007-001-0003</v>
          </cell>
          <cell r="B905" t="str">
            <v>Computer stationery</v>
          </cell>
          <cell r="C905">
            <v>4</v>
          </cell>
          <cell r="D905">
            <v>0</v>
          </cell>
        </row>
        <row r="906">
          <cell r="A906" t="str">
            <v>405-007-001-0004</v>
          </cell>
          <cell r="B906" t="str">
            <v>Photocopies</v>
          </cell>
          <cell r="C906">
            <v>4</v>
          </cell>
          <cell r="D906">
            <v>0</v>
          </cell>
        </row>
        <row r="907">
          <cell r="A907" t="str">
            <v>405-008-000-0000</v>
          </cell>
          <cell r="B907" t="str">
            <v>Electric, Water and Gas Charges</v>
          </cell>
          <cell r="C907">
            <v>2</v>
          </cell>
          <cell r="D907">
            <v>0</v>
          </cell>
        </row>
        <row r="908">
          <cell r="A908" t="str">
            <v>405-008-001-0000</v>
          </cell>
          <cell r="B908" t="str">
            <v>Electricity</v>
          </cell>
          <cell r="C908">
            <v>3</v>
          </cell>
          <cell r="D908">
            <v>0</v>
          </cell>
        </row>
        <row r="909">
          <cell r="A909" t="str">
            <v>405-008-001-0001</v>
          </cell>
          <cell r="B909" t="str">
            <v>Electricity Installition Charges</v>
          </cell>
          <cell r="C909">
            <v>4</v>
          </cell>
          <cell r="D909">
            <v>0</v>
          </cell>
        </row>
        <row r="910">
          <cell r="A910" t="str">
            <v>405-008-001-0002</v>
          </cell>
          <cell r="B910" t="str">
            <v>Electricity Charges GHQ Share</v>
          </cell>
          <cell r="C910">
            <v>4</v>
          </cell>
          <cell r="D910">
            <v>0</v>
          </cell>
        </row>
        <row r="911">
          <cell r="A911" t="str">
            <v>405-008-001-0003</v>
          </cell>
          <cell r="B911" t="str">
            <v>Electricity Charges Bill #</v>
          </cell>
          <cell r="C911">
            <v>4</v>
          </cell>
          <cell r="D911">
            <v>0</v>
          </cell>
        </row>
        <row r="912">
          <cell r="A912" t="str">
            <v>405-008-001-0004</v>
          </cell>
          <cell r="B912" t="str">
            <v>Electricity Charges Bill #</v>
          </cell>
          <cell r="C912">
            <v>4</v>
          </cell>
          <cell r="D912">
            <v>0</v>
          </cell>
        </row>
        <row r="913">
          <cell r="A913" t="str">
            <v>405-008-001-0005</v>
          </cell>
          <cell r="B913" t="str">
            <v>Electricity Charges Bill #</v>
          </cell>
          <cell r="C913">
            <v>4</v>
          </cell>
          <cell r="D913">
            <v>0</v>
          </cell>
        </row>
        <row r="914">
          <cell r="A914" t="str">
            <v>405-008-002-0000</v>
          </cell>
          <cell r="B914" t="str">
            <v>Water charges</v>
          </cell>
          <cell r="C914">
            <v>3</v>
          </cell>
          <cell r="D914">
            <v>0</v>
          </cell>
        </row>
        <row r="915">
          <cell r="A915" t="str">
            <v>405-008-002-0001</v>
          </cell>
          <cell r="B915" t="str">
            <v>Water Installation Charges</v>
          </cell>
          <cell r="C915">
            <v>4</v>
          </cell>
          <cell r="D915">
            <v>0</v>
          </cell>
        </row>
        <row r="916">
          <cell r="A916" t="str">
            <v>405-008-002-0002</v>
          </cell>
          <cell r="B916" t="str">
            <v>Water Charges GHQ Share</v>
          </cell>
          <cell r="C916">
            <v>4</v>
          </cell>
          <cell r="D916">
            <v>0</v>
          </cell>
        </row>
        <row r="917">
          <cell r="A917" t="str">
            <v>405-008-002-0003</v>
          </cell>
          <cell r="B917" t="str">
            <v>Water Charges Bill #</v>
          </cell>
          <cell r="C917">
            <v>4</v>
          </cell>
          <cell r="D917">
            <v>0</v>
          </cell>
        </row>
        <row r="918">
          <cell r="A918" t="str">
            <v>405-008-003-0000</v>
          </cell>
          <cell r="B918" t="str">
            <v>Gas charges</v>
          </cell>
          <cell r="C918">
            <v>3</v>
          </cell>
          <cell r="D918">
            <v>0</v>
          </cell>
        </row>
        <row r="919">
          <cell r="A919" t="str">
            <v>405-008-003-0001</v>
          </cell>
          <cell r="B919" t="str">
            <v>Sui Gas Installation Charges</v>
          </cell>
          <cell r="C919">
            <v>4</v>
          </cell>
          <cell r="D919">
            <v>0</v>
          </cell>
        </row>
        <row r="920">
          <cell r="A920" t="str">
            <v>405-008-003-0002</v>
          </cell>
          <cell r="B920" t="str">
            <v>Sui Gas Charges Bill # GHQ Share</v>
          </cell>
          <cell r="C920">
            <v>4</v>
          </cell>
          <cell r="D920">
            <v>0</v>
          </cell>
        </row>
        <row r="921">
          <cell r="A921" t="str">
            <v>405-008-003-0003</v>
          </cell>
          <cell r="B921" t="str">
            <v>Sui Gas Charges Bill #</v>
          </cell>
          <cell r="C921">
            <v>4</v>
          </cell>
          <cell r="D921">
            <v>0</v>
          </cell>
        </row>
        <row r="922">
          <cell r="A922" t="str">
            <v>405-008-003-0004</v>
          </cell>
          <cell r="B922" t="str">
            <v>Sui Gas Cylinder</v>
          </cell>
          <cell r="C922">
            <v>4</v>
          </cell>
          <cell r="D922">
            <v>0</v>
          </cell>
        </row>
        <row r="923">
          <cell r="A923" t="str">
            <v>405-009-000-0000</v>
          </cell>
          <cell r="B923" t="str">
            <v>Communication Charges</v>
          </cell>
          <cell r="C923">
            <v>2</v>
          </cell>
          <cell r="D923">
            <v>0</v>
          </cell>
        </row>
        <row r="924">
          <cell r="A924" t="str">
            <v>405-009-001-0000</v>
          </cell>
          <cell r="B924" t="str">
            <v>Telephone charges</v>
          </cell>
          <cell r="C924">
            <v>3</v>
          </cell>
          <cell r="D924">
            <v>0</v>
          </cell>
        </row>
        <row r="925">
          <cell r="A925" t="str">
            <v>405-009-001-0001</v>
          </cell>
          <cell r="B925" t="str">
            <v>Telephone Installation Charges</v>
          </cell>
          <cell r="C925">
            <v>4</v>
          </cell>
          <cell r="D925">
            <v>0</v>
          </cell>
        </row>
        <row r="926">
          <cell r="A926" t="str">
            <v>405-009-001-0002</v>
          </cell>
          <cell r="B926" t="str">
            <v>Telephone Charges GHQ Share</v>
          </cell>
          <cell r="C926">
            <v>4</v>
          </cell>
          <cell r="D926">
            <v>0</v>
          </cell>
        </row>
        <row r="927">
          <cell r="A927" t="str">
            <v>405-009-001-0003</v>
          </cell>
          <cell r="B927" t="str">
            <v>Telephone Bill</v>
          </cell>
          <cell r="C927">
            <v>4</v>
          </cell>
          <cell r="D927">
            <v>0</v>
          </cell>
        </row>
        <row r="928">
          <cell r="A928" t="str">
            <v>405-009-002-0000</v>
          </cell>
          <cell r="B928" t="str">
            <v>Mobile Phone Charges</v>
          </cell>
          <cell r="C928">
            <v>3</v>
          </cell>
          <cell r="D928">
            <v>0</v>
          </cell>
        </row>
        <row r="929">
          <cell r="A929" t="str">
            <v>405-009-002-0001</v>
          </cell>
          <cell r="B929" t="str">
            <v>Mobile Phone Installation Charges</v>
          </cell>
          <cell r="C929">
            <v>4</v>
          </cell>
          <cell r="D929">
            <v>0</v>
          </cell>
        </row>
        <row r="930">
          <cell r="A930" t="str">
            <v>405-009-002-0002</v>
          </cell>
          <cell r="B930" t="str">
            <v>Mobile Phone  Charges GHQ Share</v>
          </cell>
          <cell r="C930">
            <v>4</v>
          </cell>
          <cell r="D930">
            <v>0</v>
          </cell>
        </row>
        <row r="931">
          <cell r="A931" t="str">
            <v>405-009-002-0003</v>
          </cell>
          <cell r="B931" t="str">
            <v>Mobile Phone  Bill ( No.7759322 )</v>
          </cell>
          <cell r="C931">
            <v>4</v>
          </cell>
          <cell r="D931">
            <v>0</v>
          </cell>
        </row>
        <row r="932">
          <cell r="A932" t="str">
            <v>405-009-003-0000</v>
          </cell>
          <cell r="B932" t="str">
            <v>Fax charges</v>
          </cell>
          <cell r="C932">
            <v>3</v>
          </cell>
          <cell r="D932">
            <v>0</v>
          </cell>
        </row>
        <row r="933">
          <cell r="A933" t="str">
            <v>405-009-003-0001</v>
          </cell>
          <cell r="B933" t="str">
            <v>Fax#</v>
          </cell>
          <cell r="C933">
            <v>4</v>
          </cell>
          <cell r="D933">
            <v>0</v>
          </cell>
        </row>
        <row r="934">
          <cell r="A934" t="str">
            <v>405-009-004-0000</v>
          </cell>
          <cell r="B934" t="str">
            <v>Telex and telegram</v>
          </cell>
          <cell r="C934">
            <v>3</v>
          </cell>
          <cell r="D934">
            <v>0</v>
          </cell>
        </row>
        <row r="935">
          <cell r="A935" t="str">
            <v>405-009-004-0001</v>
          </cell>
          <cell r="B935" t="str">
            <v>Telex and telegram</v>
          </cell>
          <cell r="C935">
            <v>4</v>
          </cell>
          <cell r="D935">
            <v>0</v>
          </cell>
        </row>
        <row r="936">
          <cell r="A936" t="str">
            <v>405-009-005-0000</v>
          </cell>
          <cell r="B936" t="str">
            <v>Postage</v>
          </cell>
          <cell r="C936">
            <v>3</v>
          </cell>
          <cell r="D936">
            <v>0</v>
          </cell>
        </row>
        <row r="937">
          <cell r="A937" t="str">
            <v>405-009-005-0001</v>
          </cell>
          <cell r="B937" t="str">
            <v>Postage</v>
          </cell>
          <cell r="C937">
            <v>4</v>
          </cell>
          <cell r="D937">
            <v>0</v>
          </cell>
        </row>
        <row r="938">
          <cell r="A938" t="str">
            <v>405-009-006-0000</v>
          </cell>
          <cell r="B938" t="str">
            <v>Pager</v>
          </cell>
          <cell r="C938">
            <v>3</v>
          </cell>
          <cell r="D938">
            <v>0</v>
          </cell>
        </row>
        <row r="939">
          <cell r="A939" t="str">
            <v>405-009-006-0001</v>
          </cell>
          <cell r="B939" t="str">
            <v>Pager</v>
          </cell>
          <cell r="C939">
            <v>4</v>
          </cell>
          <cell r="D939">
            <v>0</v>
          </cell>
        </row>
        <row r="940">
          <cell r="A940" t="str">
            <v>405-009-007-0000</v>
          </cell>
          <cell r="B940" t="str">
            <v>Internet charges</v>
          </cell>
          <cell r="C940">
            <v>3</v>
          </cell>
          <cell r="D940">
            <v>0</v>
          </cell>
        </row>
        <row r="941">
          <cell r="A941" t="str">
            <v>405-009-007-0001</v>
          </cell>
          <cell r="B941" t="str">
            <v>Internet charges</v>
          </cell>
          <cell r="C941">
            <v>4</v>
          </cell>
          <cell r="D941">
            <v>0</v>
          </cell>
        </row>
        <row r="942">
          <cell r="A942" t="str">
            <v>405-009-008-0000</v>
          </cell>
          <cell r="B942" t="str">
            <v>Wireless Charges</v>
          </cell>
          <cell r="C942">
            <v>3</v>
          </cell>
          <cell r="D942">
            <v>0</v>
          </cell>
        </row>
        <row r="943">
          <cell r="A943" t="str">
            <v>405-009-008-0001</v>
          </cell>
          <cell r="B943" t="str">
            <v>Wireless Charges</v>
          </cell>
          <cell r="C943">
            <v>4</v>
          </cell>
          <cell r="D943">
            <v>0</v>
          </cell>
        </row>
        <row r="944">
          <cell r="A944" t="str">
            <v>405-010-000-0000</v>
          </cell>
          <cell r="B944" t="str">
            <v>Entertainment</v>
          </cell>
          <cell r="C944">
            <v>2</v>
          </cell>
          <cell r="D944">
            <v>0</v>
          </cell>
        </row>
        <row r="945">
          <cell r="A945" t="str">
            <v>405-010-001-0000</v>
          </cell>
          <cell r="B945" t="str">
            <v>Entertainment</v>
          </cell>
          <cell r="C945">
            <v>3</v>
          </cell>
          <cell r="D945">
            <v>0</v>
          </cell>
        </row>
        <row r="946">
          <cell r="A946" t="str">
            <v>405-010-001-0001</v>
          </cell>
          <cell r="B946" t="str">
            <v>Project Office Entertainement</v>
          </cell>
          <cell r="C946">
            <v>4</v>
          </cell>
          <cell r="D946">
            <v>0</v>
          </cell>
        </row>
        <row r="947">
          <cell r="A947" t="str">
            <v>405-010-001-0002</v>
          </cell>
          <cell r="B947" t="str">
            <v>Field Staff Entertainment</v>
          </cell>
          <cell r="C947">
            <v>4</v>
          </cell>
          <cell r="D947">
            <v>0</v>
          </cell>
        </row>
        <row r="948">
          <cell r="A948" t="str">
            <v>405-011-000-0000</v>
          </cell>
          <cell r="B948" t="str">
            <v>Consultants Charges</v>
          </cell>
          <cell r="C948">
            <v>2</v>
          </cell>
          <cell r="D948">
            <v>8250</v>
          </cell>
        </row>
        <row r="949">
          <cell r="A949" t="str">
            <v>405-011-001-0000</v>
          </cell>
          <cell r="B949" t="str">
            <v>Consultants Charges</v>
          </cell>
          <cell r="C949">
            <v>3</v>
          </cell>
          <cell r="D949">
            <v>8250</v>
          </cell>
        </row>
        <row r="950">
          <cell r="A950" t="str">
            <v>405-011-001-0001</v>
          </cell>
          <cell r="B950" t="str">
            <v>Client Charges</v>
          </cell>
          <cell r="C950">
            <v>4</v>
          </cell>
          <cell r="D950">
            <v>8250</v>
          </cell>
        </row>
        <row r="951">
          <cell r="A951" t="str">
            <v>405-012-000-0000</v>
          </cell>
          <cell r="B951" t="str">
            <v>Auditors Remuneration</v>
          </cell>
          <cell r="C951">
            <v>2</v>
          </cell>
          <cell r="D951">
            <v>0</v>
          </cell>
        </row>
        <row r="952">
          <cell r="A952" t="str">
            <v>405-012-001-0000</v>
          </cell>
          <cell r="B952" t="str">
            <v>Auditors Remuneration</v>
          </cell>
          <cell r="C952">
            <v>3</v>
          </cell>
          <cell r="D952">
            <v>0</v>
          </cell>
        </row>
        <row r="953">
          <cell r="A953" t="str">
            <v>405-012-001-0001</v>
          </cell>
          <cell r="B953" t="str">
            <v>Auditors Remuneration</v>
          </cell>
          <cell r="C953">
            <v>4</v>
          </cell>
          <cell r="D953">
            <v>0</v>
          </cell>
        </row>
        <row r="954">
          <cell r="A954" t="str">
            <v>405-013-000-0000</v>
          </cell>
          <cell r="B954" t="str">
            <v>Fee and subscription</v>
          </cell>
          <cell r="C954">
            <v>2</v>
          </cell>
          <cell r="D954">
            <v>0</v>
          </cell>
        </row>
        <row r="955">
          <cell r="A955" t="str">
            <v>405-013-001-0000</v>
          </cell>
          <cell r="B955" t="str">
            <v>Fee and subscription</v>
          </cell>
          <cell r="C955">
            <v>3</v>
          </cell>
          <cell r="D955">
            <v>0</v>
          </cell>
        </row>
        <row r="956">
          <cell r="A956" t="str">
            <v>405-014-000-0000</v>
          </cell>
          <cell r="B956" t="str">
            <v>Insurance Expenses</v>
          </cell>
          <cell r="C956">
            <v>2</v>
          </cell>
          <cell r="D956">
            <v>0</v>
          </cell>
        </row>
        <row r="957">
          <cell r="A957" t="str">
            <v>405-014-001-0000</v>
          </cell>
          <cell r="B957" t="str">
            <v>Insurance Expenses</v>
          </cell>
          <cell r="C957">
            <v>3</v>
          </cell>
          <cell r="D957">
            <v>0</v>
          </cell>
        </row>
        <row r="958">
          <cell r="A958" t="str">
            <v>405-014-001-0001</v>
          </cell>
          <cell r="B958" t="str">
            <v>Cash Insurance Expenses</v>
          </cell>
          <cell r="C958">
            <v>4</v>
          </cell>
          <cell r="D958">
            <v>0</v>
          </cell>
        </row>
        <row r="959">
          <cell r="A959" t="str">
            <v>405-015-000-0000</v>
          </cell>
          <cell r="B959" t="str">
            <v>Professional Tax</v>
          </cell>
          <cell r="C959">
            <v>2</v>
          </cell>
          <cell r="D959">
            <v>0</v>
          </cell>
        </row>
        <row r="960">
          <cell r="A960" t="str">
            <v>405-015-001-0000</v>
          </cell>
          <cell r="B960" t="str">
            <v>Professional Tax</v>
          </cell>
          <cell r="C960">
            <v>3</v>
          </cell>
          <cell r="D960">
            <v>0</v>
          </cell>
        </row>
        <row r="961">
          <cell r="A961" t="str">
            <v>405-015-001-0001</v>
          </cell>
          <cell r="B961" t="str">
            <v>Professional Tax</v>
          </cell>
          <cell r="C961">
            <v>4</v>
          </cell>
          <cell r="D961">
            <v>0</v>
          </cell>
        </row>
        <row r="962">
          <cell r="A962" t="str">
            <v>405-016-000-0000</v>
          </cell>
          <cell r="B962" t="str">
            <v>News paper and periodicals</v>
          </cell>
          <cell r="C962">
            <v>2</v>
          </cell>
          <cell r="D962">
            <v>0</v>
          </cell>
        </row>
        <row r="963">
          <cell r="A963" t="str">
            <v>405-016-001-0000</v>
          </cell>
          <cell r="B963" t="str">
            <v>News paper and periodicals</v>
          </cell>
          <cell r="C963">
            <v>3</v>
          </cell>
          <cell r="D963">
            <v>0</v>
          </cell>
        </row>
        <row r="964">
          <cell r="A964" t="str">
            <v>405-016-001-0001</v>
          </cell>
          <cell r="B964" t="str">
            <v>Newspapers</v>
          </cell>
          <cell r="C964">
            <v>4</v>
          </cell>
          <cell r="D964">
            <v>0</v>
          </cell>
        </row>
        <row r="965">
          <cell r="A965" t="str">
            <v>405-017-000-0000</v>
          </cell>
          <cell r="B965" t="str">
            <v>Charity and donation</v>
          </cell>
          <cell r="C965">
            <v>2</v>
          </cell>
          <cell r="D965">
            <v>0</v>
          </cell>
        </row>
        <row r="966">
          <cell r="A966" t="str">
            <v>405-017-001-0000</v>
          </cell>
          <cell r="B966" t="str">
            <v>Charity and Donation</v>
          </cell>
          <cell r="C966">
            <v>3</v>
          </cell>
          <cell r="D966">
            <v>0</v>
          </cell>
        </row>
        <row r="967">
          <cell r="A967" t="str">
            <v>405-017-001-0001</v>
          </cell>
          <cell r="B967" t="str">
            <v>Charity</v>
          </cell>
          <cell r="C967">
            <v>4</v>
          </cell>
          <cell r="D967">
            <v>0</v>
          </cell>
        </row>
        <row r="968">
          <cell r="A968" t="str">
            <v>405-017-001-0002</v>
          </cell>
          <cell r="B968" t="str">
            <v>Donations</v>
          </cell>
          <cell r="C968">
            <v>4</v>
          </cell>
          <cell r="D968">
            <v>0</v>
          </cell>
        </row>
        <row r="969">
          <cell r="A969" t="str">
            <v>405-018-000-0000</v>
          </cell>
          <cell r="B969" t="str">
            <v>Advertisement expenses</v>
          </cell>
          <cell r="C969">
            <v>2</v>
          </cell>
          <cell r="D969">
            <v>0</v>
          </cell>
        </row>
        <row r="970">
          <cell r="A970" t="str">
            <v>405-018-001-0000</v>
          </cell>
          <cell r="B970" t="str">
            <v>Advertisement expenses</v>
          </cell>
          <cell r="C970">
            <v>3</v>
          </cell>
          <cell r="D970">
            <v>0</v>
          </cell>
        </row>
        <row r="971">
          <cell r="A971" t="str">
            <v>405-018-001-0001</v>
          </cell>
          <cell r="B971" t="str">
            <v>Advertisement Newspapers</v>
          </cell>
          <cell r="C971">
            <v>4</v>
          </cell>
          <cell r="D971">
            <v>0</v>
          </cell>
        </row>
        <row r="972">
          <cell r="A972" t="str">
            <v>405-019-000-0000</v>
          </cell>
          <cell r="B972" t="str">
            <v>Research, Development and Planning</v>
          </cell>
          <cell r="C972">
            <v>2</v>
          </cell>
          <cell r="D972">
            <v>21500</v>
          </cell>
        </row>
        <row r="973">
          <cell r="A973" t="str">
            <v>405-019-001-0000</v>
          </cell>
          <cell r="B973" t="str">
            <v>Research, Development and Planning</v>
          </cell>
          <cell r="C973">
            <v>3</v>
          </cell>
          <cell r="D973">
            <v>21500</v>
          </cell>
        </row>
        <row r="974">
          <cell r="A974" t="str">
            <v>405-019-001-0001</v>
          </cell>
          <cell r="B974" t="str">
            <v>Documentations Expenses</v>
          </cell>
          <cell r="C974">
            <v>4</v>
          </cell>
          <cell r="D974">
            <v>0</v>
          </cell>
        </row>
        <row r="975">
          <cell r="A975" t="str">
            <v>405-019-001-0002</v>
          </cell>
          <cell r="B975" t="str">
            <v>Photography Expenses</v>
          </cell>
          <cell r="C975">
            <v>4</v>
          </cell>
          <cell r="D975">
            <v>0</v>
          </cell>
        </row>
        <row r="976">
          <cell r="A976" t="str">
            <v>405-019-001-0003</v>
          </cell>
          <cell r="B976" t="str">
            <v>Vedio Making Expenses</v>
          </cell>
          <cell r="C976">
            <v>4</v>
          </cell>
          <cell r="D976">
            <v>0</v>
          </cell>
        </row>
        <row r="977">
          <cell r="A977" t="str">
            <v>405-019-001-0004</v>
          </cell>
          <cell r="B977" t="str">
            <v>Survey Expenses</v>
          </cell>
          <cell r="C977">
            <v>4</v>
          </cell>
          <cell r="D977">
            <v>0</v>
          </cell>
        </row>
        <row r="978">
          <cell r="A978" t="str">
            <v>405-019-001-0005</v>
          </cell>
          <cell r="B978" t="str">
            <v>Laboratory  Expenses</v>
          </cell>
          <cell r="C978">
            <v>4</v>
          </cell>
          <cell r="D978">
            <v>21500</v>
          </cell>
        </row>
        <row r="979">
          <cell r="A979" t="str">
            <v>405-019-001-0006</v>
          </cell>
          <cell r="B979" t="str">
            <v>Consultancy Charges</v>
          </cell>
          <cell r="C979">
            <v>4</v>
          </cell>
          <cell r="D979">
            <v>0</v>
          </cell>
        </row>
        <row r="980">
          <cell r="A980" t="str">
            <v>405-019-001-0007</v>
          </cell>
          <cell r="B980" t="str">
            <v>Desingning Charges</v>
          </cell>
          <cell r="C980">
            <v>4</v>
          </cell>
          <cell r="D980">
            <v>0</v>
          </cell>
        </row>
        <row r="981">
          <cell r="A981" t="str">
            <v>405-019-001-0008</v>
          </cell>
          <cell r="B981" t="str">
            <v>Site Auxiliry Work</v>
          </cell>
          <cell r="C981">
            <v>4</v>
          </cell>
          <cell r="D981">
            <v>0</v>
          </cell>
        </row>
        <row r="982">
          <cell r="A982" t="str">
            <v>405-019-001-0009</v>
          </cell>
          <cell r="B982" t="str">
            <v>Temporary Hutting</v>
          </cell>
          <cell r="C982">
            <v>4</v>
          </cell>
          <cell r="D982">
            <v>0</v>
          </cell>
        </row>
        <row r="983">
          <cell r="A983" t="str">
            <v>405-019-001-0010</v>
          </cell>
          <cell r="B983" t="str">
            <v>Consultancy Charges for Financial Documents</v>
          </cell>
          <cell r="C983">
            <v>4</v>
          </cell>
          <cell r="D983">
            <v>0</v>
          </cell>
        </row>
        <row r="984">
          <cell r="A984" t="str">
            <v>405-019-001-0011</v>
          </cell>
          <cell r="B984" t="str">
            <v>Shifting Services(Purch&amp;Laying Optical fibre cable</v>
          </cell>
          <cell r="C984">
            <v>4</v>
          </cell>
          <cell r="D984">
            <v>0</v>
          </cell>
        </row>
        <row r="985">
          <cell r="A985" t="str">
            <v>405-019-001-0012</v>
          </cell>
          <cell r="B985" t="str">
            <v>Computer Consultancy Charges</v>
          </cell>
          <cell r="C985">
            <v>4</v>
          </cell>
          <cell r="D985">
            <v>0</v>
          </cell>
        </row>
        <row r="986">
          <cell r="A986" t="str">
            <v>405-019-001-0013</v>
          </cell>
          <cell r="B986" t="str">
            <v>Computerised Billing Charges</v>
          </cell>
          <cell r="C986">
            <v>4</v>
          </cell>
          <cell r="D986">
            <v>0</v>
          </cell>
        </row>
        <row r="987">
          <cell r="A987" t="str">
            <v>405-019-001-0014</v>
          </cell>
          <cell r="B987" t="str">
            <v>Lahore Kahna Road Feasibility Report</v>
          </cell>
          <cell r="C987">
            <v>4</v>
          </cell>
          <cell r="D987">
            <v>0</v>
          </cell>
        </row>
        <row r="988">
          <cell r="A988" t="str">
            <v>405-019-001-0015</v>
          </cell>
          <cell r="B988" t="str">
            <v>Cost of Tender Project</v>
          </cell>
          <cell r="C988">
            <v>4</v>
          </cell>
          <cell r="D988">
            <v>0</v>
          </cell>
        </row>
        <row r="989">
          <cell r="A989" t="str">
            <v>405-020-000-0000</v>
          </cell>
          <cell r="B989" t="str">
            <v>Transportation, Carriage and Freight Expenses</v>
          </cell>
          <cell r="C989">
            <v>2</v>
          </cell>
          <cell r="D989">
            <v>0</v>
          </cell>
        </row>
        <row r="990">
          <cell r="A990" t="str">
            <v>405-020-001-0000</v>
          </cell>
          <cell r="B990" t="str">
            <v>Transportation, Carriage and Freight Expenses</v>
          </cell>
          <cell r="C990">
            <v>3</v>
          </cell>
          <cell r="D990">
            <v>0</v>
          </cell>
        </row>
        <row r="991">
          <cell r="A991" t="str">
            <v>405-020-001-0001</v>
          </cell>
          <cell r="B991" t="str">
            <v>Transportation Expenses</v>
          </cell>
          <cell r="C991">
            <v>4</v>
          </cell>
          <cell r="D991">
            <v>0</v>
          </cell>
        </row>
        <row r="992">
          <cell r="A992" t="str">
            <v>405-020-001-0002</v>
          </cell>
          <cell r="B992" t="str">
            <v>Carriage and Freight Expenses</v>
          </cell>
          <cell r="C992">
            <v>4</v>
          </cell>
          <cell r="D992">
            <v>0</v>
          </cell>
        </row>
        <row r="993">
          <cell r="A993" t="str">
            <v>405-020-001-0003</v>
          </cell>
          <cell r="B993" t="str">
            <v>Loading, Unloading</v>
          </cell>
          <cell r="C993">
            <v>4</v>
          </cell>
          <cell r="D993">
            <v>0</v>
          </cell>
        </row>
        <row r="994">
          <cell r="A994" t="str">
            <v>405-021-000-0000</v>
          </cell>
          <cell r="B994" t="str">
            <v>Hiring Charges</v>
          </cell>
          <cell r="C994">
            <v>2</v>
          </cell>
          <cell r="D994">
            <v>0</v>
          </cell>
        </row>
        <row r="995">
          <cell r="A995" t="str">
            <v>405-021-001-0000</v>
          </cell>
          <cell r="B995" t="str">
            <v>Heavy Vehicle Hiring charges</v>
          </cell>
          <cell r="C995">
            <v>3</v>
          </cell>
          <cell r="D995">
            <v>0</v>
          </cell>
        </row>
        <row r="996">
          <cell r="A996" t="str">
            <v>405-021-001-0001</v>
          </cell>
          <cell r="B996" t="str">
            <v>Control Heavy Vehicle Hiring charges</v>
          </cell>
          <cell r="C996">
            <v>4</v>
          </cell>
          <cell r="D996">
            <v>0</v>
          </cell>
        </row>
        <row r="997">
          <cell r="A997" t="str">
            <v>405-021-002-0000</v>
          </cell>
          <cell r="B997" t="str">
            <v>Light Vehicle Hiring charges</v>
          </cell>
          <cell r="C997">
            <v>3</v>
          </cell>
          <cell r="D997">
            <v>0</v>
          </cell>
        </row>
        <row r="998">
          <cell r="A998" t="str">
            <v>405-021-002-0001</v>
          </cell>
          <cell r="B998" t="str">
            <v>Control Light Vehicle Hiring charges</v>
          </cell>
          <cell r="C998">
            <v>4</v>
          </cell>
          <cell r="D998">
            <v>0</v>
          </cell>
        </row>
        <row r="999">
          <cell r="A999" t="str">
            <v>405-021-003-0000</v>
          </cell>
          <cell r="B999" t="str">
            <v>Plant and Machinery Hiring charges</v>
          </cell>
          <cell r="C999">
            <v>3</v>
          </cell>
          <cell r="D999">
            <v>0</v>
          </cell>
        </row>
        <row r="1000">
          <cell r="A1000" t="str">
            <v>405-021-003-0001</v>
          </cell>
          <cell r="B1000" t="str">
            <v>Plant and Machinery Hiring charges</v>
          </cell>
          <cell r="C1000">
            <v>4</v>
          </cell>
          <cell r="D1000">
            <v>0</v>
          </cell>
        </row>
        <row r="1001">
          <cell r="A1001" t="str">
            <v>405-021-004-0000</v>
          </cell>
          <cell r="B1001" t="str">
            <v>Equipment Hiring Charges</v>
          </cell>
          <cell r="C1001">
            <v>3</v>
          </cell>
          <cell r="D1001">
            <v>0</v>
          </cell>
        </row>
        <row r="1002">
          <cell r="A1002" t="str">
            <v>405-021-004-0001</v>
          </cell>
          <cell r="B1002" t="str">
            <v>Equipment Hiring Charges</v>
          </cell>
          <cell r="C1002">
            <v>4</v>
          </cell>
          <cell r="D1002">
            <v>0</v>
          </cell>
        </row>
        <row r="1003">
          <cell r="A1003" t="str">
            <v>405-021-005-0000</v>
          </cell>
          <cell r="B1003" t="str">
            <v>Machinery Hiring Charges</v>
          </cell>
          <cell r="C1003">
            <v>3</v>
          </cell>
          <cell r="D1003">
            <v>0</v>
          </cell>
        </row>
        <row r="1004">
          <cell r="A1004" t="str">
            <v>405-021-005-0001</v>
          </cell>
          <cell r="B1004" t="str">
            <v>Machinery Hiring Charges</v>
          </cell>
          <cell r="C1004">
            <v>4</v>
          </cell>
          <cell r="D1004">
            <v>0</v>
          </cell>
        </row>
        <row r="1005">
          <cell r="A1005" t="str">
            <v>405-021-006-0000</v>
          </cell>
          <cell r="B1005" t="str">
            <v>Crane Hiring Charges</v>
          </cell>
          <cell r="C1005">
            <v>3</v>
          </cell>
          <cell r="D1005">
            <v>0</v>
          </cell>
        </row>
        <row r="1006">
          <cell r="A1006" t="str">
            <v>405-021-006-0001</v>
          </cell>
          <cell r="B1006" t="str">
            <v>Crane Hiring Charges</v>
          </cell>
          <cell r="C1006">
            <v>4</v>
          </cell>
          <cell r="D1006">
            <v>0</v>
          </cell>
        </row>
        <row r="1007">
          <cell r="A1007" t="str">
            <v>405-022-000-0000</v>
          </cell>
          <cell r="B1007" t="str">
            <v>Lease Rent</v>
          </cell>
          <cell r="C1007">
            <v>2</v>
          </cell>
          <cell r="D1007">
            <v>0</v>
          </cell>
        </row>
        <row r="1008">
          <cell r="A1008" t="str">
            <v>405-022-001-0000</v>
          </cell>
          <cell r="B1008" t="str">
            <v>Lease Rent</v>
          </cell>
          <cell r="C1008">
            <v>3</v>
          </cell>
          <cell r="D1008">
            <v>0</v>
          </cell>
        </row>
        <row r="1009">
          <cell r="A1009" t="str">
            <v>405-022-001-0001</v>
          </cell>
          <cell r="B1009" t="str">
            <v>Land Lease Rent Charges</v>
          </cell>
          <cell r="C1009">
            <v>4</v>
          </cell>
          <cell r="D1009">
            <v>0</v>
          </cell>
        </row>
        <row r="1010">
          <cell r="A1010" t="str">
            <v>405-023-000-0000</v>
          </cell>
          <cell r="B1010" t="str">
            <v>Depreciation of Operating Fixed Assets</v>
          </cell>
          <cell r="C1010">
            <v>2</v>
          </cell>
          <cell r="D1010">
            <v>68000</v>
          </cell>
        </row>
        <row r="1011">
          <cell r="A1011" t="str">
            <v>405-023-001-0000</v>
          </cell>
          <cell r="B1011" t="str">
            <v>Depreciation of Operating Fixed Assets</v>
          </cell>
          <cell r="C1011">
            <v>3</v>
          </cell>
          <cell r="D1011">
            <v>68000</v>
          </cell>
        </row>
        <row r="1012">
          <cell r="A1012" t="str">
            <v>405-023-001-0001</v>
          </cell>
          <cell r="B1012" t="str">
            <v>Depreciation of Operating Fixed Assets</v>
          </cell>
          <cell r="C1012">
            <v>4</v>
          </cell>
          <cell r="D1012">
            <v>68000</v>
          </cell>
        </row>
        <row r="1013">
          <cell r="A1013" t="str">
            <v>405-024-000-0000</v>
          </cell>
          <cell r="B1013" t="str">
            <v>Amortisation of Lease Assets</v>
          </cell>
          <cell r="C1013">
            <v>2</v>
          </cell>
          <cell r="D1013">
            <v>0</v>
          </cell>
        </row>
        <row r="1014">
          <cell r="A1014" t="str">
            <v>405-024-001-0000</v>
          </cell>
          <cell r="B1014" t="str">
            <v>Amortisation of Lease Assets</v>
          </cell>
          <cell r="C1014">
            <v>3</v>
          </cell>
          <cell r="D1014">
            <v>0</v>
          </cell>
        </row>
        <row r="1015">
          <cell r="A1015" t="str">
            <v>405-024-001-0001</v>
          </cell>
          <cell r="B1015" t="str">
            <v>Amortisation of Lease Assets</v>
          </cell>
          <cell r="C1015">
            <v>4</v>
          </cell>
          <cell r="D1015">
            <v>0</v>
          </cell>
        </row>
        <row r="1016">
          <cell r="A1016" t="str">
            <v>405-025-000-0000</v>
          </cell>
          <cell r="B1016" t="str">
            <v>Amortisation of deferred cost</v>
          </cell>
          <cell r="C1016">
            <v>2</v>
          </cell>
          <cell r="D1016">
            <v>0</v>
          </cell>
        </row>
        <row r="1017">
          <cell r="A1017" t="str">
            <v>405-025-001-0000</v>
          </cell>
          <cell r="B1017" t="str">
            <v>Amortisation of deferred cost</v>
          </cell>
          <cell r="C1017">
            <v>3</v>
          </cell>
          <cell r="D1017">
            <v>0</v>
          </cell>
        </row>
        <row r="1018">
          <cell r="A1018" t="str">
            <v>405-025-001-0001</v>
          </cell>
          <cell r="B1018" t="str">
            <v>Amortisation of deferred cost</v>
          </cell>
          <cell r="C1018">
            <v>4</v>
          </cell>
          <cell r="D1018">
            <v>0</v>
          </cell>
        </row>
        <row r="1019">
          <cell r="A1019" t="str">
            <v>405-026-000-0000</v>
          </cell>
          <cell r="B1019" t="str">
            <v>Miscellaneous Expenses</v>
          </cell>
          <cell r="C1019">
            <v>2</v>
          </cell>
          <cell r="D1019">
            <v>0</v>
          </cell>
        </row>
        <row r="1020">
          <cell r="A1020" t="str">
            <v>405-026-001-0000</v>
          </cell>
          <cell r="B1020" t="str">
            <v>Miscellaneous Expenses</v>
          </cell>
          <cell r="C1020">
            <v>3</v>
          </cell>
          <cell r="D1020">
            <v>0</v>
          </cell>
        </row>
        <row r="1021">
          <cell r="A1021" t="str">
            <v>405-026-001-0001</v>
          </cell>
          <cell r="B1021" t="str">
            <v>Miscellaneous Expenses</v>
          </cell>
          <cell r="C1021">
            <v>4</v>
          </cell>
          <cell r="D1021">
            <v>0</v>
          </cell>
        </row>
        <row r="1022">
          <cell r="A1022" t="str">
            <v>406-000-000-0000</v>
          </cell>
          <cell r="B1022" t="str">
            <v>Work done subcontractors</v>
          </cell>
          <cell r="C1022">
            <v>1</v>
          </cell>
          <cell r="D1022">
            <v>29407070</v>
          </cell>
        </row>
        <row r="1023">
          <cell r="A1023" t="str">
            <v>406-001-000-0000</v>
          </cell>
          <cell r="B1023" t="str">
            <v>Work done subcontractors</v>
          </cell>
          <cell r="C1023">
            <v>2</v>
          </cell>
          <cell r="D1023">
            <v>29407070</v>
          </cell>
        </row>
        <row r="1024">
          <cell r="A1024" t="str">
            <v>406-001-001-0000</v>
          </cell>
          <cell r="B1024" t="str">
            <v>Work done subcontractors</v>
          </cell>
          <cell r="C1024">
            <v>3</v>
          </cell>
          <cell r="D1024">
            <v>29407070</v>
          </cell>
        </row>
        <row r="1025">
          <cell r="A1025" t="str">
            <v>406-001-001-1001</v>
          </cell>
          <cell r="B1025" t="str">
            <v>Aamir Builders Work Done</v>
          </cell>
          <cell r="C1025">
            <v>4</v>
          </cell>
          <cell r="D1025">
            <v>0</v>
          </cell>
        </row>
        <row r="1026">
          <cell r="A1026" t="str">
            <v>406-001-001-1002</v>
          </cell>
          <cell r="B1026" t="str">
            <v>Sadat Construction Co Work done</v>
          </cell>
          <cell r="C1026">
            <v>4</v>
          </cell>
          <cell r="D1026">
            <v>0</v>
          </cell>
        </row>
        <row r="1027">
          <cell r="A1027" t="str">
            <v>406-001-001-1003</v>
          </cell>
          <cell r="B1027" t="str">
            <v>Concrete master workdone</v>
          </cell>
          <cell r="C1027">
            <v>4</v>
          </cell>
          <cell r="D1027">
            <v>0</v>
          </cell>
        </row>
        <row r="1028">
          <cell r="A1028" t="str">
            <v>406-001-001-1004</v>
          </cell>
          <cell r="B1028" t="str">
            <v>Crescent Associates work done</v>
          </cell>
          <cell r="C1028">
            <v>4</v>
          </cell>
          <cell r="D1028">
            <v>0</v>
          </cell>
        </row>
        <row r="1029">
          <cell r="A1029" t="str">
            <v>406-001-001-1005</v>
          </cell>
          <cell r="B1029" t="str">
            <v>Dynamic enterprises work done</v>
          </cell>
          <cell r="C1029">
            <v>4</v>
          </cell>
          <cell r="D1029">
            <v>0</v>
          </cell>
        </row>
        <row r="1030">
          <cell r="A1030" t="str">
            <v>406-001-001-1006</v>
          </cell>
          <cell r="B1030" t="str">
            <v>Foar Engineering System work done</v>
          </cell>
          <cell r="C1030">
            <v>4</v>
          </cell>
          <cell r="D1030">
            <v>0</v>
          </cell>
        </row>
        <row r="1031">
          <cell r="A1031" t="str">
            <v>406-001-001-1007</v>
          </cell>
          <cell r="B1031" t="str">
            <v>FRS Associates work done</v>
          </cell>
          <cell r="C1031">
            <v>4</v>
          </cell>
          <cell r="D1031">
            <v>0</v>
          </cell>
        </row>
        <row r="1032">
          <cell r="A1032" t="str">
            <v>406-001-001-1008</v>
          </cell>
          <cell r="B1032" t="str">
            <v>Haidry Construction work done</v>
          </cell>
          <cell r="C1032">
            <v>4</v>
          </cell>
          <cell r="D1032">
            <v>0</v>
          </cell>
        </row>
        <row r="1033">
          <cell r="A1033" t="str">
            <v>406-001-001-1009</v>
          </cell>
          <cell r="B1033" t="str">
            <v>Karcon Pvt Ltd work done</v>
          </cell>
          <cell r="C1033">
            <v>4</v>
          </cell>
          <cell r="D1033">
            <v>0</v>
          </cell>
        </row>
        <row r="1034">
          <cell r="A1034" t="str">
            <v>406-001-001-1010</v>
          </cell>
          <cell r="B1034" t="str">
            <v>Massed Developers work done</v>
          </cell>
          <cell r="C1034">
            <v>4</v>
          </cell>
          <cell r="D1034">
            <v>0</v>
          </cell>
        </row>
        <row r="1035">
          <cell r="A1035" t="str">
            <v>406-001-001-1011</v>
          </cell>
          <cell r="B1035" t="str">
            <v>Malik Ijaz Amjad work done</v>
          </cell>
          <cell r="C1035">
            <v>4</v>
          </cell>
          <cell r="D1035">
            <v>0</v>
          </cell>
        </row>
        <row r="1036">
          <cell r="A1036" t="str">
            <v>406-001-001-1012</v>
          </cell>
          <cell r="B1036" t="str">
            <v>Mian Muhammad Sharif  work done</v>
          </cell>
          <cell r="C1036">
            <v>4</v>
          </cell>
          <cell r="D1036">
            <v>0</v>
          </cell>
        </row>
        <row r="1037">
          <cell r="A1037" t="str">
            <v>406-001-001-1013</v>
          </cell>
          <cell r="B1037" t="str">
            <v>Mian Nisar and Company workdone</v>
          </cell>
          <cell r="C1037">
            <v>4</v>
          </cell>
          <cell r="D1037">
            <v>0</v>
          </cell>
        </row>
        <row r="1038">
          <cell r="A1038" t="str">
            <v>406-001-001-1014</v>
          </cell>
          <cell r="B1038" t="str">
            <v>Platnium Enterprises workdone</v>
          </cell>
          <cell r="C1038">
            <v>4</v>
          </cell>
          <cell r="D1038">
            <v>0</v>
          </cell>
        </row>
        <row r="1039">
          <cell r="A1039" t="str">
            <v>406-001-001-1015</v>
          </cell>
          <cell r="B1039" t="str">
            <v>Sambu Construction workdone</v>
          </cell>
          <cell r="C1039">
            <v>4</v>
          </cell>
          <cell r="D1039">
            <v>0</v>
          </cell>
        </row>
        <row r="1040">
          <cell r="A1040" t="str">
            <v>406-001-001-1016</v>
          </cell>
          <cell r="B1040" t="str">
            <v>Signage security system work done</v>
          </cell>
          <cell r="C1040">
            <v>4</v>
          </cell>
          <cell r="D1040">
            <v>0</v>
          </cell>
        </row>
        <row r="1041">
          <cell r="A1041" t="str">
            <v>406-001-001-1017</v>
          </cell>
          <cell r="B1041" t="str">
            <v>Syed sultan saeed work done</v>
          </cell>
          <cell r="C1041">
            <v>4</v>
          </cell>
          <cell r="D1041">
            <v>0</v>
          </cell>
        </row>
        <row r="1042">
          <cell r="A1042" t="str">
            <v>406-001-001-1018</v>
          </cell>
          <cell r="B1042" t="str">
            <v>SASA  international work done</v>
          </cell>
          <cell r="C1042">
            <v>4</v>
          </cell>
          <cell r="D1042">
            <v>0</v>
          </cell>
        </row>
        <row r="1043">
          <cell r="A1043" t="str">
            <v>406-001-001-1019</v>
          </cell>
          <cell r="B1043" t="str">
            <v>Swift Services work done</v>
          </cell>
          <cell r="C1043">
            <v>4</v>
          </cell>
          <cell r="D1043">
            <v>0</v>
          </cell>
        </row>
        <row r="1044">
          <cell r="A1044" t="str">
            <v>406-001-001-1020</v>
          </cell>
          <cell r="B1044" t="str">
            <v>Tyco Integrated System work done</v>
          </cell>
          <cell r="C1044">
            <v>4</v>
          </cell>
          <cell r="D1044">
            <v>0</v>
          </cell>
        </row>
        <row r="1045">
          <cell r="A1045" t="str">
            <v>406-001-001-1021</v>
          </cell>
          <cell r="B1045" t="str">
            <v>Nadir Constrution Company work done</v>
          </cell>
          <cell r="C1045">
            <v>4</v>
          </cell>
          <cell r="D1045">
            <v>0</v>
          </cell>
        </row>
        <row r="1046">
          <cell r="A1046" t="str">
            <v>406-001-001-1022</v>
          </cell>
          <cell r="B1046" t="str">
            <v>Zahir Khan and Brothers work done</v>
          </cell>
          <cell r="C1046">
            <v>4</v>
          </cell>
          <cell r="D1046">
            <v>0</v>
          </cell>
        </row>
        <row r="1047">
          <cell r="A1047" t="str">
            <v>406-001-001-1023</v>
          </cell>
          <cell r="B1047" t="str">
            <v>Rashid Associates Work Done</v>
          </cell>
          <cell r="C1047">
            <v>4</v>
          </cell>
          <cell r="D1047">
            <v>0</v>
          </cell>
        </row>
        <row r="1048">
          <cell r="A1048" t="str">
            <v>406-001-001-1032</v>
          </cell>
          <cell r="B1048" t="str">
            <v>Xen Wapda Work Done</v>
          </cell>
          <cell r="C1048">
            <v>4</v>
          </cell>
          <cell r="D1048">
            <v>0</v>
          </cell>
        </row>
        <row r="1049">
          <cell r="A1049" t="str">
            <v>406-001-001-1033</v>
          </cell>
          <cell r="B1049" t="str">
            <v>M/S Techman Civil Engineering Work done</v>
          </cell>
          <cell r="C1049">
            <v>4</v>
          </cell>
          <cell r="D1049">
            <v>0</v>
          </cell>
        </row>
        <row r="1050">
          <cell r="A1050" t="str">
            <v>406-001-001-1034</v>
          </cell>
          <cell r="B1050" t="str">
            <v>M/S Syed Guftar Shah Work Done</v>
          </cell>
          <cell r="C1050">
            <v>4</v>
          </cell>
          <cell r="D1050">
            <v>0</v>
          </cell>
        </row>
        <row r="1051">
          <cell r="A1051" t="str">
            <v>406-001-001-1035</v>
          </cell>
          <cell r="B1051" t="str">
            <v>M/S Muhammad Hussain Work Done</v>
          </cell>
          <cell r="C1051">
            <v>4</v>
          </cell>
          <cell r="D1051">
            <v>0</v>
          </cell>
        </row>
        <row r="1052">
          <cell r="A1052" t="str">
            <v>406-001-001-1036</v>
          </cell>
          <cell r="B1052" t="str">
            <v>M/S Muhammad Aamir Khan Work Dome</v>
          </cell>
          <cell r="C1052">
            <v>4</v>
          </cell>
          <cell r="D1052">
            <v>0</v>
          </cell>
        </row>
        <row r="1053">
          <cell r="A1053" t="str">
            <v>406-001-001-1037</v>
          </cell>
          <cell r="B1053" t="str">
            <v>M/S Muhammad Zaib Work Done</v>
          </cell>
          <cell r="C1053">
            <v>4</v>
          </cell>
          <cell r="D1053">
            <v>0</v>
          </cell>
        </row>
        <row r="1054">
          <cell r="A1054" t="str">
            <v>406-001-001-1045</v>
          </cell>
          <cell r="B1054" t="str">
            <v>Highway Contractors Work done</v>
          </cell>
          <cell r="C1054">
            <v>4</v>
          </cell>
          <cell r="D1054">
            <v>0</v>
          </cell>
        </row>
        <row r="1055">
          <cell r="A1055" t="str">
            <v>406-001-001-1046</v>
          </cell>
          <cell r="B1055" t="str">
            <v>M/S Muhammad Azam</v>
          </cell>
          <cell r="C1055">
            <v>4</v>
          </cell>
          <cell r="D1055">
            <v>0</v>
          </cell>
        </row>
        <row r="1056">
          <cell r="A1056" t="str">
            <v>406-001-001-1047</v>
          </cell>
          <cell r="B1056" t="str">
            <v>M/S MRRP</v>
          </cell>
          <cell r="C1056">
            <v>4</v>
          </cell>
          <cell r="D1056">
            <v>0</v>
          </cell>
        </row>
        <row r="1057">
          <cell r="A1057" t="str">
            <v>406-001-001-1048</v>
          </cell>
          <cell r="B1057" t="str">
            <v>M/S Technoline Work Done</v>
          </cell>
          <cell r="C1057">
            <v>4</v>
          </cell>
          <cell r="D1057">
            <v>0</v>
          </cell>
        </row>
        <row r="1058">
          <cell r="A1058" t="str">
            <v>406-001-001-1049</v>
          </cell>
          <cell r="B1058" t="str">
            <v>M/S J &amp; W workdone</v>
          </cell>
          <cell r="C1058">
            <v>4</v>
          </cell>
          <cell r="D1058">
            <v>0</v>
          </cell>
        </row>
        <row r="1059">
          <cell r="A1059" t="str">
            <v>406-001-001-1050</v>
          </cell>
          <cell r="B1059" t="str">
            <v>M/S Asad Rameez Work Done</v>
          </cell>
          <cell r="C1059">
            <v>4</v>
          </cell>
          <cell r="D1059">
            <v>0</v>
          </cell>
        </row>
        <row r="1060">
          <cell r="A1060" t="str">
            <v>406-001-001-1051</v>
          </cell>
          <cell r="B1060" t="str">
            <v>M/S Saleem &amp; Brothers Work Done</v>
          </cell>
          <cell r="C1060">
            <v>4</v>
          </cell>
          <cell r="D1060">
            <v>0</v>
          </cell>
        </row>
        <row r="1061">
          <cell r="A1061" t="str">
            <v>406-001-001-1052</v>
          </cell>
          <cell r="B1061" t="str">
            <v>M/S Syed Associates Work Done</v>
          </cell>
          <cell r="C1061">
            <v>4</v>
          </cell>
          <cell r="D1061">
            <v>0</v>
          </cell>
        </row>
        <row r="1062">
          <cell r="A1062" t="str">
            <v>406-001-001-1053</v>
          </cell>
          <cell r="B1062" t="str">
            <v>M/S Ali Associates Work Done</v>
          </cell>
          <cell r="C1062">
            <v>4</v>
          </cell>
          <cell r="D1062">
            <v>0</v>
          </cell>
        </row>
        <row r="1063">
          <cell r="A1063" t="str">
            <v>406-001-001-1054</v>
          </cell>
          <cell r="B1063" t="str">
            <v>M/S Tripple M Work Done</v>
          </cell>
          <cell r="C1063">
            <v>4</v>
          </cell>
          <cell r="D1063">
            <v>0</v>
          </cell>
        </row>
        <row r="1064">
          <cell r="A1064" t="str">
            <v>406-001-001-1055</v>
          </cell>
          <cell r="B1064" t="str">
            <v>M/S Swayra Enterprise Work Done</v>
          </cell>
          <cell r="C1064">
            <v>4</v>
          </cell>
          <cell r="D1064">
            <v>0</v>
          </cell>
        </row>
        <row r="1065">
          <cell r="A1065" t="str">
            <v>406-001-001-1056</v>
          </cell>
          <cell r="B1065" t="str">
            <v>M/S (Closed) Ali Associates W.D</v>
          </cell>
          <cell r="C1065">
            <v>4</v>
          </cell>
          <cell r="D1065">
            <v>0</v>
          </cell>
        </row>
        <row r="1066">
          <cell r="A1066" t="str">
            <v>406-001-001-1057</v>
          </cell>
          <cell r="B1066" t="str">
            <v>M/S Foar Road Marking</v>
          </cell>
          <cell r="C1066">
            <v>4</v>
          </cell>
          <cell r="D1066">
            <v>0</v>
          </cell>
        </row>
        <row r="1067">
          <cell r="A1067" t="str">
            <v>406-001-001-1058</v>
          </cell>
          <cell r="B1067" t="str">
            <v>M/S Javed Mumtaz (Pvt) Ltd</v>
          </cell>
          <cell r="C1067">
            <v>4</v>
          </cell>
          <cell r="D1067">
            <v>0</v>
          </cell>
        </row>
        <row r="1068">
          <cell r="A1068" t="str">
            <v>406-001-001-1064</v>
          </cell>
          <cell r="B1068" t="str">
            <v>M/S Sajjad (Pvt) Ltd</v>
          </cell>
          <cell r="C1068">
            <v>4</v>
          </cell>
          <cell r="D1068">
            <v>0</v>
          </cell>
        </row>
        <row r="1069">
          <cell r="A1069" t="str">
            <v>406-001-001-1065</v>
          </cell>
          <cell r="B1069" t="str">
            <v>M/S Sky Engineers</v>
          </cell>
          <cell r="C1069">
            <v>4</v>
          </cell>
          <cell r="D1069">
            <v>0</v>
          </cell>
        </row>
        <row r="1070">
          <cell r="A1070" t="str">
            <v>406-001-001-1066</v>
          </cell>
          <cell r="B1070" t="str">
            <v>M/S Eastern Highway</v>
          </cell>
          <cell r="C1070">
            <v>4</v>
          </cell>
          <cell r="D1070">
            <v>0</v>
          </cell>
        </row>
        <row r="1071">
          <cell r="A1071" t="str">
            <v>406-001-001-1067</v>
          </cell>
          <cell r="B1071" t="str">
            <v>M/S Yar Muhammad Khan Khattak</v>
          </cell>
          <cell r="C1071">
            <v>4</v>
          </cell>
          <cell r="D1071">
            <v>0</v>
          </cell>
        </row>
        <row r="1072">
          <cell r="A1072" t="str">
            <v>406-001-001-1069</v>
          </cell>
          <cell r="B1072" t="str">
            <v>M/S Sadaat Enterprises</v>
          </cell>
          <cell r="C1072">
            <v>4</v>
          </cell>
          <cell r="D1072">
            <v>0</v>
          </cell>
        </row>
        <row r="1073">
          <cell r="A1073" t="str">
            <v>406-001-001-1070</v>
          </cell>
          <cell r="B1073" t="str">
            <v>M/S Shad Khan &amp; Sons</v>
          </cell>
          <cell r="C1073">
            <v>4</v>
          </cell>
          <cell r="D1073">
            <v>14284381</v>
          </cell>
        </row>
        <row r="1074">
          <cell r="A1074" t="str">
            <v>406-001-001-1071</v>
          </cell>
          <cell r="B1074" t="str">
            <v>M/S Amir Iqbal &amp; Co.</v>
          </cell>
          <cell r="C1074">
            <v>4</v>
          </cell>
          <cell r="D1074">
            <v>0</v>
          </cell>
        </row>
        <row r="1075">
          <cell r="A1075" t="str">
            <v>406-001-001-1072</v>
          </cell>
          <cell r="B1075" t="str">
            <v>M/S Ascent Associates</v>
          </cell>
          <cell r="C1075">
            <v>4</v>
          </cell>
          <cell r="D1075">
            <v>7677699</v>
          </cell>
        </row>
        <row r="1076">
          <cell r="A1076" t="str">
            <v>406-001-001-1073</v>
          </cell>
          <cell r="B1076" t="str">
            <v>M/S Omer Farooq Co.</v>
          </cell>
          <cell r="C1076">
            <v>4</v>
          </cell>
          <cell r="D1076">
            <v>7444990</v>
          </cell>
        </row>
        <row r="1077">
          <cell r="A1077" t="str">
            <v>406-001-001-9999</v>
          </cell>
          <cell r="B1077" t="str">
            <v>Final Bill Work done</v>
          </cell>
          <cell r="C1077">
            <v>4</v>
          </cell>
          <cell r="D1077">
            <v>0</v>
          </cell>
        </row>
        <row r="1078">
          <cell r="A1078" t="str">
            <v>407-000-000-0000</v>
          </cell>
          <cell r="B1078" t="str">
            <v>Work in Progress</v>
          </cell>
          <cell r="C1078">
            <v>1</v>
          </cell>
          <cell r="D1078">
            <v>0</v>
          </cell>
        </row>
        <row r="1079">
          <cell r="A1079" t="str">
            <v>407-001-000-0000</v>
          </cell>
          <cell r="B1079" t="str">
            <v>Work in Progress</v>
          </cell>
          <cell r="C1079">
            <v>2</v>
          </cell>
          <cell r="D1079">
            <v>0</v>
          </cell>
        </row>
        <row r="1080">
          <cell r="A1080" t="str">
            <v>407-001-001-0000</v>
          </cell>
          <cell r="B1080" t="str">
            <v>Work in Progress</v>
          </cell>
          <cell r="C1080">
            <v>3</v>
          </cell>
          <cell r="D1080">
            <v>0</v>
          </cell>
        </row>
        <row r="1081">
          <cell r="A1081" t="str">
            <v>407-001-001-0001</v>
          </cell>
          <cell r="B1081" t="str">
            <v>Work in Progress</v>
          </cell>
          <cell r="C1081">
            <v>4</v>
          </cell>
          <cell r="D1081">
            <v>0</v>
          </cell>
        </row>
        <row r="1082">
          <cell r="A1082" t="str">
            <v>408-000-000-0000</v>
          </cell>
          <cell r="B1082" t="str">
            <v>Work in process</v>
          </cell>
          <cell r="C1082">
            <v>1</v>
          </cell>
          <cell r="D1082">
            <v>0</v>
          </cell>
        </row>
        <row r="1083">
          <cell r="A1083" t="str">
            <v>408-001-000-0000</v>
          </cell>
          <cell r="B1083" t="str">
            <v>Work in process</v>
          </cell>
          <cell r="C1083">
            <v>2</v>
          </cell>
          <cell r="D1083">
            <v>0</v>
          </cell>
        </row>
        <row r="1084">
          <cell r="A1084" t="str">
            <v>408-001-001-0000</v>
          </cell>
          <cell r="B1084" t="str">
            <v>Work in process</v>
          </cell>
          <cell r="C1084">
            <v>3</v>
          </cell>
          <cell r="D1084">
            <v>0</v>
          </cell>
        </row>
        <row r="1085">
          <cell r="A1085" t="str">
            <v>408-001-001-0001</v>
          </cell>
          <cell r="B1085" t="str">
            <v>Work in process</v>
          </cell>
          <cell r="C1085">
            <v>4</v>
          </cell>
          <cell r="D1085">
            <v>0</v>
          </cell>
        </row>
        <row r="1086">
          <cell r="A1086" t="str">
            <v>409-000-000-0000</v>
          </cell>
          <cell r="B1086" t="str">
            <v>Finished Goods</v>
          </cell>
          <cell r="C1086">
            <v>1</v>
          </cell>
          <cell r="D1086">
            <v>0</v>
          </cell>
        </row>
        <row r="1087">
          <cell r="A1087" t="str">
            <v>409-001-000-0000</v>
          </cell>
          <cell r="B1087" t="str">
            <v>Finished Goods</v>
          </cell>
          <cell r="C1087">
            <v>2</v>
          </cell>
          <cell r="D1087">
            <v>0</v>
          </cell>
        </row>
        <row r="1088">
          <cell r="A1088" t="str">
            <v>409-001-001-0000</v>
          </cell>
          <cell r="B1088" t="str">
            <v>Finished Goods</v>
          </cell>
          <cell r="C1088">
            <v>3</v>
          </cell>
          <cell r="D1088">
            <v>0</v>
          </cell>
        </row>
        <row r="1089">
          <cell r="A1089" t="str">
            <v>409-001-001-0001</v>
          </cell>
          <cell r="B1089" t="str">
            <v>Finished Goods</v>
          </cell>
          <cell r="C1089">
            <v>4</v>
          </cell>
          <cell r="D1089">
            <v>0</v>
          </cell>
        </row>
        <row r="1090">
          <cell r="A1090" t="str">
            <v>500-000-000-0000</v>
          </cell>
          <cell r="B1090" t="str">
            <v>Administrative and General Expanses</v>
          </cell>
          <cell r="C1090">
            <v>1</v>
          </cell>
          <cell r="D1090">
            <v>136860</v>
          </cell>
        </row>
        <row r="1091">
          <cell r="A1091" t="str">
            <v>500-001-000-0000</v>
          </cell>
          <cell r="B1091" t="str">
            <v>Salaries and benefits</v>
          </cell>
          <cell r="C1091">
            <v>2</v>
          </cell>
          <cell r="D1091">
            <v>0</v>
          </cell>
        </row>
        <row r="1092">
          <cell r="A1092" t="str">
            <v>500-001-001-0000</v>
          </cell>
          <cell r="B1092" t="str">
            <v>Salaries and Benefits Army Officeres</v>
          </cell>
          <cell r="C1092">
            <v>3</v>
          </cell>
          <cell r="D1092">
            <v>0</v>
          </cell>
        </row>
        <row r="1093">
          <cell r="A1093" t="str">
            <v>500-001-001-0001</v>
          </cell>
          <cell r="B1093" t="str">
            <v>Salaries Army Officeres</v>
          </cell>
          <cell r="C1093">
            <v>4</v>
          </cell>
          <cell r="D1093">
            <v>0</v>
          </cell>
        </row>
        <row r="1094">
          <cell r="A1094" t="str">
            <v>500-001-001-0002</v>
          </cell>
          <cell r="B1094" t="str">
            <v>Benefits Army Officeres</v>
          </cell>
          <cell r="C1094">
            <v>4</v>
          </cell>
          <cell r="D1094">
            <v>0</v>
          </cell>
        </row>
        <row r="1095">
          <cell r="A1095" t="str">
            <v>500-001-001-0003</v>
          </cell>
          <cell r="B1095" t="str">
            <v>Overtime Army Officeres</v>
          </cell>
          <cell r="C1095">
            <v>4</v>
          </cell>
          <cell r="D1095">
            <v>0</v>
          </cell>
        </row>
        <row r="1096">
          <cell r="A1096" t="str">
            <v>500-001-001-0004</v>
          </cell>
          <cell r="B1096" t="str">
            <v>Medical Army Officeres</v>
          </cell>
          <cell r="C1096">
            <v>4</v>
          </cell>
          <cell r="D1096">
            <v>0</v>
          </cell>
        </row>
        <row r="1097">
          <cell r="A1097" t="str">
            <v>500-001-002-0000</v>
          </cell>
          <cell r="B1097" t="str">
            <v>Salaries and Benefits Civilian Staff</v>
          </cell>
          <cell r="C1097">
            <v>3</v>
          </cell>
          <cell r="D1097">
            <v>0</v>
          </cell>
        </row>
        <row r="1098">
          <cell r="A1098" t="str">
            <v>500-001-002-0001</v>
          </cell>
          <cell r="B1098" t="str">
            <v>Salaries Civilian Staff</v>
          </cell>
          <cell r="C1098">
            <v>4</v>
          </cell>
          <cell r="D1098">
            <v>0</v>
          </cell>
        </row>
        <row r="1099">
          <cell r="A1099" t="str">
            <v>500-001-002-0002</v>
          </cell>
          <cell r="B1099" t="str">
            <v>Benefits Civilian Staff</v>
          </cell>
          <cell r="C1099">
            <v>4</v>
          </cell>
          <cell r="D1099">
            <v>0</v>
          </cell>
        </row>
        <row r="1100">
          <cell r="A1100" t="str">
            <v>500-001-002-0003</v>
          </cell>
          <cell r="B1100" t="str">
            <v>Overtime Civilian Staff</v>
          </cell>
          <cell r="C1100">
            <v>4</v>
          </cell>
          <cell r="D1100">
            <v>0</v>
          </cell>
        </row>
        <row r="1101">
          <cell r="A1101" t="str">
            <v>500-001-002-0004</v>
          </cell>
          <cell r="B1101" t="str">
            <v>Medical Civilian Staff</v>
          </cell>
          <cell r="C1101">
            <v>4</v>
          </cell>
          <cell r="D1101">
            <v>0</v>
          </cell>
        </row>
        <row r="1102">
          <cell r="A1102" t="str">
            <v>500-001-003-0000</v>
          </cell>
          <cell r="B1102" t="str">
            <v>Salaries and Benefits JCO's Staff</v>
          </cell>
          <cell r="C1102">
            <v>3</v>
          </cell>
          <cell r="D1102">
            <v>0</v>
          </cell>
        </row>
        <row r="1103">
          <cell r="A1103" t="str">
            <v>500-001-003-0001</v>
          </cell>
          <cell r="B1103" t="str">
            <v>Salaries JCO's Staff</v>
          </cell>
          <cell r="C1103">
            <v>4</v>
          </cell>
          <cell r="D1103">
            <v>0</v>
          </cell>
        </row>
        <row r="1104">
          <cell r="A1104" t="str">
            <v>500-001-003-0002</v>
          </cell>
          <cell r="B1104" t="str">
            <v>Benefits JCO's Staff</v>
          </cell>
          <cell r="C1104">
            <v>4</v>
          </cell>
          <cell r="D1104">
            <v>0</v>
          </cell>
        </row>
        <row r="1105">
          <cell r="A1105" t="str">
            <v>500-001-003-0003</v>
          </cell>
          <cell r="B1105" t="str">
            <v>Overtime JCO's Staff</v>
          </cell>
          <cell r="C1105">
            <v>4</v>
          </cell>
          <cell r="D1105">
            <v>0</v>
          </cell>
        </row>
        <row r="1106">
          <cell r="A1106" t="str">
            <v>500-001-003-0004</v>
          </cell>
          <cell r="B1106" t="str">
            <v>Medical JCO's Staff</v>
          </cell>
          <cell r="C1106">
            <v>4</v>
          </cell>
          <cell r="D1106">
            <v>0</v>
          </cell>
        </row>
        <row r="1107">
          <cell r="A1107" t="str">
            <v>500-002-000-0000</v>
          </cell>
          <cell r="B1107" t="str">
            <v>Uniform to Staff</v>
          </cell>
          <cell r="C1107">
            <v>2</v>
          </cell>
          <cell r="D1107">
            <v>0</v>
          </cell>
        </row>
        <row r="1108">
          <cell r="A1108" t="str">
            <v>500-002-001-0000</v>
          </cell>
          <cell r="B1108" t="str">
            <v>Uniform to Staff</v>
          </cell>
          <cell r="C1108">
            <v>3</v>
          </cell>
          <cell r="D1108">
            <v>0</v>
          </cell>
        </row>
        <row r="1109">
          <cell r="A1109" t="str">
            <v>500-002-001-0001</v>
          </cell>
          <cell r="B1109" t="str">
            <v>Uniform Army Officers</v>
          </cell>
          <cell r="C1109">
            <v>4</v>
          </cell>
          <cell r="D1109">
            <v>0</v>
          </cell>
        </row>
        <row r="1110">
          <cell r="A1110" t="str">
            <v>500-002-001-0002</v>
          </cell>
          <cell r="B1110" t="str">
            <v>Uniform Civilin Staff</v>
          </cell>
          <cell r="C1110">
            <v>4</v>
          </cell>
          <cell r="D1110">
            <v>0</v>
          </cell>
        </row>
        <row r="1111">
          <cell r="A1111" t="str">
            <v>500-002-001-0003</v>
          </cell>
          <cell r="B1111" t="str">
            <v>Uniform JCO's Staff</v>
          </cell>
          <cell r="C1111">
            <v>4</v>
          </cell>
          <cell r="D1111">
            <v>0</v>
          </cell>
        </row>
        <row r="1112">
          <cell r="A1112" t="str">
            <v>500-003-000-0000</v>
          </cell>
          <cell r="B1112" t="str">
            <v>Rent, rates and taxes</v>
          </cell>
          <cell r="C1112">
            <v>2</v>
          </cell>
          <cell r="D1112">
            <v>0</v>
          </cell>
        </row>
        <row r="1113">
          <cell r="A1113" t="str">
            <v>500-003-001-0000</v>
          </cell>
          <cell r="B1113" t="str">
            <v>Rent, rates and taxes</v>
          </cell>
          <cell r="C1113">
            <v>3</v>
          </cell>
          <cell r="D1113">
            <v>0</v>
          </cell>
        </row>
        <row r="1114">
          <cell r="A1114" t="str">
            <v>500-003-001-0001</v>
          </cell>
          <cell r="B1114" t="str">
            <v>Rent</v>
          </cell>
          <cell r="C1114">
            <v>4</v>
          </cell>
          <cell r="D1114">
            <v>0</v>
          </cell>
        </row>
        <row r="1115">
          <cell r="A1115" t="str">
            <v>500-003-001-0002</v>
          </cell>
          <cell r="B1115" t="str">
            <v>Rates and Taxes</v>
          </cell>
          <cell r="C1115">
            <v>4</v>
          </cell>
          <cell r="D1115">
            <v>0</v>
          </cell>
        </row>
        <row r="1116">
          <cell r="A1116" t="str">
            <v>500-004-000-0000</v>
          </cell>
          <cell r="B1116" t="str">
            <v>Travelling and Conveyance</v>
          </cell>
          <cell r="C1116">
            <v>2</v>
          </cell>
          <cell r="D1116">
            <v>0</v>
          </cell>
        </row>
        <row r="1117">
          <cell r="A1117" t="str">
            <v>500-004-001-0000</v>
          </cell>
          <cell r="B1117" t="str">
            <v>Travelling and Conveyance</v>
          </cell>
          <cell r="C1117">
            <v>3</v>
          </cell>
          <cell r="D1117">
            <v>0</v>
          </cell>
        </row>
        <row r="1118">
          <cell r="A1118" t="str">
            <v>500-004-001-0001</v>
          </cell>
          <cell r="B1118" t="str">
            <v>Travelling and Conveyance to Army Officers</v>
          </cell>
          <cell r="C1118">
            <v>4</v>
          </cell>
          <cell r="D1118">
            <v>0</v>
          </cell>
        </row>
        <row r="1119">
          <cell r="A1119" t="str">
            <v>500-004-001-0002</v>
          </cell>
          <cell r="B1119" t="str">
            <v>Travelling and Conveyance to Civilin Staff</v>
          </cell>
          <cell r="C1119">
            <v>4</v>
          </cell>
          <cell r="D1119">
            <v>0</v>
          </cell>
        </row>
        <row r="1120">
          <cell r="A1120" t="str">
            <v>500-004-001-0003</v>
          </cell>
          <cell r="B1120" t="str">
            <v>Travelling and Conveyance to JCO's Staff</v>
          </cell>
          <cell r="C1120">
            <v>4</v>
          </cell>
          <cell r="D1120">
            <v>0</v>
          </cell>
        </row>
        <row r="1121">
          <cell r="A1121" t="str">
            <v>500-004-001-0004</v>
          </cell>
          <cell r="B1121" t="str">
            <v>Travelling and Conveyance to Associated Projects</v>
          </cell>
          <cell r="C1121">
            <v>4</v>
          </cell>
          <cell r="D1121">
            <v>0</v>
          </cell>
        </row>
        <row r="1122">
          <cell r="A1122" t="str">
            <v>500-004-001-0005</v>
          </cell>
          <cell r="B1122" t="str">
            <v>Travelling and Conveyance shared with HQ</v>
          </cell>
          <cell r="C1122">
            <v>4</v>
          </cell>
          <cell r="D1122">
            <v>0</v>
          </cell>
        </row>
        <row r="1123">
          <cell r="A1123" t="str">
            <v>500-005-000-0000</v>
          </cell>
          <cell r="B1123" t="str">
            <v>Vehicle Running Expenses</v>
          </cell>
          <cell r="C1123">
            <v>2</v>
          </cell>
          <cell r="D1123">
            <v>47682</v>
          </cell>
        </row>
        <row r="1124">
          <cell r="A1124" t="str">
            <v>500-005-001-0000</v>
          </cell>
          <cell r="B1124" t="str">
            <v>Light Vehicls Running Expenses</v>
          </cell>
          <cell r="C1124">
            <v>3</v>
          </cell>
          <cell r="D1124">
            <v>47682</v>
          </cell>
        </row>
        <row r="1125">
          <cell r="A1125" t="str">
            <v>500-005-001-0001</v>
          </cell>
          <cell r="B1125" t="str">
            <v>Light Vehicls Running Expenses</v>
          </cell>
          <cell r="C1125">
            <v>4</v>
          </cell>
          <cell r="D1125">
            <v>47682</v>
          </cell>
        </row>
        <row r="1126">
          <cell r="A1126" t="str">
            <v>500-006-000-0000</v>
          </cell>
          <cell r="B1126" t="str">
            <v>Repair and Maintainance</v>
          </cell>
          <cell r="C1126">
            <v>2</v>
          </cell>
          <cell r="D1126">
            <v>9364</v>
          </cell>
        </row>
        <row r="1127">
          <cell r="A1127" t="str">
            <v>500-006-001-0000</v>
          </cell>
          <cell r="B1127" t="str">
            <v>Repair &amp; Maintance Light Vehicle</v>
          </cell>
          <cell r="C1127">
            <v>3</v>
          </cell>
          <cell r="D1127">
            <v>2740</v>
          </cell>
        </row>
        <row r="1128">
          <cell r="A1128" t="str">
            <v>500-006-001-0001</v>
          </cell>
          <cell r="B1128" t="str">
            <v>Repair &amp; Maintance Light Vehicle</v>
          </cell>
          <cell r="C1128">
            <v>4</v>
          </cell>
          <cell r="D1128">
            <v>2740</v>
          </cell>
        </row>
        <row r="1129">
          <cell r="A1129" t="str">
            <v>500-006-002-0000</v>
          </cell>
          <cell r="B1129" t="str">
            <v>Computer Repair and Maintainance</v>
          </cell>
          <cell r="C1129">
            <v>3</v>
          </cell>
          <cell r="D1129">
            <v>0</v>
          </cell>
        </row>
        <row r="1130">
          <cell r="A1130" t="str">
            <v>500-006-002-0001</v>
          </cell>
          <cell r="B1130" t="str">
            <v>Computer Repair and Maintainance</v>
          </cell>
          <cell r="C1130">
            <v>4</v>
          </cell>
          <cell r="D1130">
            <v>0</v>
          </cell>
        </row>
        <row r="1131">
          <cell r="A1131" t="str">
            <v>500-006-002-0002</v>
          </cell>
          <cell r="B1131" t="str">
            <v>UPS Repair &amp; Maintenance</v>
          </cell>
          <cell r="C1131">
            <v>4</v>
          </cell>
          <cell r="D1131">
            <v>0</v>
          </cell>
        </row>
        <row r="1132">
          <cell r="A1132" t="str">
            <v>500-006-003-0000</v>
          </cell>
          <cell r="B1132" t="str">
            <v>Fax, Telephones and  Exchange Repair and Maintaina</v>
          </cell>
          <cell r="C1132">
            <v>3</v>
          </cell>
          <cell r="D1132">
            <v>6624</v>
          </cell>
        </row>
        <row r="1133">
          <cell r="A1133" t="str">
            <v>500-006-003-0001</v>
          </cell>
          <cell r="B1133" t="str">
            <v>Fax, Telephones and  Exchange Repair and Maintaina</v>
          </cell>
          <cell r="C1133">
            <v>4</v>
          </cell>
          <cell r="D1133">
            <v>6624</v>
          </cell>
        </row>
        <row r="1134">
          <cell r="A1134" t="str">
            <v>500-006-004-0000</v>
          </cell>
          <cell r="B1134" t="str">
            <v>Electric  Repair and Maintainance</v>
          </cell>
          <cell r="C1134">
            <v>3</v>
          </cell>
          <cell r="D1134">
            <v>0</v>
          </cell>
        </row>
        <row r="1135">
          <cell r="A1135" t="str">
            <v>500-006-004-0001</v>
          </cell>
          <cell r="B1135" t="str">
            <v>Electric  Repair and Maintainance</v>
          </cell>
          <cell r="C1135">
            <v>4</v>
          </cell>
          <cell r="D1135">
            <v>0</v>
          </cell>
        </row>
        <row r="1136">
          <cell r="A1136" t="str">
            <v>500-006-005-0000</v>
          </cell>
          <cell r="B1136" t="str">
            <v>Building Rapair and Maintenance</v>
          </cell>
          <cell r="C1136">
            <v>3</v>
          </cell>
          <cell r="D1136">
            <v>0</v>
          </cell>
        </row>
        <row r="1137">
          <cell r="A1137" t="str">
            <v>500-006-005-0001</v>
          </cell>
          <cell r="B1137" t="str">
            <v>Building Rapair and Maintenance</v>
          </cell>
          <cell r="C1137">
            <v>4</v>
          </cell>
          <cell r="D1137">
            <v>0</v>
          </cell>
        </row>
        <row r="1138">
          <cell r="A1138" t="str">
            <v>500-006-006-0000</v>
          </cell>
          <cell r="B1138" t="str">
            <v>Furniture &amp; Fixture Repair &amp; Maintenance</v>
          </cell>
          <cell r="C1138">
            <v>3</v>
          </cell>
          <cell r="D1138">
            <v>0</v>
          </cell>
        </row>
        <row r="1139">
          <cell r="A1139" t="str">
            <v>500-006-006-0001</v>
          </cell>
          <cell r="B1139" t="str">
            <v>Furniture &amp; Fixture Repair &amp; Maintenance</v>
          </cell>
          <cell r="C1139">
            <v>4</v>
          </cell>
          <cell r="D1139">
            <v>0</v>
          </cell>
        </row>
        <row r="1140">
          <cell r="A1140" t="str">
            <v>500-006-007-0000</v>
          </cell>
          <cell r="B1140" t="str">
            <v>Wireless Equipment Repair Charges</v>
          </cell>
          <cell r="C1140">
            <v>3</v>
          </cell>
          <cell r="D1140">
            <v>0</v>
          </cell>
        </row>
        <row r="1141">
          <cell r="A1141" t="str">
            <v>500-006-007-0001</v>
          </cell>
          <cell r="B1141" t="str">
            <v>Wireless Equipment Repair Charges</v>
          </cell>
          <cell r="C1141">
            <v>4</v>
          </cell>
          <cell r="D1141">
            <v>0</v>
          </cell>
        </row>
        <row r="1142">
          <cell r="A1142" t="str">
            <v>500-007-000-0000</v>
          </cell>
          <cell r="B1142" t="str">
            <v>Printing and stationery</v>
          </cell>
          <cell r="C1142">
            <v>2</v>
          </cell>
          <cell r="D1142">
            <v>15249</v>
          </cell>
        </row>
        <row r="1143">
          <cell r="A1143" t="str">
            <v>500-007-001-0000</v>
          </cell>
          <cell r="B1143" t="str">
            <v>Printing and stationery</v>
          </cell>
          <cell r="C1143">
            <v>3</v>
          </cell>
          <cell r="D1143">
            <v>15249</v>
          </cell>
        </row>
        <row r="1144">
          <cell r="A1144" t="str">
            <v>500-007-001-0001</v>
          </cell>
          <cell r="B1144" t="str">
            <v>Printing expenses</v>
          </cell>
          <cell r="C1144">
            <v>4</v>
          </cell>
          <cell r="D1144">
            <v>0</v>
          </cell>
        </row>
        <row r="1145">
          <cell r="A1145" t="str">
            <v>500-007-001-0002</v>
          </cell>
          <cell r="B1145" t="str">
            <v>Stationery expenses</v>
          </cell>
          <cell r="C1145">
            <v>4</v>
          </cell>
          <cell r="D1145">
            <v>9972</v>
          </cell>
        </row>
        <row r="1146">
          <cell r="A1146" t="str">
            <v>500-007-001-0003</v>
          </cell>
          <cell r="B1146" t="str">
            <v>Computer stationery</v>
          </cell>
          <cell r="C1146">
            <v>4</v>
          </cell>
          <cell r="D1146">
            <v>0</v>
          </cell>
        </row>
        <row r="1147">
          <cell r="A1147" t="str">
            <v>500-007-001-0004</v>
          </cell>
          <cell r="B1147" t="str">
            <v>Photocopies</v>
          </cell>
          <cell r="C1147">
            <v>4</v>
          </cell>
          <cell r="D1147">
            <v>5277</v>
          </cell>
        </row>
        <row r="1148">
          <cell r="A1148" t="str">
            <v>500-008-000-0000</v>
          </cell>
          <cell r="B1148" t="str">
            <v>Electric, Water and Gas Charges</v>
          </cell>
          <cell r="C1148">
            <v>2</v>
          </cell>
          <cell r="D1148">
            <v>19210</v>
          </cell>
        </row>
        <row r="1149">
          <cell r="A1149" t="str">
            <v>500-008-001-0000</v>
          </cell>
          <cell r="B1149" t="str">
            <v>Electricity</v>
          </cell>
          <cell r="C1149">
            <v>3</v>
          </cell>
          <cell r="D1149">
            <v>19210</v>
          </cell>
        </row>
        <row r="1150">
          <cell r="A1150" t="str">
            <v>500-008-001-0001</v>
          </cell>
          <cell r="B1150" t="str">
            <v>Electricity Installition Charges</v>
          </cell>
          <cell r="C1150">
            <v>4</v>
          </cell>
          <cell r="D1150">
            <v>0</v>
          </cell>
        </row>
        <row r="1151">
          <cell r="A1151" t="str">
            <v>500-008-001-0002</v>
          </cell>
          <cell r="B1151" t="str">
            <v>Electricity Charges GHQ Share</v>
          </cell>
          <cell r="C1151">
            <v>4</v>
          </cell>
          <cell r="D1151">
            <v>0</v>
          </cell>
        </row>
        <row r="1152">
          <cell r="A1152" t="str">
            <v>500-008-001-0003</v>
          </cell>
          <cell r="B1152" t="str">
            <v>Electricity Charges Bill #</v>
          </cell>
          <cell r="C1152">
            <v>4</v>
          </cell>
          <cell r="D1152">
            <v>19210</v>
          </cell>
        </row>
        <row r="1153">
          <cell r="A1153" t="str">
            <v>500-008-002-0000</v>
          </cell>
          <cell r="B1153" t="str">
            <v>Water charges</v>
          </cell>
          <cell r="C1153">
            <v>3</v>
          </cell>
          <cell r="D1153">
            <v>0</v>
          </cell>
        </row>
        <row r="1154">
          <cell r="A1154" t="str">
            <v>500-008-002-0001</v>
          </cell>
          <cell r="B1154" t="str">
            <v>Water Installition Charges</v>
          </cell>
          <cell r="C1154">
            <v>4</v>
          </cell>
          <cell r="D1154">
            <v>0</v>
          </cell>
        </row>
        <row r="1155">
          <cell r="A1155" t="str">
            <v>500-008-002-0002</v>
          </cell>
          <cell r="B1155" t="str">
            <v>Water Charges GHQ Share</v>
          </cell>
          <cell r="C1155">
            <v>4</v>
          </cell>
          <cell r="D1155">
            <v>0</v>
          </cell>
        </row>
        <row r="1156">
          <cell r="A1156" t="str">
            <v>500-008-002-0003</v>
          </cell>
          <cell r="B1156" t="str">
            <v>Water Charges Bill #</v>
          </cell>
          <cell r="C1156">
            <v>4</v>
          </cell>
          <cell r="D1156">
            <v>0</v>
          </cell>
        </row>
        <row r="1157">
          <cell r="A1157" t="str">
            <v>500-008-003-0000</v>
          </cell>
          <cell r="B1157" t="str">
            <v>Gas charges</v>
          </cell>
          <cell r="C1157">
            <v>3</v>
          </cell>
          <cell r="D1157">
            <v>0</v>
          </cell>
        </row>
        <row r="1158">
          <cell r="A1158" t="str">
            <v>500-008-003-0001</v>
          </cell>
          <cell r="B1158" t="str">
            <v>Sui Gas Installation Charges</v>
          </cell>
          <cell r="C1158">
            <v>4</v>
          </cell>
          <cell r="D1158">
            <v>0</v>
          </cell>
        </row>
        <row r="1159">
          <cell r="A1159" t="str">
            <v>500-008-003-0002</v>
          </cell>
          <cell r="B1159" t="str">
            <v>Sui Gas Charges Bill # GHQ Share</v>
          </cell>
          <cell r="C1159">
            <v>4</v>
          </cell>
          <cell r="D1159">
            <v>0</v>
          </cell>
        </row>
        <row r="1160">
          <cell r="A1160" t="str">
            <v>500-008-003-0003</v>
          </cell>
          <cell r="B1160" t="str">
            <v>Sui Gas Charges Bill #</v>
          </cell>
          <cell r="C1160">
            <v>4</v>
          </cell>
          <cell r="D1160">
            <v>0</v>
          </cell>
        </row>
        <row r="1161">
          <cell r="A1161" t="str">
            <v>500-009-000-0000</v>
          </cell>
          <cell r="B1161" t="str">
            <v>Communication Charges</v>
          </cell>
          <cell r="C1161">
            <v>2</v>
          </cell>
          <cell r="D1161">
            <v>22414</v>
          </cell>
        </row>
        <row r="1162">
          <cell r="A1162" t="str">
            <v>500-009-001-0000</v>
          </cell>
          <cell r="B1162" t="str">
            <v>Telephone charges</v>
          </cell>
          <cell r="C1162">
            <v>3</v>
          </cell>
          <cell r="D1162">
            <v>0</v>
          </cell>
        </row>
        <row r="1163">
          <cell r="A1163" t="str">
            <v>500-009-001-0001</v>
          </cell>
          <cell r="B1163" t="str">
            <v>Telephone Bill</v>
          </cell>
          <cell r="C1163">
            <v>4</v>
          </cell>
          <cell r="D1163">
            <v>0</v>
          </cell>
        </row>
        <row r="1164">
          <cell r="A1164" t="str">
            <v>500-009-001-0002</v>
          </cell>
          <cell r="B1164" t="str">
            <v>Telephone Charges GHQ Share</v>
          </cell>
          <cell r="C1164">
            <v>4</v>
          </cell>
          <cell r="D1164">
            <v>0</v>
          </cell>
        </row>
        <row r="1165">
          <cell r="A1165" t="str">
            <v>500-009-002-0000</v>
          </cell>
          <cell r="B1165" t="str">
            <v>Mobile Phone Charges</v>
          </cell>
          <cell r="C1165">
            <v>3</v>
          </cell>
          <cell r="D1165">
            <v>22414</v>
          </cell>
        </row>
        <row r="1166">
          <cell r="A1166" t="str">
            <v>500-009-002-0001</v>
          </cell>
          <cell r="B1166" t="str">
            <v>Mobile Phone Bill</v>
          </cell>
          <cell r="C1166">
            <v>4</v>
          </cell>
          <cell r="D1166">
            <v>21069</v>
          </cell>
        </row>
        <row r="1167">
          <cell r="A1167" t="str">
            <v>500-009-002-0002</v>
          </cell>
          <cell r="B1167" t="str">
            <v>Mobile Phone Connection Charges</v>
          </cell>
          <cell r="C1167">
            <v>4</v>
          </cell>
          <cell r="D1167">
            <v>1345</v>
          </cell>
        </row>
        <row r="1168">
          <cell r="A1168" t="str">
            <v>500-009-003-0000</v>
          </cell>
          <cell r="B1168" t="str">
            <v>Fax charges</v>
          </cell>
          <cell r="C1168">
            <v>3</v>
          </cell>
          <cell r="D1168">
            <v>0</v>
          </cell>
        </row>
        <row r="1169">
          <cell r="A1169" t="str">
            <v>500-009-003-0001</v>
          </cell>
          <cell r="B1169" t="str">
            <v>Fax#</v>
          </cell>
          <cell r="C1169">
            <v>4</v>
          </cell>
          <cell r="D1169">
            <v>0</v>
          </cell>
        </row>
        <row r="1170">
          <cell r="A1170" t="str">
            <v>500-009-004-0000</v>
          </cell>
          <cell r="B1170" t="str">
            <v>Telex and telegram</v>
          </cell>
          <cell r="C1170">
            <v>3</v>
          </cell>
          <cell r="D1170">
            <v>0</v>
          </cell>
        </row>
        <row r="1171">
          <cell r="A1171" t="str">
            <v>500-009-004-0001</v>
          </cell>
          <cell r="B1171" t="str">
            <v>Telex and telegram</v>
          </cell>
          <cell r="C1171">
            <v>4</v>
          </cell>
          <cell r="D1171">
            <v>0</v>
          </cell>
        </row>
        <row r="1172">
          <cell r="A1172" t="str">
            <v>500-009-005-0000</v>
          </cell>
          <cell r="B1172" t="str">
            <v>Postage</v>
          </cell>
          <cell r="C1172">
            <v>3</v>
          </cell>
          <cell r="D1172">
            <v>0</v>
          </cell>
        </row>
        <row r="1173">
          <cell r="A1173" t="str">
            <v>500-009-005-0001</v>
          </cell>
          <cell r="B1173" t="str">
            <v>Postage</v>
          </cell>
          <cell r="C1173">
            <v>4</v>
          </cell>
          <cell r="D1173">
            <v>0</v>
          </cell>
        </row>
        <row r="1174">
          <cell r="A1174" t="str">
            <v>500-009-006-0000</v>
          </cell>
          <cell r="B1174" t="str">
            <v>Pager</v>
          </cell>
          <cell r="C1174">
            <v>3</v>
          </cell>
          <cell r="D1174">
            <v>0</v>
          </cell>
        </row>
        <row r="1175">
          <cell r="A1175" t="str">
            <v>500-009-006-0001</v>
          </cell>
          <cell r="B1175" t="str">
            <v>Pager</v>
          </cell>
          <cell r="C1175">
            <v>4</v>
          </cell>
          <cell r="D1175">
            <v>0</v>
          </cell>
        </row>
        <row r="1176">
          <cell r="A1176" t="str">
            <v>500-009-007-0000</v>
          </cell>
          <cell r="B1176" t="str">
            <v>Internet charges</v>
          </cell>
          <cell r="C1176">
            <v>3</v>
          </cell>
          <cell r="D1176">
            <v>0</v>
          </cell>
        </row>
        <row r="1177">
          <cell r="A1177" t="str">
            <v>500-009-007-0001</v>
          </cell>
          <cell r="B1177" t="str">
            <v>Internet charges</v>
          </cell>
          <cell r="C1177">
            <v>4</v>
          </cell>
          <cell r="D1177">
            <v>0</v>
          </cell>
        </row>
        <row r="1178">
          <cell r="A1178" t="str">
            <v>500-009-008-0000</v>
          </cell>
          <cell r="B1178" t="str">
            <v>Wireless Charges</v>
          </cell>
          <cell r="C1178">
            <v>3</v>
          </cell>
          <cell r="D1178">
            <v>0</v>
          </cell>
        </row>
        <row r="1179">
          <cell r="A1179" t="str">
            <v>500-009-008-0001</v>
          </cell>
          <cell r="B1179" t="str">
            <v>Wireless Charges</v>
          </cell>
          <cell r="C1179">
            <v>4</v>
          </cell>
          <cell r="D1179">
            <v>0</v>
          </cell>
        </row>
        <row r="1180">
          <cell r="A1180" t="str">
            <v>500-010-000-0000</v>
          </cell>
          <cell r="B1180" t="str">
            <v>Entertainment</v>
          </cell>
          <cell r="C1180">
            <v>2</v>
          </cell>
          <cell r="D1180">
            <v>498</v>
          </cell>
        </row>
        <row r="1181">
          <cell r="A1181" t="str">
            <v>500-010-001-0000</v>
          </cell>
          <cell r="B1181" t="str">
            <v>Entertainment</v>
          </cell>
          <cell r="C1181">
            <v>3</v>
          </cell>
          <cell r="D1181">
            <v>498</v>
          </cell>
        </row>
        <row r="1182">
          <cell r="A1182" t="str">
            <v>500-010-001-0001</v>
          </cell>
          <cell r="B1182" t="str">
            <v>Office Entertainment</v>
          </cell>
          <cell r="C1182">
            <v>4</v>
          </cell>
          <cell r="D1182">
            <v>498</v>
          </cell>
        </row>
        <row r="1183">
          <cell r="A1183" t="str">
            <v>500-010-001-0002</v>
          </cell>
          <cell r="B1183" t="str">
            <v>GHQ  Entertainement Expenses</v>
          </cell>
          <cell r="C1183">
            <v>4</v>
          </cell>
          <cell r="D1183">
            <v>0</v>
          </cell>
        </row>
        <row r="1184">
          <cell r="A1184" t="str">
            <v>500-010-001-0003</v>
          </cell>
          <cell r="B1184" t="str">
            <v>Foreign Visitors Expenses</v>
          </cell>
          <cell r="C1184">
            <v>4</v>
          </cell>
          <cell r="D1184">
            <v>0</v>
          </cell>
        </row>
        <row r="1185">
          <cell r="A1185" t="str">
            <v>500-011-000-0000</v>
          </cell>
          <cell r="B1185" t="str">
            <v>Legal and professional charges</v>
          </cell>
          <cell r="C1185">
            <v>2</v>
          </cell>
          <cell r="D1185">
            <v>0</v>
          </cell>
        </row>
        <row r="1186">
          <cell r="A1186" t="str">
            <v>500-011-001-0000</v>
          </cell>
          <cell r="B1186" t="str">
            <v>Legal and professional charges</v>
          </cell>
          <cell r="C1186">
            <v>3</v>
          </cell>
          <cell r="D1186">
            <v>0</v>
          </cell>
        </row>
        <row r="1187">
          <cell r="A1187" t="str">
            <v>500-011-001-0001</v>
          </cell>
          <cell r="B1187" t="str">
            <v>Legal and professional charges</v>
          </cell>
          <cell r="C1187">
            <v>4</v>
          </cell>
          <cell r="D1187">
            <v>0</v>
          </cell>
        </row>
        <row r="1188">
          <cell r="A1188" t="str">
            <v>500-012-000-0000</v>
          </cell>
          <cell r="B1188" t="str">
            <v>Auditors Remuneration</v>
          </cell>
          <cell r="C1188">
            <v>2</v>
          </cell>
          <cell r="D1188">
            <v>0</v>
          </cell>
        </row>
        <row r="1189">
          <cell r="A1189" t="str">
            <v>500-012-001-0000</v>
          </cell>
          <cell r="B1189" t="str">
            <v>Auditors Remuneration</v>
          </cell>
          <cell r="C1189">
            <v>3</v>
          </cell>
          <cell r="D1189">
            <v>0</v>
          </cell>
        </row>
        <row r="1190">
          <cell r="A1190" t="str">
            <v>500-012-001-0001</v>
          </cell>
          <cell r="B1190" t="str">
            <v>Auditors Remuneration</v>
          </cell>
          <cell r="C1190">
            <v>4</v>
          </cell>
          <cell r="D1190">
            <v>0</v>
          </cell>
        </row>
        <row r="1191">
          <cell r="A1191" t="str">
            <v>500-013-000-0000</v>
          </cell>
          <cell r="B1191" t="str">
            <v>Fee and subscription</v>
          </cell>
          <cell r="C1191">
            <v>2</v>
          </cell>
          <cell r="D1191">
            <v>0</v>
          </cell>
        </row>
        <row r="1192">
          <cell r="A1192" t="str">
            <v>500-013-001-0000</v>
          </cell>
          <cell r="B1192" t="str">
            <v>Fee and subscription</v>
          </cell>
          <cell r="C1192">
            <v>3</v>
          </cell>
          <cell r="D1192">
            <v>0</v>
          </cell>
        </row>
        <row r="1193">
          <cell r="A1193" t="str">
            <v>500-014-000-0000</v>
          </cell>
          <cell r="B1193" t="str">
            <v>Insurance Expenses</v>
          </cell>
          <cell r="C1193">
            <v>2</v>
          </cell>
          <cell r="D1193">
            <v>0</v>
          </cell>
        </row>
        <row r="1194">
          <cell r="A1194" t="str">
            <v>500-014-001-0000</v>
          </cell>
          <cell r="B1194" t="str">
            <v>Insurance Expenses</v>
          </cell>
          <cell r="C1194">
            <v>3</v>
          </cell>
          <cell r="D1194">
            <v>0</v>
          </cell>
        </row>
        <row r="1195">
          <cell r="A1195" t="str">
            <v>500-014-001-0001</v>
          </cell>
          <cell r="B1195" t="str">
            <v>Cash Insurance Expenses</v>
          </cell>
          <cell r="C1195">
            <v>4</v>
          </cell>
          <cell r="D1195">
            <v>0</v>
          </cell>
        </row>
        <row r="1196">
          <cell r="A1196" t="str">
            <v>500-015-000-0000</v>
          </cell>
          <cell r="B1196" t="str">
            <v>Professional Tax</v>
          </cell>
          <cell r="C1196">
            <v>2</v>
          </cell>
          <cell r="D1196">
            <v>0</v>
          </cell>
        </row>
        <row r="1197">
          <cell r="A1197" t="str">
            <v>500-015-001-0000</v>
          </cell>
          <cell r="B1197" t="str">
            <v>Professional Tax</v>
          </cell>
          <cell r="C1197">
            <v>3</v>
          </cell>
          <cell r="D1197">
            <v>0</v>
          </cell>
        </row>
        <row r="1198">
          <cell r="A1198" t="str">
            <v>500-015-001-0001</v>
          </cell>
          <cell r="B1198" t="str">
            <v>Professional Tax</v>
          </cell>
          <cell r="C1198">
            <v>4</v>
          </cell>
          <cell r="D1198">
            <v>0</v>
          </cell>
        </row>
        <row r="1199">
          <cell r="A1199" t="str">
            <v>500-016-000-0000</v>
          </cell>
          <cell r="B1199" t="str">
            <v>News paper and periodicals</v>
          </cell>
          <cell r="C1199">
            <v>2</v>
          </cell>
          <cell r="D1199">
            <v>0</v>
          </cell>
        </row>
        <row r="1200">
          <cell r="A1200" t="str">
            <v>500-016-001-0000</v>
          </cell>
          <cell r="B1200" t="str">
            <v>News paper and periodicals</v>
          </cell>
          <cell r="C1200">
            <v>3</v>
          </cell>
          <cell r="D1200">
            <v>0</v>
          </cell>
        </row>
        <row r="1201">
          <cell r="A1201" t="str">
            <v>500-016-001-0001</v>
          </cell>
          <cell r="B1201" t="str">
            <v>Newspapers</v>
          </cell>
          <cell r="C1201">
            <v>4</v>
          </cell>
          <cell r="D1201">
            <v>0</v>
          </cell>
        </row>
        <row r="1202">
          <cell r="A1202" t="str">
            <v>500-016-001-0002</v>
          </cell>
          <cell r="B1202" t="str">
            <v>Periodicals</v>
          </cell>
          <cell r="C1202">
            <v>4</v>
          </cell>
          <cell r="D1202">
            <v>0</v>
          </cell>
        </row>
        <row r="1203">
          <cell r="A1203" t="str">
            <v>500-017-000-0000</v>
          </cell>
          <cell r="B1203" t="str">
            <v>Charity and donation</v>
          </cell>
          <cell r="C1203">
            <v>2</v>
          </cell>
          <cell r="D1203">
            <v>0</v>
          </cell>
        </row>
        <row r="1204">
          <cell r="A1204" t="str">
            <v>500-017-001-0000</v>
          </cell>
          <cell r="B1204" t="str">
            <v>Charity and donation</v>
          </cell>
          <cell r="C1204">
            <v>3</v>
          </cell>
          <cell r="D1204">
            <v>0</v>
          </cell>
        </row>
        <row r="1205">
          <cell r="A1205" t="str">
            <v>500-017-001-0001</v>
          </cell>
          <cell r="B1205" t="str">
            <v>Charity</v>
          </cell>
          <cell r="C1205">
            <v>4</v>
          </cell>
          <cell r="D1205">
            <v>0</v>
          </cell>
        </row>
        <row r="1206">
          <cell r="A1206" t="str">
            <v>500-017-001-0002</v>
          </cell>
          <cell r="B1206" t="str">
            <v>Donations</v>
          </cell>
          <cell r="C1206">
            <v>4</v>
          </cell>
          <cell r="D1206">
            <v>0</v>
          </cell>
        </row>
        <row r="1207">
          <cell r="A1207" t="str">
            <v>500-017-001-0003</v>
          </cell>
          <cell r="B1207" t="str">
            <v>Funeral Charges</v>
          </cell>
          <cell r="C1207">
            <v>4</v>
          </cell>
          <cell r="D1207">
            <v>0</v>
          </cell>
        </row>
        <row r="1208">
          <cell r="A1208" t="str">
            <v>500-018-000-0000</v>
          </cell>
          <cell r="B1208" t="str">
            <v>Advertisement expenses</v>
          </cell>
          <cell r="C1208">
            <v>2</v>
          </cell>
          <cell r="D1208">
            <v>0</v>
          </cell>
        </row>
        <row r="1209">
          <cell r="A1209" t="str">
            <v>500-018-001-0000</v>
          </cell>
          <cell r="B1209" t="str">
            <v>Advertisement expenses</v>
          </cell>
          <cell r="C1209">
            <v>3</v>
          </cell>
          <cell r="D1209">
            <v>0</v>
          </cell>
        </row>
        <row r="1210">
          <cell r="A1210" t="str">
            <v>500-018-001-0001</v>
          </cell>
          <cell r="B1210" t="str">
            <v>Advertisement Newspapers</v>
          </cell>
          <cell r="C1210">
            <v>4</v>
          </cell>
          <cell r="D1210">
            <v>0</v>
          </cell>
        </row>
        <row r="1211">
          <cell r="A1211" t="str">
            <v>500-018-001-0002</v>
          </cell>
          <cell r="B1211" t="str">
            <v>Advertisment for Publicity</v>
          </cell>
          <cell r="C1211">
            <v>4</v>
          </cell>
          <cell r="D1211">
            <v>0</v>
          </cell>
        </row>
        <row r="1212">
          <cell r="A1212" t="str">
            <v>500-019-000-0000</v>
          </cell>
          <cell r="B1212" t="str">
            <v>Research, Development and Planning</v>
          </cell>
          <cell r="C1212">
            <v>2</v>
          </cell>
          <cell r="D1212">
            <v>0</v>
          </cell>
        </row>
        <row r="1213">
          <cell r="A1213" t="str">
            <v>500-019-001-0000</v>
          </cell>
          <cell r="B1213" t="str">
            <v>Research, Development and Planning</v>
          </cell>
          <cell r="C1213">
            <v>3</v>
          </cell>
          <cell r="D1213">
            <v>0</v>
          </cell>
        </row>
        <row r="1214">
          <cell r="A1214" t="str">
            <v>500-019-001-0001</v>
          </cell>
          <cell r="B1214" t="str">
            <v>Documentions Expenses</v>
          </cell>
          <cell r="C1214">
            <v>4</v>
          </cell>
          <cell r="D1214">
            <v>0</v>
          </cell>
        </row>
        <row r="1215">
          <cell r="A1215" t="str">
            <v>500-020-000-0000</v>
          </cell>
          <cell r="B1215" t="str">
            <v>Transportation, Carriage and Freight Expenses</v>
          </cell>
          <cell r="C1215">
            <v>2</v>
          </cell>
          <cell r="D1215">
            <v>0</v>
          </cell>
        </row>
        <row r="1216">
          <cell r="A1216" t="str">
            <v>500-020-001-0000</v>
          </cell>
          <cell r="B1216" t="str">
            <v>Transportation, Carriage and Freight Expenses</v>
          </cell>
          <cell r="C1216">
            <v>3</v>
          </cell>
          <cell r="D1216">
            <v>0</v>
          </cell>
        </row>
        <row r="1217">
          <cell r="A1217" t="str">
            <v>500-020-001-0001</v>
          </cell>
          <cell r="B1217" t="str">
            <v>Transportation Expenses</v>
          </cell>
          <cell r="C1217">
            <v>4</v>
          </cell>
          <cell r="D1217">
            <v>0</v>
          </cell>
        </row>
        <row r="1218">
          <cell r="A1218" t="str">
            <v>500-020-001-0002</v>
          </cell>
          <cell r="B1218" t="str">
            <v>Carriage and Freight Expenses</v>
          </cell>
          <cell r="C1218">
            <v>4</v>
          </cell>
          <cell r="D1218">
            <v>0</v>
          </cell>
        </row>
        <row r="1219">
          <cell r="A1219" t="str">
            <v>500-020-001-0003</v>
          </cell>
          <cell r="B1219" t="str">
            <v>Loading, Unloading</v>
          </cell>
          <cell r="C1219">
            <v>4</v>
          </cell>
          <cell r="D1219">
            <v>0</v>
          </cell>
        </row>
        <row r="1220">
          <cell r="A1220" t="str">
            <v>500-020-001-0004</v>
          </cell>
          <cell r="B1220" t="str">
            <v>Registration charges</v>
          </cell>
          <cell r="C1220">
            <v>4</v>
          </cell>
          <cell r="D1220">
            <v>0</v>
          </cell>
        </row>
        <row r="1221">
          <cell r="A1221" t="str">
            <v>500-021-000-0000</v>
          </cell>
          <cell r="B1221" t="str">
            <v>Hiring Charges</v>
          </cell>
          <cell r="C1221">
            <v>2</v>
          </cell>
          <cell r="D1221">
            <v>0</v>
          </cell>
        </row>
        <row r="1222">
          <cell r="A1222" t="str">
            <v>500-021-001-0000</v>
          </cell>
          <cell r="B1222" t="str">
            <v>Light Vehicle Hiring charges</v>
          </cell>
          <cell r="C1222">
            <v>3</v>
          </cell>
          <cell r="D1222">
            <v>0</v>
          </cell>
        </row>
        <row r="1223">
          <cell r="A1223" t="str">
            <v>500-021-001-0001</v>
          </cell>
          <cell r="B1223" t="str">
            <v>Control Light Vehicle Hiring charges</v>
          </cell>
          <cell r="C1223">
            <v>4</v>
          </cell>
          <cell r="D1223">
            <v>0</v>
          </cell>
        </row>
        <row r="1224">
          <cell r="A1224" t="str">
            <v>500-022-000-0000</v>
          </cell>
          <cell r="B1224" t="str">
            <v>Lease Rent</v>
          </cell>
          <cell r="C1224">
            <v>2</v>
          </cell>
          <cell r="D1224">
            <v>0</v>
          </cell>
        </row>
        <row r="1225">
          <cell r="A1225" t="str">
            <v>500-022-001-0000</v>
          </cell>
          <cell r="B1225" t="str">
            <v>Lease Rent</v>
          </cell>
          <cell r="C1225">
            <v>3</v>
          </cell>
          <cell r="D1225">
            <v>0</v>
          </cell>
        </row>
        <row r="1226">
          <cell r="A1226" t="str">
            <v>500-022-001-0001</v>
          </cell>
          <cell r="B1226" t="str">
            <v>Land Lease Rent Charges</v>
          </cell>
          <cell r="C1226">
            <v>4</v>
          </cell>
          <cell r="D1226">
            <v>0</v>
          </cell>
        </row>
        <row r="1227">
          <cell r="A1227" t="str">
            <v>500-023-000-0000</v>
          </cell>
          <cell r="B1227" t="str">
            <v>Depreciation of Operating Fixed Assets</v>
          </cell>
          <cell r="C1227">
            <v>2</v>
          </cell>
          <cell r="D1227">
            <v>0</v>
          </cell>
        </row>
        <row r="1228">
          <cell r="A1228" t="str">
            <v>500-023-001-0000</v>
          </cell>
          <cell r="B1228" t="str">
            <v>Depreciation of Operating Fixed Assets</v>
          </cell>
          <cell r="C1228">
            <v>3</v>
          </cell>
          <cell r="D1228">
            <v>0</v>
          </cell>
        </row>
        <row r="1229">
          <cell r="A1229" t="str">
            <v>500-023-001-0001</v>
          </cell>
          <cell r="B1229" t="str">
            <v>Depreciation of Operating Fixed Assets</v>
          </cell>
          <cell r="C1229">
            <v>4</v>
          </cell>
          <cell r="D1229">
            <v>0</v>
          </cell>
        </row>
        <row r="1230">
          <cell r="A1230" t="str">
            <v>500-024-000-0000</v>
          </cell>
          <cell r="B1230" t="str">
            <v>Amortisation of Lease Assets</v>
          </cell>
          <cell r="C1230">
            <v>2</v>
          </cell>
          <cell r="D1230">
            <v>0</v>
          </cell>
        </row>
        <row r="1231">
          <cell r="A1231" t="str">
            <v>500-024-001-0000</v>
          </cell>
          <cell r="B1231" t="str">
            <v>Amortisation of Lease Assets</v>
          </cell>
          <cell r="C1231">
            <v>3</v>
          </cell>
          <cell r="D1231">
            <v>0</v>
          </cell>
        </row>
        <row r="1232">
          <cell r="A1232" t="str">
            <v>500-024-001-0001</v>
          </cell>
          <cell r="B1232" t="str">
            <v>Amortisation of Lease Assets</v>
          </cell>
          <cell r="C1232">
            <v>4</v>
          </cell>
          <cell r="D1232">
            <v>0</v>
          </cell>
        </row>
        <row r="1233">
          <cell r="A1233" t="str">
            <v>500-025-000-0000</v>
          </cell>
          <cell r="B1233" t="str">
            <v>Amortisation of deferred cost</v>
          </cell>
          <cell r="C1233">
            <v>2</v>
          </cell>
          <cell r="D1233">
            <v>0</v>
          </cell>
        </row>
        <row r="1234">
          <cell r="A1234" t="str">
            <v>500-025-001-0000</v>
          </cell>
          <cell r="B1234" t="str">
            <v>Amortisation of deferred cost</v>
          </cell>
          <cell r="C1234">
            <v>3</v>
          </cell>
          <cell r="D1234">
            <v>0</v>
          </cell>
        </row>
        <row r="1235">
          <cell r="A1235" t="str">
            <v>500-025-001-0001</v>
          </cell>
          <cell r="B1235" t="str">
            <v>Amortisation of deferred cost</v>
          </cell>
          <cell r="C1235">
            <v>4</v>
          </cell>
          <cell r="D1235">
            <v>0</v>
          </cell>
        </row>
        <row r="1236">
          <cell r="A1236" t="str">
            <v>500-026-000-0000</v>
          </cell>
          <cell r="B1236" t="str">
            <v>Miscellaneous Expenses</v>
          </cell>
          <cell r="C1236">
            <v>2</v>
          </cell>
          <cell r="D1236">
            <v>22443</v>
          </cell>
        </row>
        <row r="1237">
          <cell r="A1237" t="str">
            <v>500-026-001-0000</v>
          </cell>
          <cell r="B1237" t="str">
            <v>Miscellaneous Expenses</v>
          </cell>
          <cell r="C1237">
            <v>3</v>
          </cell>
          <cell r="D1237">
            <v>22443</v>
          </cell>
        </row>
        <row r="1238">
          <cell r="A1238" t="str">
            <v>500-026-001-0001</v>
          </cell>
          <cell r="B1238" t="str">
            <v>Miscellaneous Expenses</v>
          </cell>
          <cell r="C1238">
            <v>4</v>
          </cell>
          <cell r="D1238">
            <v>22443</v>
          </cell>
        </row>
        <row r="1239">
          <cell r="A1239" t="str">
            <v>500-026-001-0002</v>
          </cell>
          <cell r="B1239" t="str">
            <v>Departmental Charges Paid</v>
          </cell>
          <cell r="C1239">
            <v>4</v>
          </cell>
          <cell r="D1239">
            <v>0</v>
          </cell>
        </row>
        <row r="1240">
          <cell r="A1240" t="str">
            <v>500-026-001-0003</v>
          </cell>
          <cell r="B1240" t="str">
            <v>Handling Charges Paid</v>
          </cell>
          <cell r="C1240">
            <v>4</v>
          </cell>
          <cell r="D1240">
            <v>0</v>
          </cell>
        </row>
        <row r="1241">
          <cell r="A1241" t="str">
            <v>600-000-000-0000</v>
          </cell>
          <cell r="B1241" t="str">
            <v>Other Income</v>
          </cell>
          <cell r="C1241">
            <v>1</v>
          </cell>
          <cell r="D1241">
            <v>-6298233</v>
          </cell>
        </row>
        <row r="1242">
          <cell r="A1242" t="str">
            <v>600-001-000-0000</v>
          </cell>
          <cell r="B1242" t="str">
            <v>Application Fee</v>
          </cell>
          <cell r="C1242">
            <v>2</v>
          </cell>
          <cell r="D1242">
            <v>0</v>
          </cell>
        </row>
        <row r="1243">
          <cell r="A1243" t="str">
            <v>600-001-001-0000</v>
          </cell>
          <cell r="B1243" t="str">
            <v>Application Fee</v>
          </cell>
          <cell r="C1243">
            <v>3</v>
          </cell>
          <cell r="D1243">
            <v>0</v>
          </cell>
        </row>
        <row r="1244">
          <cell r="A1244" t="str">
            <v>600-001-001-0001</v>
          </cell>
          <cell r="B1244" t="str">
            <v>Application Fee</v>
          </cell>
          <cell r="C1244">
            <v>4</v>
          </cell>
          <cell r="D1244">
            <v>0</v>
          </cell>
        </row>
        <row r="1245">
          <cell r="A1245" t="str">
            <v>600-002-000-0000</v>
          </cell>
          <cell r="B1245" t="str">
            <v>Enlistment Fee</v>
          </cell>
          <cell r="C1245">
            <v>2</v>
          </cell>
          <cell r="D1245">
            <v>0</v>
          </cell>
        </row>
        <row r="1246">
          <cell r="A1246" t="str">
            <v>600-002-001-0000</v>
          </cell>
          <cell r="B1246" t="str">
            <v>Enlistment Fee</v>
          </cell>
          <cell r="C1246">
            <v>3</v>
          </cell>
          <cell r="D1246">
            <v>0</v>
          </cell>
        </row>
        <row r="1247">
          <cell r="A1247" t="str">
            <v>600-002-001-0001</v>
          </cell>
          <cell r="B1247" t="str">
            <v>Enlistment Fee</v>
          </cell>
          <cell r="C1247">
            <v>4</v>
          </cell>
          <cell r="D1247">
            <v>0</v>
          </cell>
        </row>
        <row r="1248">
          <cell r="A1248" t="str">
            <v>600-003-000-0000</v>
          </cell>
          <cell r="B1248" t="str">
            <v>Check Request Fee</v>
          </cell>
          <cell r="C1248">
            <v>2</v>
          </cell>
          <cell r="D1248">
            <v>0</v>
          </cell>
        </row>
        <row r="1249">
          <cell r="A1249" t="str">
            <v>600-003-001-0000</v>
          </cell>
          <cell r="B1249" t="str">
            <v>Check Request Fee</v>
          </cell>
          <cell r="C1249">
            <v>3</v>
          </cell>
          <cell r="D1249">
            <v>0</v>
          </cell>
        </row>
        <row r="1250">
          <cell r="A1250" t="str">
            <v>600-003-001-0001</v>
          </cell>
          <cell r="B1250" t="str">
            <v>Check Request Fee</v>
          </cell>
          <cell r="C1250">
            <v>4</v>
          </cell>
          <cell r="D1250">
            <v>0</v>
          </cell>
        </row>
        <row r="1251">
          <cell r="A1251" t="str">
            <v>600-004-000-0000</v>
          </cell>
          <cell r="B1251" t="str">
            <v>Labouratory Test Fee</v>
          </cell>
          <cell r="C1251">
            <v>2</v>
          </cell>
          <cell r="D1251">
            <v>0</v>
          </cell>
        </row>
        <row r="1252">
          <cell r="A1252" t="str">
            <v>600-004-001-0000</v>
          </cell>
          <cell r="B1252" t="str">
            <v>Labouratory Test Fee</v>
          </cell>
          <cell r="C1252">
            <v>3</v>
          </cell>
          <cell r="D1252">
            <v>0</v>
          </cell>
        </row>
        <row r="1253">
          <cell r="A1253" t="str">
            <v>600-004-001-0001</v>
          </cell>
          <cell r="B1253" t="str">
            <v>Labouratory Test Fee</v>
          </cell>
          <cell r="C1253">
            <v>4</v>
          </cell>
          <cell r="D1253">
            <v>0</v>
          </cell>
        </row>
        <row r="1254">
          <cell r="A1254" t="str">
            <v>600-005-000-0000</v>
          </cell>
          <cell r="B1254" t="str">
            <v>Hiring Receipts</v>
          </cell>
          <cell r="C1254">
            <v>2</v>
          </cell>
          <cell r="D1254">
            <v>0</v>
          </cell>
        </row>
        <row r="1255">
          <cell r="A1255" t="str">
            <v>600-005-001-0000</v>
          </cell>
          <cell r="B1255" t="str">
            <v>Heavy Vehicle Hiring Receipts</v>
          </cell>
          <cell r="C1255">
            <v>3</v>
          </cell>
          <cell r="D1255">
            <v>0</v>
          </cell>
        </row>
        <row r="1256">
          <cell r="A1256" t="str">
            <v>600-005-001-0001</v>
          </cell>
          <cell r="B1256" t="str">
            <v>Heavy Vehicle Hiring Receipts</v>
          </cell>
          <cell r="C1256">
            <v>4</v>
          </cell>
          <cell r="D1256">
            <v>0</v>
          </cell>
        </row>
        <row r="1257">
          <cell r="A1257" t="str">
            <v>600-005-002-0000</v>
          </cell>
          <cell r="B1257" t="str">
            <v>Light Vehicle Hiring Receipts</v>
          </cell>
          <cell r="C1257">
            <v>3</v>
          </cell>
          <cell r="D1257">
            <v>0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x A"/>
      <sheetName val="Anx B"/>
      <sheetName val="Anx C "/>
      <sheetName val="Anx D"/>
      <sheetName val="Anx E"/>
      <sheetName val="Anx F Contr "/>
      <sheetName val="Anx F -  Petty"/>
      <sheetName val="Anx G"/>
      <sheetName val="JMF"/>
      <sheetName val="Recoveries sheet"/>
      <sheetName val="Anx H"/>
      <sheetName val="Anx J"/>
      <sheetName val="Anx K"/>
      <sheetName val="Anx L"/>
      <sheetName val="Anx M"/>
      <sheetName val="Anx N"/>
      <sheetName val="Anx O"/>
      <sheetName val="Anx P"/>
      <sheetName val="Anx Q"/>
      <sheetName val="Anx R"/>
      <sheetName val="Appx I to Anx A"/>
      <sheetName val="S Curve"/>
      <sheetName val="Sheet1"/>
    </sheetNames>
    <sheetDataSet>
      <sheetData sheetId="0" refreshError="1"/>
      <sheetData sheetId="1" refreshError="1">
        <row r="6">
          <cell r="H6">
            <v>45215</v>
          </cell>
        </row>
        <row r="7">
          <cell r="H7">
            <v>45755</v>
          </cell>
        </row>
        <row r="12">
          <cell r="C12" t="str">
            <v xml:space="preserve">(1) Planned Targets </v>
          </cell>
          <cell r="G12">
            <v>1553.6520128900002</v>
          </cell>
        </row>
        <row r="13">
          <cell r="C13" t="str">
            <v xml:space="preserve">(2) Achieved </v>
          </cell>
          <cell r="G13">
            <v>2353.6490000000003</v>
          </cell>
        </row>
        <row r="15">
          <cell r="H15">
            <v>9573.9259999999995</v>
          </cell>
        </row>
        <row r="16">
          <cell r="H16">
            <v>0</v>
          </cell>
        </row>
        <row r="17">
          <cell r="H17">
            <v>1202.794165</v>
          </cell>
        </row>
        <row r="25">
          <cell r="E25">
            <v>2461.0505122</v>
          </cell>
        </row>
      </sheetData>
      <sheetData sheetId="2" refreshError="1"/>
      <sheetData sheetId="3" refreshError="1">
        <row r="11">
          <cell r="C11" t="str">
            <v xml:space="preserve"> (M/S Saddaqat Builders) Part A</v>
          </cell>
          <cell r="D11" t="str">
            <v>Road Diversion Work</v>
          </cell>
        </row>
        <row r="12">
          <cell r="C12" t="str">
            <v xml:space="preserve"> (M/S Saddaqat Builders) Part B</v>
          </cell>
          <cell r="D12" t="str">
            <v>Road Diversion Work</v>
          </cell>
        </row>
        <row r="13">
          <cell r="C13" t="str">
            <v xml:space="preserve"> (M/S Saddaqat Builders) Part C</v>
          </cell>
          <cell r="D13" t="str">
            <v>Road Diversion Work</v>
          </cell>
        </row>
        <row r="14">
          <cell r="C14" t="str">
            <v xml:space="preserve"> (M/S Saddaqat Builders)</v>
          </cell>
          <cell r="D14" t="str">
            <v>72 Pipe Sewrage Work</v>
          </cell>
        </row>
        <row r="15">
          <cell r="C15" t="str">
            <v xml:space="preserve"> (M/S Saddaqat Builders)</v>
          </cell>
          <cell r="D15" t="str">
            <v>66 Pipe Sewrage Work</v>
          </cell>
        </row>
        <row r="16">
          <cell r="C16" t="str">
            <v xml:space="preserve"> (M/S Zashpak Engineering Service)  </v>
          </cell>
          <cell r="D16" t="str">
            <v>Diversion Acillary  Work</v>
          </cell>
        </row>
        <row r="17">
          <cell r="C17" t="str">
            <v xml:space="preserve"> (M/S Choudary Son)  </v>
          </cell>
          <cell r="D17" t="str">
            <v>Diversion Work</v>
          </cell>
        </row>
        <row r="18">
          <cell r="C18" t="str">
            <v xml:space="preserve"> (M/S Sapper &amp; Co)  </v>
          </cell>
          <cell r="D18" t="str">
            <v>Disposal - 02</v>
          </cell>
        </row>
        <row r="20">
          <cell r="C20" t="str">
            <v xml:space="preserve"> (M/S Saddaqat Builders)   Sewerage</v>
          </cell>
          <cell r="D20" t="str">
            <v>Sewrage Work</v>
          </cell>
        </row>
        <row r="21">
          <cell r="C21" t="str">
            <v xml:space="preserve"> (M/S Yukon Builders &amp; Developers)  (Conduite &amp; Disposal Satation)</v>
          </cell>
          <cell r="D21" t="str">
            <v>Conduit Works 10' x 6'</v>
          </cell>
        </row>
        <row r="22">
          <cell r="C22" t="str">
            <v xml:space="preserve"> (M/S Yukon Builders &amp; Developers)  </v>
          </cell>
          <cell r="D22" t="str">
            <v>Road works</v>
          </cell>
        </row>
        <row r="23">
          <cell r="C23" t="str">
            <v>M/s STC</v>
          </cell>
          <cell r="D23" t="str">
            <v>Conduit Works &amp; Rider Sewerage Work</v>
          </cell>
        </row>
        <row r="24">
          <cell r="C24" t="str">
            <v>M/s EDDCO</v>
          </cell>
          <cell r="D24" t="str">
            <v>Conduit Work</v>
          </cell>
        </row>
        <row r="25">
          <cell r="C25" t="str">
            <v>M/s EDDCO</v>
          </cell>
          <cell r="D25" t="str">
            <v>Fly-over</v>
          </cell>
        </row>
        <row r="26">
          <cell r="C26" t="str">
            <v xml:space="preserve"> (M/S Yukon Builders &amp; Developers)  </v>
          </cell>
          <cell r="D26" t="str">
            <v>Disposal - 01</v>
          </cell>
        </row>
        <row r="27">
          <cell r="C27" t="str">
            <v>(M/S North Land</v>
          </cell>
          <cell r="D27" t="str">
            <v>Route 47 / Garrasion</v>
          </cell>
        </row>
        <row r="28">
          <cell r="C28" t="str">
            <v xml:space="preserve">(M/S Saddaqat Builders)    </v>
          </cell>
          <cell r="D28" t="str">
            <v>ADA Nullah</v>
          </cell>
        </row>
        <row r="29">
          <cell r="C29" t="str">
            <v xml:space="preserve"> M/s STC</v>
          </cell>
          <cell r="D29" t="str">
            <v>ADA Nullah</v>
          </cell>
        </row>
        <row r="30">
          <cell r="C30" t="str">
            <v>M/s EDDCO</v>
          </cell>
          <cell r="D30" t="str">
            <v>ADA Nullah</v>
          </cell>
        </row>
        <row r="31">
          <cell r="C31" t="str">
            <v xml:space="preserve"> (M/S Yukon Builders &amp; Developers)  </v>
          </cell>
          <cell r="D31" t="str">
            <v>ADA Nullah</v>
          </cell>
        </row>
        <row r="32">
          <cell r="C32" t="str">
            <v>(M/S North Land</v>
          </cell>
          <cell r="D32" t="str">
            <v>ADA Nullah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x A"/>
      <sheetName val="Anx B"/>
      <sheetName val="Anx C "/>
      <sheetName val="Anx D"/>
      <sheetName val="Anx E"/>
      <sheetName val="Anx F Contr "/>
      <sheetName val="Anx F -  Petty"/>
      <sheetName val="Anx G"/>
      <sheetName val="JMF"/>
      <sheetName val="Recoveries sheet"/>
      <sheetName val="Anx H"/>
      <sheetName val="Anx J"/>
      <sheetName val="Anx K"/>
      <sheetName val="Anx L"/>
      <sheetName val="Anx M"/>
      <sheetName val="Anx N"/>
      <sheetName val="Anx O"/>
      <sheetName val="Anx P"/>
      <sheetName val="Anx Q"/>
      <sheetName val="Anx R"/>
      <sheetName val="Appx I to Anx A"/>
      <sheetName val="S Curve"/>
      <sheetName val="Sheet1"/>
    </sheetNames>
    <sheetDataSet>
      <sheetData sheetId="0">
        <row r="2">
          <cell r="A2" t="str">
            <v>Re-Modelling and Up Gradation of ADA Nullah and Walton Road Pkg-I</v>
          </cell>
        </row>
        <row r="8">
          <cell r="D8" t="str">
            <v>MAR, 2024</v>
          </cell>
        </row>
      </sheetData>
      <sheetData sheetId="1">
        <row r="2">
          <cell r="A2" t="str">
            <v>PROJ HIGHLIGHTS AS ON MAR, 2024</v>
          </cell>
        </row>
        <row r="3">
          <cell r="A3" t="str">
            <v>Re-Modelling and Up Gradation of ADA Nullah and Walton Road Pkg-I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6">
          <cell r="H6">
            <v>45215</v>
          </cell>
        </row>
        <row r="7">
          <cell r="H7">
            <v>45755</v>
          </cell>
        </row>
        <row r="15">
          <cell r="H15">
            <v>9573.9259999999995</v>
          </cell>
        </row>
        <row r="23">
          <cell r="E23">
            <v>2353.6484621999998</v>
          </cell>
        </row>
      </sheetData>
      <sheetData sheetId="2"/>
      <sheetData sheetId="3"/>
      <sheetData sheetId="4">
        <row r="15">
          <cell r="D15">
            <v>1604.943346673012</v>
          </cell>
        </row>
        <row r="16">
          <cell r="D16">
            <v>92.238123372012211</v>
          </cell>
        </row>
        <row r="17">
          <cell r="D17">
            <v>147.58099739521953</v>
          </cell>
        </row>
        <row r="18">
          <cell r="D18">
            <v>0</v>
          </cell>
        </row>
        <row r="31">
          <cell r="D31">
            <v>2.3490683999999997</v>
          </cell>
        </row>
        <row r="34">
          <cell r="D34">
            <v>23.738784621999997</v>
          </cell>
        </row>
        <row r="42">
          <cell r="D42">
            <v>112.0784982</v>
          </cell>
        </row>
        <row r="48">
          <cell r="D48">
            <v>35.978000000000002</v>
          </cell>
        </row>
        <row r="50">
          <cell r="D50">
            <v>0.35599999999999998</v>
          </cell>
        </row>
        <row r="51">
          <cell r="D51">
            <v>0.503</v>
          </cell>
        </row>
        <row r="54">
          <cell r="D54">
            <v>0.107</v>
          </cell>
        </row>
        <row r="55">
          <cell r="D55">
            <v>0.38500000000000001</v>
          </cell>
        </row>
        <row r="56">
          <cell r="D56">
            <v>8.8400000000000006E-2</v>
          </cell>
        </row>
        <row r="57">
          <cell r="D57">
            <v>0.93400000000000005</v>
          </cell>
        </row>
        <row r="58">
          <cell r="D58">
            <v>0.76</v>
          </cell>
        </row>
        <row r="60">
          <cell r="D60">
            <v>4.0000000000000001E-3</v>
          </cell>
        </row>
        <row r="61">
          <cell r="D61">
            <v>0.877</v>
          </cell>
        </row>
        <row r="62">
          <cell r="D62">
            <v>0.92399999999999993</v>
          </cell>
        </row>
        <row r="63">
          <cell r="D63">
            <v>1.665</v>
          </cell>
        </row>
        <row r="64">
          <cell r="D64">
            <v>1.1327</v>
          </cell>
        </row>
        <row r="65">
          <cell r="D65">
            <v>7.6390999999999991</v>
          </cell>
        </row>
        <row r="68">
          <cell r="D68">
            <v>0</v>
          </cell>
        </row>
        <row r="74">
          <cell r="D74">
            <v>2243.6945144622437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Re-Modelling and Up Gradation of ADA Nullah and Walton Road Pkg-I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</sheetData>
      <sheetData sheetId="13"/>
      <sheetData sheetId="14"/>
      <sheetData sheetId="15">
        <row r="2">
          <cell r="G2" t="str">
            <v>MONTH - MAR, 2024</v>
          </cell>
        </row>
        <row r="5">
          <cell r="A5" t="str">
            <v>Re-Modelling and Up Gradation of ADA Nullah and Walton Road Pkg-I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</sheetData>
      <sheetData sheetId="16"/>
      <sheetData sheetId="17">
        <row r="6">
          <cell r="A6" t="str">
            <v>Re-Modelling and Up Gradation of ADA Nullah and Walton Road Pkg-I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</sheetData>
      <sheetData sheetId="18">
        <row r="2">
          <cell r="D2" t="str">
            <v>MONTH - MAR, 2024</v>
          </cell>
        </row>
      </sheetData>
      <sheetData sheetId="19">
        <row r="2">
          <cell r="H2" t="str">
            <v>MONTH - MAR, 2024</v>
          </cell>
        </row>
      </sheetData>
      <sheetData sheetId="20"/>
      <sheetData sheetId="21">
        <row r="10">
          <cell r="C10">
            <v>11.510999999999999</v>
          </cell>
        </row>
        <row r="11">
          <cell r="C11">
            <v>56.435000000000002</v>
          </cell>
          <cell r="E11">
            <v>67.945999999999998</v>
          </cell>
        </row>
        <row r="12">
          <cell r="C12">
            <v>55.058</v>
          </cell>
          <cell r="D12">
            <v>373.65201289000004</v>
          </cell>
          <cell r="E12">
            <v>123.00399999999999</v>
          </cell>
        </row>
        <row r="13">
          <cell r="E13">
            <v>455.01499999999999</v>
          </cell>
        </row>
        <row r="14">
          <cell r="E14">
            <v>1587.2730000000001</v>
          </cell>
        </row>
        <row r="15">
          <cell r="E15">
            <v>2353.6490000000003</v>
          </cell>
        </row>
      </sheetData>
      <sheetData sheetId="22">
        <row r="9">
          <cell r="B9">
            <v>45170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D5" sqref="D5"/>
    </sheetView>
  </sheetViews>
  <sheetFormatPr defaultRowHeight="15" x14ac:dyDescent="0.25"/>
  <cols>
    <col min="1" max="1" width="2.140625" bestFit="1" customWidth="1"/>
    <col min="2" max="2" width="15" customWidth="1"/>
    <col min="3" max="3" width="58.42578125" bestFit="1" customWidth="1"/>
    <col min="4" max="4" width="24.85546875" customWidth="1"/>
  </cols>
  <sheetData>
    <row r="1" spans="1:4" ht="18" x14ac:dyDescent="0.25">
      <c r="A1" s="742" t="s">
        <v>0</v>
      </c>
      <c r="B1" s="742"/>
      <c r="C1" s="742"/>
      <c r="D1" s="742"/>
    </row>
    <row r="2" spans="1:4" ht="18" x14ac:dyDescent="0.25">
      <c r="A2" s="742" t="s">
        <v>1</v>
      </c>
      <c r="B2" s="742"/>
      <c r="C2" s="742"/>
      <c r="D2" s="742"/>
    </row>
    <row r="3" spans="1:4" ht="18" x14ac:dyDescent="0.25">
      <c r="A3" s="743"/>
      <c r="B3" s="742"/>
      <c r="C3" s="742"/>
      <c r="D3" s="742"/>
    </row>
    <row r="4" spans="1:4" x14ac:dyDescent="0.25">
      <c r="A4" s="744" t="s">
        <v>2</v>
      </c>
      <c r="B4" s="744"/>
      <c r="C4" s="744"/>
      <c r="D4" s="744"/>
    </row>
    <row r="5" spans="1:4" ht="15.75" x14ac:dyDescent="0.25">
      <c r="A5" s="1"/>
      <c r="B5" s="1"/>
      <c r="C5" s="1"/>
      <c r="D5" s="1"/>
    </row>
    <row r="6" spans="1:4" x14ac:dyDescent="0.25">
      <c r="A6" s="2">
        <v>1</v>
      </c>
      <c r="B6" s="3" t="s">
        <v>3</v>
      </c>
      <c r="C6" s="3"/>
      <c r="D6" s="3"/>
    </row>
    <row r="7" spans="1:4" x14ac:dyDescent="0.25">
      <c r="A7" s="2">
        <v>2</v>
      </c>
      <c r="B7" s="3" t="s">
        <v>4</v>
      </c>
      <c r="C7" s="3"/>
      <c r="D7" s="4"/>
    </row>
    <row r="8" spans="1:4" x14ac:dyDescent="0.25">
      <c r="A8" s="5">
        <v>3</v>
      </c>
      <c r="B8" s="6" t="s">
        <v>5</v>
      </c>
      <c r="C8" s="6"/>
      <c r="D8" s="7" t="s">
        <v>816</v>
      </c>
    </row>
    <row r="9" spans="1:4" x14ac:dyDescent="0.25">
      <c r="A9" s="2">
        <v>4</v>
      </c>
      <c r="B9" s="8" t="s">
        <v>6</v>
      </c>
      <c r="C9" s="9"/>
      <c r="D9" s="10"/>
    </row>
    <row r="10" spans="1:4" x14ac:dyDescent="0.25">
      <c r="A10" s="2"/>
      <c r="B10" s="10" t="s">
        <v>7</v>
      </c>
      <c r="C10" s="11" t="s">
        <v>8</v>
      </c>
      <c r="D10" s="12" t="s">
        <v>9</v>
      </c>
    </row>
    <row r="11" spans="1:4" x14ac:dyDescent="0.25">
      <c r="A11" s="2"/>
      <c r="B11" s="10"/>
      <c r="C11" s="13" t="str">
        <f>'[2]Anx A'!C12</f>
        <v xml:space="preserve">(1) Planned Targets </v>
      </c>
      <c r="D11" s="14">
        <f>'[2]Anx A'!G12</f>
        <v>1553.6520128900002</v>
      </c>
    </row>
    <row r="12" spans="1:4" x14ac:dyDescent="0.25">
      <c r="A12" s="2"/>
      <c r="B12" s="10"/>
      <c r="C12" s="13" t="str">
        <f>'[2]Anx A'!C13</f>
        <v xml:space="preserve">(2) Achieved </v>
      </c>
      <c r="D12" s="14">
        <f>'[2]Anx A'!G13</f>
        <v>2353.6490000000003</v>
      </c>
    </row>
    <row r="13" spans="1:4" x14ac:dyDescent="0.25">
      <c r="A13" s="2">
        <v>5</v>
      </c>
      <c r="B13" s="8" t="s">
        <v>10</v>
      </c>
      <c r="C13" s="9"/>
      <c r="D13" s="15"/>
    </row>
    <row r="14" spans="1:4" x14ac:dyDescent="0.25">
      <c r="A14" s="2"/>
      <c r="B14" s="10" t="s">
        <v>7</v>
      </c>
      <c r="C14" s="10" t="s">
        <v>11</v>
      </c>
      <c r="D14" s="16">
        <f>'[2]Anx A'!H6</f>
        <v>45215</v>
      </c>
    </row>
    <row r="15" spans="1:4" x14ac:dyDescent="0.25">
      <c r="A15" s="2"/>
      <c r="B15" s="10" t="s">
        <v>12</v>
      </c>
      <c r="C15" s="10" t="s">
        <v>13</v>
      </c>
      <c r="D15" s="16">
        <f>'[2]Anx A'!H7</f>
        <v>45755</v>
      </c>
    </row>
    <row r="16" spans="1:4" x14ac:dyDescent="0.25">
      <c r="A16" s="2"/>
      <c r="B16" s="10" t="s">
        <v>14</v>
      </c>
      <c r="C16" s="10" t="s">
        <v>15</v>
      </c>
      <c r="D16" s="16"/>
    </row>
    <row r="17" spans="1:4" x14ac:dyDescent="0.25">
      <c r="A17" s="2">
        <v>6</v>
      </c>
      <c r="B17" s="17" t="s">
        <v>16</v>
      </c>
      <c r="C17" s="10"/>
      <c r="D17" s="18"/>
    </row>
    <row r="18" spans="1:4" x14ac:dyDescent="0.25">
      <c r="A18" s="2"/>
      <c r="B18" s="10" t="s">
        <v>7</v>
      </c>
      <c r="C18" s="10" t="s">
        <v>17</v>
      </c>
      <c r="D18" s="19">
        <f>'[2]Anx A'!H15</f>
        <v>9573.9259999999995</v>
      </c>
    </row>
    <row r="19" spans="1:4" x14ac:dyDescent="0.25">
      <c r="A19" s="2"/>
      <c r="B19" s="10" t="s">
        <v>12</v>
      </c>
      <c r="C19" s="10" t="s">
        <v>18</v>
      </c>
      <c r="D19" s="19">
        <f>'[2]Anx A'!H16</f>
        <v>0</v>
      </c>
    </row>
    <row r="20" spans="1:4" x14ac:dyDescent="0.25">
      <c r="A20" s="2"/>
      <c r="B20" s="10" t="s">
        <v>14</v>
      </c>
      <c r="C20" s="10" t="s">
        <v>19</v>
      </c>
      <c r="D20" s="19">
        <f>'[2]Anx A'!H17</f>
        <v>1202.794165</v>
      </c>
    </row>
    <row r="21" spans="1:4" x14ac:dyDescent="0.25">
      <c r="A21" s="2"/>
      <c r="B21" s="10" t="s">
        <v>20</v>
      </c>
      <c r="C21" s="10" t="s">
        <v>21</v>
      </c>
      <c r="D21" s="19">
        <f>'[2]Anx A'!E25</f>
        <v>2461.0505122</v>
      </c>
    </row>
    <row r="22" spans="1:4" x14ac:dyDescent="0.25">
      <c r="A22" s="2"/>
      <c r="B22" s="10" t="s">
        <v>22</v>
      </c>
      <c r="C22" s="10" t="s">
        <v>23</v>
      </c>
      <c r="D22" s="19"/>
    </row>
    <row r="23" spans="1:4" x14ac:dyDescent="0.25">
      <c r="A23" s="2"/>
      <c r="B23" s="10" t="s">
        <v>24</v>
      </c>
      <c r="C23" s="10" t="s">
        <v>25</v>
      </c>
      <c r="D23" s="20"/>
    </row>
    <row r="24" spans="1:4" ht="28.5" x14ac:dyDescent="0.25">
      <c r="A24" s="2"/>
      <c r="B24" s="10" t="s">
        <v>26</v>
      </c>
      <c r="C24" s="21" t="s">
        <v>27</v>
      </c>
      <c r="D24" s="20"/>
    </row>
    <row r="25" spans="1:4" x14ac:dyDescent="0.25">
      <c r="A25" s="2"/>
      <c r="B25" s="10" t="s">
        <v>28</v>
      </c>
      <c r="C25" s="10" t="s">
        <v>29</v>
      </c>
      <c r="D25" s="20"/>
    </row>
    <row r="26" spans="1:4" x14ac:dyDescent="0.25">
      <c r="A26" s="2"/>
      <c r="B26" s="10" t="s">
        <v>30</v>
      </c>
      <c r="C26" s="22" t="s">
        <v>31</v>
      </c>
      <c r="D26" s="23"/>
    </row>
    <row r="27" spans="1:4" x14ac:dyDescent="0.25">
      <c r="A27" s="2"/>
      <c r="B27" s="10" t="s">
        <v>32</v>
      </c>
      <c r="C27" s="21" t="s">
        <v>33</v>
      </c>
      <c r="D27" s="20"/>
    </row>
    <row r="28" spans="1:4" x14ac:dyDescent="0.25">
      <c r="A28" s="2"/>
      <c r="B28" s="10" t="s">
        <v>34</v>
      </c>
      <c r="C28" s="10" t="s">
        <v>35</v>
      </c>
      <c r="D28" s="20"/>
    </row>
    <row r="29" spans="1:4" x14ac:dyDescent="0.25">
      <c r="A29" s="2"/>
      <c r="B29" s="10" t="s">
        <v>36</v>
      </c>
      <c r="C29" s="10" t="s">
        <v>37</v>
      </c>
      <c r="D29" s="19"/>
    </row>
    <row r="30" spans="1:4" x14ac:dyDescent="0.25">
      <c r="A30" s="2"/>
      <c r="B30" s="10" t="s">
        <v>38</v>
      </c>
      <c r="C30" s="10" t="s">
        <v>39</v>
      </c>
      <c r="D30" s="24"/>
    </row>
    <row r="31" spans="1:4" x14ac:dyDescent="0.25">
      <c r="A31" s="2"/>
      <c r="B31" s="10" t="s">
        <v>40</v>
      </c>
      <c r="C31" s="10" t="s">
        <v>41</v>
      </c>
      <c r="D31" s="24"/>
    </row>
    <row r="32" spans="1:4" x14ac:dyDescent="0.25">
      <c r="A32" s="2"/>
      <c r="B32" s="10" t="s">
        <v>42</v>
      </c>
      <c r="C32" s="10" t="s">
        <v>43</v>
      </c>
      <c r="D32" s="25"/>
    </row>
    <row r="33" spans="1:4" x14ac:dyDescent="0.25">
      <c r="A33" s="2"/>
      <c r="B33" s="10" t="s">
        <v>44</v>
      </c>
      <c r="C33" s="10" t="s">
        <v>45</v>
      </c>
      <c r="D33" s="20"/>
    </row>
    <row r="34" spans="1:4" x14ac:dyDescent="0.25">
      <c r="A34" s="2"/>
      <c r="B34" s="10" t="s">
        <v>46</v>
      </c>
      <c r="C34" s="10" t="s">
        <v>47</v>
      </c>
      <c r="D34" s="20"/>
    </row>
    <row r="35" spans="1:4" x14ac:dyDescent="0.25">
      <c r="A35" s="2"/>
      <c r="B35" s="10" t="s">
        <v>48</v>
      </c>
      <c r="C35" s="10" t="s">
        <v>49</v>
      </c>
      <c r="D35" s="20"/>
    </row>
    <row r="36" spans="1:4" x14ac:dyDescent="0.25">
      <c r="A36" s="2"/>
      <c r="B36" s="10" t="s">
        <v>50</v>
      </c>
      <c r="C36" s="10" t="s">
        <v>51</v>
      </c>
      <c r="D36" s="20"/>
    </row>
    <row r="37" spans="1:4" x14ac:dyDescent="0.25">
      <c r="A37" s="2"/>
      <c r="B37" s="10" t="s">
        <v>52</v>
      </c>
      <c r="C37" s="10" t="s">
        <v>53</v>
      </c>
      <c r="D37" s="20"/>
    </row>
    <row r="38" spans="1:4" x14ac:dyDescent="0.25">
      <c r="A38" s="2"/>
      <c r="B38" s="10" t="s">
        <v>54</v>
      </c>
      <c r="C38" s="17" t="s">
        <v>55</v>
      </c>
      <c r="D38" s="20"/>
    </row>
    <row r="39" spans="1:4" x14ac:dyDescent="0.25">
      <c r="A39" s="2"/>
      <c r="B39" s="10"/>
      <c r="C39" s="26" t="s">
        <v>56</v>
      </c>
      <c r="D39" s="20"/>
    </row>
    <row r="40" spans="1:4" x14ac:dyDescent="0.25">
      <c r="A40" s="2"/>
      <c r="B40" s="10"/>
      <c r="C40" s="27" t="s">
        <v>57</v>
      </c>
      <c r="D40" s="20"/>
    </row>
    <row r="41" spans="1:4" x14ac:dyDescent="0.25">
      <c r="A41" s="2">
        <v>7</v>
      </c>
      <c r="B41" s="28" t="s">
        <v>58</v>
      </c>
      <c r="C41" s="29"/>
      <c r="D41" s="30"/>
    </row>
    <row r="42" spans="1:4" x14ac:dyDescent="0.25">
      <c r="A42" s="2"/>
      <c r="B42" s="28"/>
      <c r="C42" s="29"/>
      <c r="D42" s="30"/>
    </row>
    <row r="43" spans="1:4" x14ac:dyDescent="0.25">
      <c r="A43" s="2">
        <v>8</v>
      </c>
      <c r="B43" s="17" t="s">
        <v>59</v>
      </c>
      <c r="C43" s="29"/>
      <c r="D43" s="30"/>
    </row>
    <row r="44" spans="1:4" x14ac:dyDescent="0.25">
      <c r="A44" s="2">
        <v>9</v>
      </c>
      <c r="B44" s="17" t="s">
        <v>60</v>
      </c>
      <c r="C44" s="29"/>
      <c r="D44" s="30"/>
    </row>
    <row r="45" spans="1:4" x14ac:dyDescent="0.25">
      <c r="A45" s="2"/>
      <c r="B45" s="17"/>
      <c r="C45" s="29"/>
      <c r="D45" s="30"/>
    </row>
    <row r="46" spans="1:4" x14ac:dyDescent="0.25">
      <c r="A46" s="2"/>
      <c r="B46" s="10"/>
      <c r="C46" s="29"/>
      <c r="D46" s="30"/>
    </row>
    <row r="47" spans="1:4" x14ac:dyDescent="0.25">
      <c r="A47" s="2"/>
      <c r="B47" s="31"/>
      <c r="C47" s="29"/>
      <c r="D47" s="30"/>
    </row>
    <row r="48" spans="1:4" x14ac:dyDescent="0.25">
      <c r="A48" s="2"/>
      <c r="B48" s="10"/>
      <c r="C48" s="29"/>
      <c r="D48" s="30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3" workbookViewId="0">
      <selection activeCell="B12" sqref="B12"/>
    </sheetView>
  </sheetViews>
  <sheetFormatPr defaultRowHeight="15" x14ac:dyDescent="0.25"/>
  <cols>
    <col min="2" max="2" width="21.140625" customWidth="1"/>
    <col min="4" max="4" width="13.140625" style="516" customWidth="1"/>
    <col min="5" max="11" width="13.140625" customWidth="1"/>
  </cols>
  <sheetData>
    <row r="1" spans="1:11" ht="20.25" x14ac:dyDescent="0.25">
      <c r="A1" s="835" t="s">
        <v>313</v>
      </c>
      <c r="B1" s="835"/>
      <c r="C1" s="835"/>
      <c r="D1" s="835"/>
      <c r="E1" s="835"/>
      <c r="F1" s="835"/>
      <c r="G1" s="835"/>
      <c r="H1" s="835"/>
      <c r="I1" s="835"/>
      <c r="J1" s="835"/>
      <c r="K1" s="835"/>
    </row>
    <row r="2" spans="1:11" ht="20.25" x14ac:dyDescent="0.25">
      <c r="A2" s="835" t="s">
        <v>797</v>
      </c>
      <c r="B2" s="835"/>
      <c r="C2" s="835"/>
      <c r="D2" s="835"/>
      <c r="E2" s="835"/>
      <c r="F2" s="835"/>
      <c r="G2" s="835"/>
      <c r="H2" s="835"/>
      <c r="I2" s="835"/>
      <c r="J2" s="835"/>
      <c r="K2" s="835"/>
    </row>
    <row r="3" spans="1:11" ht="20.25" x14ac:dyDescent="0.25">
      <c r="A3" s="149"/>
      <c r="B3" s="149"/>
      <c r="C3" s="149"/>
      <c r="D3" s="513"/>
      <c r="E3" s="149"/>
      <c r="F3" s="149"/>
      <c r="G3" s="149"/>
      <c r="H3" s="149"/>
      <c r="I3" s="149"/>
      <c r="J3" s="149"/>
      <c r="K3" s="149"/>
    </row>
    <row r="4" spans="1:11" ht="19.5" thickBot="1" x14ac:dyDescent="0.3">
      <c r="A4" s="150" t="s">
        <v>314</v>
      </c>
      <c r="B4" s="151"/>
      <c r="C4" s="515"/>
      <c r="D4" s="515"/>
      <c r="E4" s="151"/>
      <c r="F4" s="151"/>
      <c r="G4" s="151"/>
      <c r="H4" s="151"/>
      <c r="I4" s="151"/>
      <c r="J4" s="151"/>
      <c r="K4" s="151"/>
    </row>
    <row r="5" spans="1:11" ht="16.5" thickBot="1" x14ac:dyDescent="0.3">
      <c r="A5" s="834" t="s">
        <v>315</v>
      </c>
      <c r="B5" s="836" t="s">
        <v>316</v>
      </c>
      <c r="C5" s="836" t="s">
        <v>279</v>
      </c>
      <c r="D5" s="836" t="s">
        <v>285</v>
      </c>
      <c r="E5" s="838" t="s">
        <v>317</v>
      </c>
      <c r="F5" s="839"/>
      <c r="G5" s="839"/>
      <c r="H5" s="839"/>
      <c r="I5" s="839"/>
      <c r="J5" s="839"/>
      <c r="K5" s="839"/>
    </row>
    <row r="6" spans="1:11" ht="16.5" thickBot="1" x14ac:dyDescent="0.3">
      <c r="A6" s="834"/>
      <c r="B6" s="836"/>
      <c r="C6" s="836"/>
      <c r="D6" s="836"/>
      <c r="E6" s="834" t="s">
        <v>318</v>
      </c>
      <c r="F6" s="834" t="s">
        <v>319</v>
      </c>
      <c r="G6" s="834" t="s">
        <v>320</v>
      </c>
      <c r="H6" s="836"/>
      <c r="I6" s="836"/>
      <c r="J6" s="836"/>
      <c r="K6" s="834" t="s">
        <v>321</v>
      </c>
    </row>
    <row r="7" spans="1:11" ht="16.5" thickBot="1" x14ac:dyDescent="0.3">
      <c r="A7" s="834"/>
      <c r="B7" s="836"/>
      <c r="C7" s="837"/>
      <c r="D7" s="837"/>
      <c r="E7" s="840"/>
      <c r="F7" s="834"/>
      <c r="G7" s="153" t="s">
        <v>322</v>
      </c>
      <c r="H7" s="154" t="s">
        <v>323</v>
      </c>
      <c r="I7" s="154" t="s">
        <v>324</v>
      </c>
      <c r="J7" s="155" t="s">
        <v>256</v>
      </c>
      <c r="K7" s="834"/>
    </row>
    <row r="8" spans="1:11" ht="28.15" customHeight="1" x14ac:dyDescent="0.25">
      <c r="A8" s="156">
        <v>1</v>
      </c>
      <c r="B8" s="157" t="s">
        <v>325</v>
      </c>
      <c r="C8" s="157" t="s">
        <v>326</v>
      </c>
      <c r="D8" s="420">
        <v>3697.5</v>
      </c>
      <c r="E8" s="517">
        <f>+D8*3.42</f>
        <v>12645.449999999999</v>
      </c>
      <c r="F8" s="517">
        <f>20.24*D8</f>
        <v>74837.399999999994</v>
      </c>
      <c r="G8" s="517">
        <f>6.85*D8</f>
        <v>25327.875</v>
      </c>
      <c r="H8" s="517">
        <f>20.56*D8</f>
        <v>76020.599999999991</v>
      </c>
      <c r="I8" s="517">
        <f>6.85*D8</f>
        <v>25327.875</v>
      </c>
      <c r="J8" s="517">
        <f t="shared" ref="J8:J13" si="0">G8+H8+I8</f>
        <v>126676.34999999999</v>
      </c>
      <c r="K8" s="517">
        <f>2.06*D8</f>
        <v>7616.85</v>
      </c>
    </row>
    <row r="9" spans="1:11" ht="28.15" customHeight="1" x14ac:dyDescent="0.25">
      <c r="A9" s="156">
        <f>A8+1</f>
        <v>2</v>
      </c>
      <c r="B9" s="157" t="s">
        <v>327</v>
      </c>
      <c r="C9" s="157" t="s">
        <v>326</v>
      </c>
      <c r="D9" s="420">
        <v>96</v>
      </c>
      <c r="E9" s="517">
        <f>+D9*4.44</f>
        <v>426.24</v>
      </c>
      <c r="F9" s="517">
        <f>16.71*D9</f>
        <v>1604.16</v>
      </c>
      <c r="G9" s="517">
        <f>6.69*D9</f>
        <v>642.24</v>
      </c>
      <c r="H9" s="517">
        <f>20.05*D9</f>
        <v>1924.8000000000002</v>
      </c>
      <c r="I9" s="517">
        <f>6.69*D9</f>
        <v>642.24</v>
      </c>
      <c r="J9" s="518">
        <f t="shared" si="0"/>
        <v>3209.2799999999997</v>
      </c>
      <c r="K9" s="517">
        <f>(2.66)*D9</f>
        <v>255.36</v>
      </c>
    </row>
    <row r="10" spans="1:11" ht="28.15" customHeight="1" x14ac:dyDescent="0.25">
      <c r="A10" s="156">
        <f>A9+1</f>
        <v>3</v>
      </c>
      <c r="B10" s="157" t="s">
        <v>328</v>
      </c>
      <c r="C10" s="157" t="s">
        <v>326</v>
      </c>
      <c r="D10" s="420">
        <v>2073.5</v>
      </c>
      <c r="E10" s="517">
        <f>+D10*6.34</f>
        <v>13145.99</v>
      </c>
      <c r="F10" s="517">
        <f>16.67*D10</f>
        <v>34565.245000000003</v>
      </c>
      <c r="G10" s="517">
        <f>6.36*D10</f>
        <v>13187.460000000001</v>
      </c>
      <c r="H10" s="517">
        <f>19.08*D10</f>
        <v>39562.379999999997</v>
      </c>
      <c r="I10" s="517">
        <f>6.36*D10</f>
        <v>13187.460000000001</v>
      </c>
      <c r="J10" s="518">
        <f t="shared" si="0"/>
        <v>65937.3</v>
      </c>
      <c r="K10" s="517">
        <f>(3.8)*D10</f>
        <v>7879.2999999999993</v>
      </c>
    </row>
    <row r="11" spans="1:11" ht="28.15" customHeight="1" x14ac:dyDescent="0.25">
      <c r="A11" s="156">
        <v>4</v>
      </c>
      <c r="B11" s="157" t="s">
        <v>712</v>
      </c>
      <c r="C11" s="157" t="s">
        <v>326</v>
      </c>
      <c r="D11" s="420">
        <v>1133</v>
      </c>
      <c r="E11" s="517">
        <f>+D11*8</f>
        <v>9064</v>
      </c>
      <c r="F11" s="517">
        <f>23.33*D11</f>
        <v>26432.89</v>
      </c>
      <c r="G11" s="517">
        <f>1.28*D11</f>
        <v>1450.24</v>
      </c>
      <c r="H11" s="517">
        <f>15.9*D11</f>
        <v>18014.7</v>
      </c>
      <c r="I11" s="517">
        <f>3.33*D11</f>
        <v>3772.89</v>
      </c>
      <c r="J11" s="518">
        <f t="shared" si="0"/>
        <v>23237.83</v>
      </c>
      <c r="K11" s="519">
        <f>(3.7)*D11</f>
        <v>4192.1000000000004</v>
      </c>
    </row>
    <row r="12" spans="1:11" ht="28.15" customHeight="1" x14ac:dyDescent="0.25">
      <c r="A12" s="156">
        <v>5</v>
      </c>
      <c r="B12" s="157" t="s">
        <v>329</v>
      </c>
      <c r="C12" s="157" t="s">
        <v>326</v>
      </c>
      <c r="D12" s="420">
        <v>20723</v>
      </c>
      <c r="E12" s="517">
        <f>+D12*8.6</f>
        <v>178217.8</v>
      </c>
      <c r="F12" s="517">
        <f>17.62*D12</f>
        <v>365139.26</v>
      </c>
      <c r="G12" s="517">
        <f>5.67*D12</f>
        <v>117499.41</v>
      </c>
      <c r="H12" s="517">
        <f>16.97*D12</f>
        <v>351669.31</v>
      </c>
      <c r="I12" s="517">
        <f>5.67*D12</f>
        <v>117499.41</v>
      </c>
      <c r="J12" s="517">
        <f t="shared" si="0"/>
        <v>586668.13</v>
      </c>
      <c r="K12" s="517">
        <f>5.2*D12</f>
        <v>107759.6</v>
      </c>
    </row>
    <row r="13" spans="1:11" ht="28.15" customHeight="1" x14ac:dyDescent="0.25">
      <c r="A13" s="611">
        <v>6</v>
      </c>
      <c r="B13" s="612" t="s">
        <v>574</v>
      </c>
      <c r="C13" s="612" t="s">
        <v>326</v>
      </c>
      <c r="D13" s="607">
        <v>12</v>
      </c>
      <c r="E13" s="613">
        <f>+D13*10.2</f>
        <v>122.39999999999999</v>
      </c>
      <c r="F13" s="613">
        <f>17.62*D13</f>
        <v>211.44</v>
      </c>
      <c r="G13" s="613">
        <f>5.67*D13</f>
        <v>68.039999999999992</v>
      </c>
      <c r="H13" s="613">
        <f>16.97*D13</f>
        <v>203.64</v>
      </c>
      <c r="I13" s="613">
        <f>5.67*D13</f>
        <v>68.039999999999992</v>
      </c>
      <c r="J13" s="613">
        <f t="shared" si="0"/>
        <v>339.71999999999991</v>
      </c>
      <c r="K13" s="613">
        <f>5.2*D13</f>
        <v>62.400000000000006</v>
      </c>
    </row>
    <row r="14" spans="1:11" ht="28.15" customHeight="1" x14ac:dyDescent="0.25">
      <c r="A14" s="157">
        <v>7</v>
      </c>
      <c r="B14" s="610" t="s">
        <v>790</v>
      </c>
      <c r="C14" s="612" t="s">
        <v>326</v>
      </c>
      <c r="D14" s="420">
        <v>2.5</v>
      </c>
      <c r="E14" s="517">
        <f>+D14*10.2</f>
        <v>25.5</v>
      </c>
      <c r="F14" s="517">
        <f>17.62*D14</f>
        <v>44.050000000000004</v>
      </c>
      <c r="G14" s="517">
        <f>5.67*D14</f>
        <v>14.175000000000001</v>
      </c>
      <c r="H14" s="517">
        <f>16.97*D14</f>
        <v>42.424999999999997</v>
      </c>
      <c r="I14" s="517">
        <f>5.67*D14</f>
        <v>14.175000000000001</v>
      </c>
      <c r="J14" s="517">
        <f t="shared" ref="J14" si="1">G14+H14+I14</f>
        <v>70.774999999999991</v>
      </c>
      <c r="K14" s="517">
        <f>5.2*D14</f>
        <v>13</v>
      </c>
    </row>
    <row r="15" spans="1:11" ht="28.15" customHeight="1" x14ac:dyDescent="0.25">
      <c r="A15" s="157">
        <v>8</v>
      </c>
      <c r="B15" s="157" t="s">
        <v>791</v>
      </c>
      <c r="C15" s="157" t="s">
        <v>326</v>
      </c>
      <c r="D15" s="420">
        <v>110.5</v>
      </c>
      <c r="E15" s="517">
        <f>+D15*8</f>
        <v>884</v>
      </c>
      <c r="F15" s="517">
        <f>9.75*D15</f>
        <v>1077.375</v>
      </c>
      <c r="G15" s="517"/>
      <c r="H15" s="517"/>
      <c r="I15" s="517"/>
      <c r="J15" s="517"/>
      <c r="K15" s="517"/>
    </row>
    <row r="16" spans="1:11" ht="15.75" x14ac:dyDescent="0.25">
      <c r="A16" s="158"/>
      <c r="B16" s="158"/>
      <c r="C16" s="159"/>
      <c r="D16" s="159"/>
      <c r="E16" s="160">
        <f>SUM(E8:E15)</f>
        <v>214531.37999999998</v>
      </c>
      <c r="F16" s="160">
        <f>SUM(F8:F15)</f>
        <v>503911.82</v>
      </c>
      <c r="G16" s="160">
        <f>SUM(G8:G14)</f>
        <v>158189.44</v>
      </c>
      <c r="H16" s="160">
        <f>SUM(H8:H14)</f>
        <v>487437.85500000004</v>
      </c>
      <c r="I16" s="160">
        <f>SUM(I8:I14)</f>
        <v>160512.09</v>
      </c>
      <c r="J16" s="160">
        <f>SUM(J8:J14)</f>
        <v>806139.38500000001</v>
      </c>
      <c r="K16" s="160">
        <f>SUM(K8:K14)</f>
        <v>127778.61</v>
      </c>
    </row>
    <row r="17" spans="1:11" ht="15.75" x14ac:dyDescent="0.25">
      <c r="A17" s="151"/>
      <c r="B17" s="151"/>
      <c r="C17" s="152"/>
      <c r="D17" s="515"/>
      <c r="E17" s="389">
        <f>E16/20</f>
        <v>10726.569</v>
      </c>
      <c r="F17" s="151">
        <f>+'Anx-G'!H12</f>
        <v>512025</v>
      </c>
      <c r="G17" s="833">
        <f>+G16+H16+I16</f>
        <v>806139.38500000001</v>
      </c>
      <c r="H17" s="833"/>
      <c r="I17" s="833"/>
      <c r="J17" s="151"/>
      <c r="K17" s="151"/>
    </row>
    <row r="18" spans="1:11" x14ac:dyDescent="0.25">
      <c r="D18" s="420"/>
      <c r="F18" s="390">
        <f>+F16-F17</f>
        <v>-8113.179999999993</v>
      </c>
      <c r="I18">
        <f>+'Anx-G'!H11</f>
        <v>789825</v>
      </c>
    </row>
    <row r="19" spans="1:11" x14ac:dyDescent="0.25">
      <c r="I19" s="379">
        <f>+G17-I18</f>
        <v>16314.385000000009</v>
      </c>
    </row>
    <row r="20" spans="1:11" x14ac:dyDescent="0.25">
      <c r="E20" s="410">
        <f>'Anx-G'!U10</f>
        <v>23057.984</v>
      </c>
      <c r="F20" s="410">
        <f>'Anx-G'!U12</f>
        <v>493813.82</v>
      </c>
      <c r="I20">
        <f>'Anx-G'!U11</f>
        <v>789825.38500000001</v>
      </c>
      <c r="K20">
        <f>'Anx-G'!U13</f>
        <v>102900</v>
      </c>
    </row>
  </sheetData>
  <mergeCells count="12">
    <mergeCell ref="G17:I17"/>
    <mergeCell ref="K6:K7"/>
    <mergeCell ref="A1:K1"/>
    <mergeCell ref="A2:K2"/>
    <mergeCell ref="A5:A7"/>
    <mergeCell ref="B5:B7"/>
    <mergeCell ref="C5:C7"/>
    <mergeCell ref="D5:D7"/>
    <mergeCell ref="E5:K5"/>
    <mergeCell ref="E6:E7"/>
    <mergeCell ref="F6:F7"/>
    <mergeCell ref="G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S24" sqref="S24"/>
    </sheetView>
  </sheetViews>
  <sheetFormatPr defaultRowHeight="15" x14ac:dyDescent="0.25"/>
  <sheetData>
    <row r="1" spans="1:22" x14ac:dyDescent="0.25">
      <c r="A1" s="841" t="s">
        <v>330</v>
      </c>
      <c r="B1" s="841"/>
      <c r="C1" s="841"/>
      <c r="D1" s="841"/>
      <c r="E1" s="841"/>
      <c r="F1" s="841"/>
      <c r="G1" s="841"/>
      <c r="H1" s="841"/>
      <c r="I1" s="841"/>
      <c r="J1" s="841"/>
      <c r="K1" s="841"/>
      <c r="L1" s="841"/>
      <c r="M1" s="841"/>
      <c r="N1" s="841"/>
      <c r="O1" s="841"/>
      <c r="P1" s="841"/>
      <c r="Q1" s="841"/>
      <c r="R1" s="841"/>
      <c r="S1" s="841"/>
      <c r="T1" s="841"/>
      <c r="U1" s="841"/>
      <c r="V1" s="841"/>
    </row>
    <row r="2" spans="1:22" ht="15.75" x14ac:dyDescent="0.2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</row>
    <row r="3" spans="1:22" ht="15.75" x14ac:dyDescent="0.25">
      <c r="A3" s="842" t="s">
        <v>331</v>
      </c>
      <c r="B3" s="842"/>
      <c r="C3" s="842"/>
      <c r="D3" s="842"/>
      <c r="E3" s="842"/>
      <c r="F3" s="842"/>
      <c r="G3" s="842"/>
      <c r="H3" s="842"/>
      <c r="I3" s="842"/>
      <c r="J3" s="842"/>
      <c r="K3" s="842"/>
      <c r="L3" s="842"/>
      <c r="M3" s="842"/>
      <c r="N3" s="842"/>
      <c r="O3" s="842"/>
      <c r="P3" s="842"/>
      <c r="Q3" s="842"/>
      <c r="R3" s="842"/>
      <c r="S3" s="842"/>
      <c r="T3" s="842"/>
      <c r="U3" s="842"/>
      <c r="V3" s="842"/>
    </row>
    <row r="4" spans="1:22" ht="15.75" x14ac:dyDescent="0.25">
      <c r="A4" s="843" t="str">
        <f>'Anx-A'!A3:H3</f>
        <v>Re-Modelling and Up Gradation of ADA Nullah and Walton Road Pkg-I</v>
      </c>
      <c r="B4" s="843"/>
      <c r="C4" s="843"/>
      <c r="D4" s="843"/>
      <c r="E4" s="843"/>
      <c r="F4" s="843"/>
      <c r="G4" s="843"/>
      <c r="H4" s="843"/>
      <c r="I4" s="843"/>
      <c r="J4" s="843"/>
      <c r="K4" s="843"/>
      <c r="L4" s="843"/>
      <c r="M4" s="843"/>
      <c r="N4" s="843"/>
      <c r="O4" s="843"/>
      <c r="P4" s="843"/>
      <c r="Q4" s="843"/>
      <c r="R4" s="843"/>
      <c r="S4" s="843"/>
      <c r="T4" s="843"/>
      <c r="U4" s="843"/>
      <c r="V4" s="843"/>
    </row>
    <row r="5" spans="1:22" ht="15.75" x14ac:dyDescent="0.25">
      <c r="A5" s="843"/>
      <c r="B5" s="843"/>
      <c r="C5" s="843"/>
      <c r="D5" s="843"/>
      <c r="E5" s="843"/>
      <c r="F5" s="843"/>
      <c r="G5" s="843"/>
      <c r="H5" s="843"/>
      <c r="I5" s="843"/>
      <c r="J5" s="843"/>
      <c r="K5" s="843"/>
      <c r="L5" s="843"/>
      <c r="M5" s="843"/>
      <c r="N5" s="843"/>
      <c r="O5" s="843"/>
      <c r="P5" s="843"/>
      <c r="Q5" s="843"/>
      <c r="R5" s="843"/>
      <c r="S5" s="843"/>
      <c r="T5" s="843"/>
      <c r="U5" s="843"/>
      <c r="V5" s="843"/>
    </row>
    <row r="6" spans="1:22" ht="15.75" x14ac:dyDescent="0.25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</row>
    <row r="7" spans="1:22" x14ac:dyDescent="0.25">
      <c r="A7" s="844" t="s">
        <v>141</v>
      </c>
      <c r="B7" s="844" t="s">
        <v>332</v>
      </c>
      <c r="C7" s="98"/>
      <c r="D7" s="98"/>
      <c r="E7" s="845" t="s">
        <v>189</v>
      </c>
      <c r="F7" s="845"/>
      <c r="G7" s="845"/>
      <c r="H7" s="845"/>
      <c r="I7" s="845"/>
      <c r="J7" s="845"/>
      <c r="K7" s="846" t="s">
        <v>76</v>
      </c>
      <c r="L7" s="846"/>
      <c r="M7" s="846"/>
      <c r="N7" s="846"/>
      <c r="O7" s="846"/>
      <c r="P7" s="846"/>
      <c r="Q7" s="847" t="s">
        <v>77</v>
      </c>
      <c r="R7" s="847"/>
      <c r="S7" s="847"/>
      <c r="T7" s="847"/>
      <c r="U7" s="847"/>
      <c r="V7" s="847"/>
    </row>
    <row r="8" spans="1:22" ht="57" x14ac:dyDescent="0.25">
      <c r="A8" s="844"/>
      <c r="B8" s="844"/>
      <c r="C8" s="98" t="s">
        <v>333</v>
      </c>
      <c r="D8" s="98" t="s">
        <v>334</v>
      </c>
      <c r="E8" s="164" t="s">
        <v>335</v>
      </c>
      <c r="F8" s="165" t="s">
        <v>336</v>
      </c>
      <c r="G8" s="164" t="s">
        <v>337</v>
      </c>
      <c r="H8" s="166" t="s">
        <v>338</v>
      </c>
      <c r="I8" s="164" t="s">
        <v>339</v>
      </c>
      <c r="J8" s="164" t="s">
        <v>340</v>
      </c>
      <c r="K8" s="164" t="s">
        <v>335</v>
      </c>
      <c r="L8" s="165" t="s">
        <v>336</v>
      </c>
      <c r="M8" s="164" t="s">
        <v>337</v>
      </c>
      <c r="N8" s="166" t="s">
        <v>338</v>
      </c>
      <c r="O8" s="164" t="s">
        <v>339</v>
      </c>
      <c r="P8" s="164" t="s">
        <v>341</v>
      </c>
      <c r="Q8" s="164" t="s">
        <v>335</v>
      </c>
      <c r="R8" s="164" t="s">
        <v>336</v>
      </c>
      <c r="S8" s="164" t="s">
        <v>337</v>
      </c>
      <c r="T8" s="164" t="s">
        <v>338</v>
      </c>
      <c r="U8" s="164" t="s">
        <v>339</v>
      </c>
      <c r="V8" s="164" t="s">
        <v>341</v>
      </c>
    </row>
    <row r="9" spans="1:22" ht="51" x14ac:dyDescent="0.25">
      <c r="A9" s="101">
        <v>1</v>
      </c>
      <c r="B9" s="167" t="s">
        <v>342</v>
      </c>
      <c r="C9" s="167"/>
      <c r="D9" s="167"/>
      <c r="E9" s="168"/>
      <c r="F9" s="169">
        <v>0</v>
      </c>
      <c r="G9" s="170"/>
      <c r="H9" s="171"/>
      <c r="I9" s="172"/>
      <c r="J9" s="173">
        <f>F9+H9+I9</f>
        <v>0</v>
      </c>
      <c r="K9" s="174"/>
      <c r="L9" s="171"/>
      <c r="M9" s="171"/>
      <c r="N9" s="171"/>
      <c r="O9" s="171"/>
      <c r="P9" s="175">
        <v>0</v>
      </c>
      <c r="Q9" s="176">
        <f t="shared" ref="Q9:V9" si="0">+E9</f>
        <v>0</v>
      </c>
      <c r="R9" s="177">
        <f t="shared" si="0"/>
        <v>0</v>
      </c>
      <c r="S9" s="177">
        <f t="shared" si="0"/>
        <v>0</v>
      </c>
      <c r="T9" s="173">
        <f t="shared" si="0"/>
        <v>0</v>
      </c>
      <c r="U9" s="173">
        <f t="shared" si="0"/>
        <v>0</v>
      </c>
      <c r="V9" s="175">
        <f t="shared" si="0"/>
        <v>0</v>
      </c>
    </row>
    <row r="10" spans="1:22" x14ac:dyDescent="0.25">
      <c r="A10" s="110">
        <f t="shared" ref="A10:A18" si="1">A9+1</f>
        <v>2</v>
      </c>
      <c r="B10" s="178"/>
      <c r="C10" s="178"/>
      <c r="D10" s="179"/>
      <c r="E10" s="146"/>
      <c r="F10" s="180"/>
      <c r="G10" s="134"/>
      <c r="H10" s="181"/>
      <c r="I10" s="134"/>
      <c r="J10" s="136"/>
      <c r="K10" s="146"/>
      <c r="L10" s="145"/>
      <c r="M10" s="182"/>
      <c r="N10" s="182"/>
      <c r="O10" s="182"/>
      <c r="P10" s="182"/>
      <c r="Q10" s="176"/>
      <c r="R10" s="177"/>
      <c r="S10" s="177"/>
      <c r="T10" s="173"/>
      <c r="U10" s="173"/>
      <c r="V10" s="175"/>
    </row>
    <row r="11" spans="1:22" x14ac:dyDescent="0.25">
      <c r="A11" s="110">
        <f t="shared" si="1"/>
        <v>3</v>
      </c>
      <c r="B11" s="183"/>
      <c r="C11" s="183"/>
      <c r="D11" s="179"/>
      <c r="E11" s="146"/>
      <c r="F11" s="180"/>
      <c r="G11" s="184"/>
      <c r="H11" s="181"/>
      <c r="I11" s="134"/>
      <c r="J11" s="136"/>
      <c r="K11" s="146"/>
      <c r="L11" s="185"/>
      <c r="M11" s="184"/>
      <c r="N11" s="181"/>
      <c r="O11" s="134"/>
      <c r="P11" s="182"/>
      <c r="Q11" s="176"/>
      <c r="R11" s="177"/>
      <c r="S11" s="177"/>
      <c r="T11" s="173"/>
      <c r="U11" s="173"/>
      <c r="V11" s="175"/>
    </row>
    <row r="12" spans="1:22" x14ac:dyDescent="0.25">
      <c r="A12" s="110">
        <f t="shared" si="1"/>
        <v>4</v>
      </c>
      <c r="B12" s="183"/>
      <c r="C12" s="183"/>
      <c r="D12" s="179"/>
      <c r="E12" s="146"/>
      <c r="F12" s="180"/>
      <c r="G12" s="184"/>
      <c r="H12" s="181"/>
      <c r="I12" s="134"/>
      <c r="J12" s="136"/>
      <c r="K12" s="146"/>
      <c r="L12" s="185"/>
      <c r="M12" s="184"/>
      <c r="N12" s="181"/>
      <c r="O12" s="134"/>
      <c r="P12" s="182"/>
      <c r="Q12" s="176"/>
      <c r="R12" s="177"/>
      <c r="S12" s="177"/>
      <c r="T12" s="173"/>
      <c r="U12" s="173"/>
      <c r="V12" s="175"/>
    </row>
    <row r="13" spans="1:22" x14ac:dyDescent="0.25">
      <c r="A13" s="110">
        <f t="shared" si="1"/>
        <v>5</v>
      </c>
      <c r="B13" s="183"/>
      <c r="C13" s="183"/>
      <c r="D13" s="179"/>
      <c r="E13" s="146"/>
      <c r="F13" s="180"/>
      <c r="G13" s="184"/>
      <c r="H13" s="181"/>
      <c r="I13" s="134"/>
      <c r="J13" s="136"/>
      <c r="K13" s="146"/>
      <c r="L13" s="185"/>
      <c r="M13" s="184"/>
      <c r="N13" s="181"/>
      <c r="O13" s="134"/>
      <c r="P13" s="182"/>
      <c r="Q13" s="176"/>
      <c r="R13" s="177"/>
      <c r="S13" s="177"/>
      <c r="T13" s="173"/>
      <c r="U13" s="173"/>
      <c r="V13" s="175"/>
    </row>
    <row r="14" spans="1:22" x14ac:dyDescent="0.25">
      <c r="A14" s="110">
        <f t="shared" si="1"/>
        <v>6</v>
      </c>
      <c r="B14" s="186"/>
      <c r="C14" s="186"/>
      <c r="D14" s="179"/>
      <c r="E14" s="146"/>
      <c r="F14" s="180"/>
      <c r="G14" s="187"/>
      <c r="H14" s="181"/>
      <c r="I14" s="134"/>
      <c r="J14" s="136"/>
      <c r="K14" s="146"/>
      <c r="L14" s="181"/>
      <c r="M14" s="134"/>
      <c r="N14" s="181"/>
      <c r="O14" s="181"/>
      <c r="P14" s="182"/>
      <c r="Q14" s="176"/>
      <c r="R14" s="177"/>
      <c r="S14" s="177"/>
      <c r="T14" s="173"/>
      <c r="U14" s="173"/>
      <c r="V14" s="175"/>
    </row>
    <row r="15" spans="1:22" x14ac:dyDescent="0.25">
      <c r="A15" s="110">
        <f t="shared" si="1"/>
        <v>7</v>
      </c>
      <c r="B15" s="183"/>
      <c r="C15" s="183"/>
      <c r="D15" s="179"/>
      <c r="E15" s="188"/>
      <c r="F15" s="189"/>
      <c r="G15" s="190"/>
      <c r="H15" s="191"/>
      <c r="I15" s="184"/>
      <c r="J15" s="192"/>
      <c r="K15" s="146"/>
      <c r="L15" s="191"/>
      <c r="M15" s="184"/>
      <c r="N15" s="191"/>
      <c r="O15" s="191"/>
      <c r="P15" s="182"/>
      <c r="Q15" s="176"/>
      <c r="R15" s="177"/>
      <c r="S15" s="177"/>
      <c r="T15" s="173"/>
      <c r="U15" s="173"/>
      <c r="V15" s="175"/>
    </row>
    <row r="16" spans="1:22" x14ac:dyDescent="0.25">
      <c r="A16" s="110">
        <f t="shared" si="1"/>
        <v>8</v>
      </c>
      <c r="B16" s="183"/>
      <c r="C16" s="183"/>
      <c r="D16" s="179"/>
      <c r="E16" s="188"/>
      <c r="F16" s="189"/>
      <c r="G16" s="190"/>
      <c r="H16" s="191"/>
      <c r="I16" s="184"/>
      <c r="J16" s="192"/>
      <c r="K16" s="146"/>
      <c r="L16" s="191"/>
      <c r="M16" s="184"/>
      <c r="N16" s="191"/>
      <c r="O16" s="191"/>
      <c r="P16" s="182"/>
      <c r="Q16" s="176"/>
      <c r="R16" s="177"/>
      <c r="S16" s="177"/>
      <c r="T16" s="173"/>
      <c r="U16" s="173"/>
      <c r="V16" s="175"/>
    </row>
    <row r="17" spans="1:22" x14ac:dyDescent="0.25">
      <c r="A17" s="110">
        <f t="shared" si="1"/>
        <v>9</v>
      </c>
      <c r="B17" s="183"/>
      <c r="C17" s="183"/>
      <c r="D17" s="179"/>
      <c r="E17" s="188"/>
      <c r="F17" s="189"/>
      <c r="G17" s="190"/>
      <c r="H17" s="191"/>
      <c r="I17" s="184"/>
      <c r="J17" s="192"/>
      <c r="K17" s="146"/>
      <c r="L17" s="191"/>
      <c r="M17" s="184"/>
      <c r="N17" s="191"/>
      <c r="O17" s="191"/>
      <c r="P17" s="182"/>
      <c r="Q17" s="176"/>
      <c r="R17" s="177"/>
      <c r="S17" s="177"/>
      <c r="T17" s="173"/>
      <c r="U17" s="173"/>
      <c r="V17" s="175"/>
    </row>
    <row r="18" spans="1:22" x14ac:dyDescent="0.25">
      <c r="A18" s="110">
        <f t="shared" si="1"/>
        <v>10</v>
      </c>
      <c r="B18" s="183"/>
      <c r="C18" s="183"/>
      <c r="D18" s="179"/>
      <c r="E18" s="188"/>
      <c r="F18" s="189"/>
      <c r="G18" s="190"/>
      <c r="H18" s="191"/>
      <c r="I18" s="184"/>
      <c r="J18" s="192"/>
      <c r="K18" s="146"/>
      <c r="L18" s="191"/>
      <c r="M18" s="184"/>
      <c r="N18" s="191"/>
      <c r="O18" s="191"/>
      <c r="P18" s="182"/>
      <c r="Q18" s="176"/>
      <c r="R18" s="177"/>
      <c r="S18" s="177"/>
      <c r="T18" s="173"/>
      <c r="U18" s="173"/>
      <c r="V18" s="175"/>
    </row>
    <row r="19" spans="1:22" x14ac:dyDescent="0.25">
      <c r="A19" s="193"/>
      <c r="B19" s="194"/>
      <c r="C19" s="194"/>
      <c r="D19" s="195"/>
      <c r="E19" s="196"/>
      <c r="F19" s="197"/>
      <c r="G19" s="198"/>
      <c r="H19" s="197"/>
      <c r="I19" s="198"/>
      <c r="J19" s="199">
        <f>SUM(J9:J18)</f>
        <v>0</v>
      </c>
      <c r="K19" s="200"/>
      <c r="L19" s="197"/>
      <c r="M19" s="198"/>
      <c r="N19" s="197"/>
      <c r="O19" s="198"/>
      <c r="P19" s="197"/>
      <c r="Q19" s="176">
        <f t="shared" ref="Q19:V20" si="2">+E19</f>
        <v>0</v>
      </c>
      <c r="R19" s="177">
        <f t="shared" si="2"/>
        <v>0</v>
      </c>
      <c r="S19" s="177">
        <f t="shared" si="2"/>
        <v>0</v>
      </c>
      <c r="T19" s="173">
        <f t="shared" si="2"/>
        <v>0</v>
      </c>
      <c r="U19" s="173">
        <f t="shared" si="2"/>
        <v>0</v>
      </c>
      <c r="V19" s="175">
        <f t="shared" si="2"/>
        <v>0</v>
      </c>
    </row>
    <row r="20" spans="1:22" ht="38.25" x14ac:dyDescent="0.25">
      <c r="A20" s="110"/>
      <c r="B20" s="201" t="s">
        <v>343</v>
      </c>
      <c r="C20" s="201"/>
      <c r="D20" s="179"/>
      <c r="E20" s="146"/>
      <c r="F20" s="134"/>
      <c r="G20" s="134"/>
      <c r="H20" s="134"/>
      <c r="I20" s="134"/>
      <c r="J20" s="136"/>
      <c r="K20" s="174"/>
      <c r="L20" s="184"/>
      <c r="M20" s="184"/>
      <c r="N20" s="184"/>
      <c r="O20" s="171"/>
      <c r="P20" s="202"/>
      <c r="Q20" s="176">
        <f t="shared" si="2"/>
        <v>0</v>
      </c>
      <c r="R20" s="177">
        <f t="shared" si="2"/>
        <v>0</v>
      </c>
      <c r="S20" s="177">
        <f t="shared" si="2"/>
        <v>0</v>
      </c>
      <c r="T20" s="173">
        <f t="shared" si="2"/>
        <v>0</v>
      </c>
      <c r="U20" s="173">
        <f t="shared" si="2"/>
        <v>0</v>
      </c>
      <c r="V20" s="175">
        <f t="shared" si="2"/>
        <v>0</v>
      </c>
    </row>
    <row r="21" spans="1:22" x14ac:dyDescent="0.25">
      <c r="A21" s="110">
        <v>1</v>
      </c>
      <c r="B21" s="123"/>
      <c r="C21" s="123"/>
      <c r="D21" s="179"/>
      <c r="E21" s="146"/>
      <c r="F21" s="180"/>
      <c r="G21" s="134"/>
      <c r="H21" s="145"/>
      <c r="I21" s="134"/>
      <c r="J21" s="135"/>
      <c r="K21" s="203"/>
      <c r="L21" s="181"/>
      <c r="M21" s="134"/>
      <c r="N21" s="134"/>
      <c r="O21" s="181"/>
      <c r="P21" s="182"/>
      <c r="Q21" s="176"/>
      <c r="R21" s="177"/>
      <c r="S21" s="177"/>
      <c r="T21" s="173"/>
      <c r="U21" s="173"/>
      <c r="V21" s="175"/>
    </row>
    <row r="22" spans="1:22" x14ac:dyDescent="0.25">
      <c r="A22" s="110">
        <f>A21+1</f>
        <v>2</v>
      </c>
      <c r="B22" s="204"/>
      <c r="C22" s="100"/>
      <c r="D22" s="179"/>
      <c r="E22" s="146"/>
      <c r="F22" s="180"/>
      <c r="G22" s="134"/>
      <c r="H22" s="145"/>
      <c r="I22" s="134"/>
      <c r="J22" s="135"/>
      <c r="K22" s="203"/>
      <c r="L22" s="181"/>
      <c r="M22" s="134"/>
      <c r="N22" s="134"/>
      <c r="O22" s="181"/>
      <c r="P22" s="182"/>
      <c r="Q22" s="176"/>
      <c r="R22" s="177"/>
      <c r="S22" s="177"/>
      <c r="T22" s="173"/>
      <c r="U22" s="173"/>
      <c r="V22" s="175"/>
    </row>
    <row r="23" spans="1:22" x14ac:dyDescent="0.25">
      <c r="A23" s="110">
        <f>A22+1</f>
        <v>3</v>
      </c>
      <c r="B23" s="123"/>
      <c r="C23" s="123"/>
      <c r="D23" s="179"/>
      <c r="E23" s="146"/>
      <c r="F23" s="180"/>
      <c r="G23" s="134"/>
      <c r="H23" s="145"/>
      <c r="I23" s="134"/>
      <c r="J23" s="136"/>
      <c r="K23" s="203"/>
      <c r="L23" s="181"/>
      <c r="M23" s="134"/>
      <c r="N23" s="134"/>
      <c r="O23" s="181"/>
      <c r="P23" s="182"/>
      <c r="Q23" s="176"/>
      <c r="R23" s="177"/>
      <c r="S23" s="177"/>
      <c r="T23" s="173"/>
      <c r="U23" s="173"/>
      <c r="V23" s="175"/>
    </row>
    <row r="24" spans="1:22" x14ac:dyDescent="0.25">
      <c r="A24" s="110">
        <v>4</v>
      </c>
      <c r="B24" s="123"/>
      <c r="C24" s="123"/>
      <c r="D24" s="179"/>
      <c r="E24" s="146"/>
      <c r="F24" s="180"/>
      <c r="G24" s="134"/>
      <c r="H24" s="145"/>
      <c r="I24" s="134"/>
      <c r="J24" s="136"/>
      <c r="K24" s="203"/>
      <c r="L24" s="181"/>
      <c r="M24" s="134"/>
      <c r="N24" s="134"/>
      <c r="O24" s="181"/>
      <c r="P24" s="182"/>
      <c r="Q24" s="176"/>
      <c r="R24" s="177"/>
      <c r="S24" s="177"/>
      <c r="T24" s="173"/>
      <c r="U24" s="173"/>
      <c r="V24" s="175"/>
    </row>
    <row r="25" spans="1:22" x14ac:dyDescent="0.25">
      <c r="A25" s="110">
        <v>5</v>
      </c>
      <c r="B25" s="123"/>
      <c r="C25" s="123"/>
      <c r="D25" s="179"/>
      <c r="E25" s="146"/>
      <c r="F25" s="180"/>
      <c r="G25" s="134"/>
      <c r="H25" s="145"/>
      <c r="I25" s="134"/>
      <c r="J25" s="136"/>
      <c r="K25" s="203"/>
      <c r="L25" s="181"/>
      <c r="M25" s="134"/>
      <c r="N25" s="134"/>
      <c r="O25" s="181"/>
      <c r="P25" s="182"/>
      <c r="Q25" s="176"/>
      <c r="R25" s="177"/>
      <c r="S25" s="177"/>
      <c r="T25" s="173"/>
      <c r="U25" s="173"/>
      <c r="V25" s="175"/>
    </row>
    <row r="26" spans="1:22" x14ac:dyDescent="0.25">
      <c r="A26" s="110">
        <v>6</v>
      </c>
      <c r="B26" s="123"/>
      <c r="C26" s="104"/>
      <c r="D26" s="179"/>
      <c r="E26" s="146"/>
      <c r="F26" s="180"/>
      <c r="G26" s="134"/>
      <c r="H26" s="145"/>
      <c r="I26" s="134"/>
      <c r="J26" s="136"/>
      <c r="K26" s="203"/>
      <c r="L26" s="181"/>
      <c r="M26" s="134"/>
      <c r="N26" s="134"/>
      <c r="O26" s="181"/>
      <c r="P26" s="182"/>
      <c r="Q26" s="176"/>
      <c r="R26" s="177"/>
      <c r="S26" s="177"/>
      <c r="T26" s="173"/>
      <c r="U26" s="173"/>
      <c r="V26" s="175"/>
    </row>
    <row r="27" spans="1:22" x14ac:dyDescent="0.25">
      <c r="A27" s="110">
        <v>7</v>
      </c>
      <c r="B27" s="123"/>
      <c r="C27" s="123"/>
      <c r="D27" s="179"/>
      <c r="E27" s="146"/>
      <c r="F27" s="180"/>
      <c r="G27" s="134"/>
      <c r="H27" s="145"/>
      <c r="I27" s="134"/>
      <c r="J27" s="136"/>
      <c r="K27" s="203"/>
      <c r="L27" s="181"/>
      <c r="M27" s="134"/>
      <c r="N27" s="134"/>
      <c r="O27" s="181"/>
      <c r="P27" s="182"/>
      <c r="Q27" s="176"/>
      <c r="R27" s="177"/>
      <c r="S27" s="177"/>
      <c r="T27" s="173"/>
      <c r="U27" s="173"/>
      <c r="V27" s="175"/>
    </row>
    <row r="28" spans="1:22" x14ac:dyDescent="0.25">
      <c r="A28" s="110">
        <v>8</v>
      </c>
      <c r="B28" s="123"/>
      <c r="C28" s="123"/>
      <c r="D28" s="179"/>
      <c r="E28" s="146"/>
      <c r="F28" s="180"/>
      <c r="G28" s="134"/>
      <c r="H28" s="145"/>
      <c r="I28" s="134"/>
      <c r="J28" s="136"/>
      <c r="K28" s="203"/>
      <c r="L28" s="181"/>
      <c r="M28" s="134"/>
      <c r="N28" s="134"/>
      <c r="O28" s="181"/>
      <c r="P28" s="182"/>
      <c r="Q28" s="176"/>
      <c r="R28" s="177"/>
      <c r="S28" s="177"/>
      <c r="T28" s="173"/>
      <c r="U28" s="173"/>
      <c r="V28" s="175"/>
    </row>
    <row r="29" spans="1:22" x14ac:dyDescent="0.25">
      <c r="A29" s="110">
        <v>9</v>
      </c>
      <c r="B29" s="123"/>
      <c r="C29" s="123"/>
      <c r="D29" s="179"/>
      <c r="E29" s="146"/>
      <c r="F29" s="180"/>
      <c r="G29" s="134"/>
      <c r="H29" s="145"/>
      <c r="I29" s="134"/>
      <c r="J29" s="136"/>
      <c r="K29" s="203"/>
      <c r="L29" s="181"/>
      <c r="M29" s="134"/>
      <c r="N29" s="134"/>
      <c r="O29" s="181"/>
      <c r="P29" s="182"/>
      <c r="Q29" s="176"/>
      <c r="R29" s="177"/>
      <c r="S29" s="177"/>
      <c r="T29" s="173"/>
      <c r="U29" s="173"/>
      <c r="V29" s="175"/>
    </row>
    <row r="30" spans="1:22" x14ac:dyDescent="0.25">
      <c r="A30" s="110">
        <v>10</v>
      </c>
      <c r="B30" s="123"/>
      <c r="C30" s="123"/>
      <c r="D30" s="179"/>
      <c r="E30" s="146"/>
      <c r="F30" s="180"/>
      <c r="G30" s="134"/>
      <c r="H30" s="145"/>
      <c r="I30" s="134"/>
      <c r="J30" s="136"/>
      <c r="K30" s="203"/>
      <c r="L30" s="181"/>
      <c r="M30" s="134"/>
      <c r="N30" s="134"/>
      <c r="O30" s="181"/>
      <c r="P30" s="182"/>
      <c r="Q30" s="176"/>
      <c r="R30" s="177"/>
      <c r="S30" s="177"/>
      <c r="T30" s="173"/>
      <c r="U30" s="173"/>
      <c r="V30" s="175"/>
    </row>
    <row r="31" spans="1:22" x14ac:dyDescent="0.25">
      <c r="A31" s="753" t="s">
        <v>344</v>
      </c>
      <c r="B31" s="753"/>
      <c r="C31" s="753"/>
      <c r="D31" s="753"/>
      <c r="E31" s="753"/>
      <c r="F31" s="205">
        <f t="shared" ref="F31:V31" si="3">SUM(F10:F30)</f>
        <v>0</v>
      </c>
      <c r="G31" s="205">
        <f t="shared" si="3"/>
        <v>0</v>
      </c>
      <c r="H31" s="205">
        <f t="shared" si="3"/>
        <v>0</v>
      </c>
      <c r="I31" s="205">
        <f t="shared" si="3"/>
        <v>0</v>
      </c>
      <c r="J31" s="205">
        <f t="shared" si="3"/>
        <v>0</v>
      </c>
      <c r="K31" s="205">
        <f t="shared" si="3"/>
        <v>0</v>
      </c>
      <c r="L31" s="205">
        <f t="shared" si="3"/>
        <v>0</v>
      </c>
      <c r="M31" s="205">
        <f t="shared" si="3"/>
        <v>0</v>
      </c>
      <c r="N31" s="205">
        <f t="shared" si="3"/>
        <v>0</v>
      </c>
      <c r="O31" s="205">
        <f t="shared" si="3"/>
        <v>0</v>
      </c>
      <c r="P31" s="205">
        <f t="shared" si="3"/>
        <v>0</v>
      </c>
      <c r="Q31" s="205">
        <f t="shared" si="3"/>
        <v>0</v>
      </c>
      <c r="R31" s="205">
        <f t="shared" si="3"/>
        <v>0</v>
      </c>
      <c r="S31" s="205">
        <f t="shared" si="3"/>
        <v>0</v>
      </c>
      <c r="T31" s="205">
        <f t="shared" si="3"/>
        <v>0</v>
      </c>
      <c r="U31" s="205">
        <f t="shared" si="3"/>
        <v>0</v>
      </c>
      <c r="V31" s="205">
        <f t="shared" si="3"/>
        <v>0</v>
      </c>
    </row>
  </sheetData>
  <mergeCells count="10">
    <mergeCell ref="A31:E31"/>
    <mergeCell ref="A1:V1"/>
    <mergeCell ref="A3:V3"/>
    <mergeCell ref="A4:V4"/>
    <mergeCell ref="A5:V5"/>
    <mergeCell ref="A7:A8"/>
    <mergeCell ref="B7:B8"/>
    <mergeCell ref="E7:J7"/>
    <mergeCell ref="K7:P7"/>
    <mergeCell ref="Q7:V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view="pageBreakPreview" topLeftCell="B1" zoomScaleNormal="100" zoomScaleSheetLayoutView="100" workbookViewId="0">
      <pane xSplit="1" ySplit="5" topLeftCell="C26" activePane="bottomRight" state="frozen"/>
      <selection activeCell="B1" sqref="B1"/>
      <selection pane="topRight" activeCell="C1" sqref="C1"/>
      <selection pane="bottomLeft" activeCell="B6" sqref="B6"/>
      <selection pane="bottomRight" activeCell="B36" sqref="B36"/>
    </sheetView>
  </sheetViews>
  <sheetFormatPr defaultRowHeight="15" x14ac:dyDescent="0.25"/>
  <cols>
    <col min="1" max="1" width="0" hidden="1" customWidth="1"/>
    <col min="2" max="2" width="11.140625" customWidth="1"/>
    <col min="3" max="3" width="13.140625" customWidth="1"/>
    <col min="4" max="4" width="12.42578125" customWidth="1"/>
    <col min="5" max="5" width="15.140625" bestFit="1" customWidth="1"/>
    <col min="6" max="6" width="14.28515625" bestFit="1" customWidth="1"/>
    <col min="7" max="7" width="13.5703125" customWidth="1"/>
    <col min="8" max="9" width="14.28515625" bestFit="1" customWidth="1"/>
    <col min="10" max="12" width="12.5703125" bestFit="1" customWidth="1"/>
    <col min="13" max="13" width="14.28515625" bestFit="1" customWidth="1"/>
    <col min="14" max="14" width="12.5703125" bestFit="1" customWidth="1"/>
    <col min="15" max="15" width="14.140625" customWidth="1"/>
    <col min="16" max="16" width="13.28515625" customWidth="1"/>
    <col min="17" max="17" width="9" bestFit="1" customWidth="1"/>
    <col min="18" max="18" width="15.28515625" bestFit="1" customWidth="1"/>
    <col min="19" max="19" width="14.5703125" customWidth="1"/>
    <col min="20" max="21" width="14.28515625" bestFit="1" customWidth="1"/>
    <col min="22" max="22" width="14.28515625" customWidth="1"/>
    <col min="24" max="24" width="11.5703125" bestFit="1" customWidth="1"/>
  </cols>
  <sheetData>
    <row r="1" spans="1:22" ht="15.75" x14ac:dyDescent="0.25">
      <c r="A1" s="848" t="s">
        <v>345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V1" s="716"/>
    </row>
    <row r="2" spans="1:22" ht="15.75" x14ac:dyDescent="0.25">
      <c r="A2" s="849" t="str">
        <f>[3]Summary!A2</f>
        <v>Re-Modelling and Up Gradation of ADA Nullah and Walton Road Pkg-I</v>
      </c>
      <c r="B2" s="849"/>
      <c r="C2" s="849"/>
      <c r="D2" s="849"/>
      <c r="E2" s="849"/>
      <c r="F2" s="849"/>
      <c r="G2" s="849"/>
      <c r="H2" s="849"/>
      <c r="I2" s="849"/>
      <c r="J2" s="849"/>
      <c r="K2" s="849"/>
      <c r="L2" s="849"/>
      <c r="M2" s="849"/>
      <c r="N2" s="849"/>
      <c r="O2" s="849"/>
      <c r="P2" s="849"/>
      <c r="Q2" s="849"/>
      <c r="R2" s="849"/>
      <c r="S2" s="849"/>
      <c r="T2" s="849"/>
      <c r="V2" s="717"/>
    </row>
    <row r="3" spans="1:22" ht="15.75" x14ac:dyDescent="0.25">
      <c r="A3" s="573"/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  <c r="Q3" s="573"/>
      <c r="R3" s="573"/>
      <c r="S3" s="573"/>
      <c r="T3" s="573"/>
      <c r="V3" s="573"/>
    </row>
    <row r="4" spans="1:22" ht="15.75" x14ac:dyDescent="0.25">
      <c r="A4" s="573"/>
      <c r="B4" s="573"/>
      <c r="C4" s="573"/>
      <c r="D4" s="573"/>
      <c r="E4" s="573"/>
      <c r="F4" s="573"/>
      <c r="G4" s="573"/>
      <c r="H4" s="573"/>
      <c r="I4" s="850" t="s">
        <v>760</v>
      </c>
      <c r="J4" s="850"/>
      <c r="K4" s="850"/>
      <c r="L4" s="851" t="s">
        <v>735</v>
      </c>
      <c r="M4" s="851"/>
      <c r="N4" s="851"/>
      <c r="O4" s="851"/>
      <c r="P4" s="851"/>
      <c r="Q4" s="851"/>
      <c r="R4" s="851"/>
      <c r="S4" s="851"/>
      <c r="T4" s="573"/>
      <c r="V4" s="573"/>
    </row>
    <row r="5" spans="1:22" ht="40.5" customHeight="1" x14ac:dyDescent="0.25">
      <c r="A5" s="579" t="s">
        <v>243</v>
      </c>
      <c r="B5" s="579" t="s">
        <v>332</v>
      </c>
      <c r="C5" s="579" t="s">
        <v>591</v>
      </c>
      <c r="D5" s="579" t="s">
        <v>592</v>
      </c>
      <c r="E5" s="579" t="s">
        <v>757</v>
      </c>
      <c r="F5" s="579" t="s">
        <v>758</v>
      </c>
      <c r="G5" s="579" t="s">
        <v>593</v>
      </c>
      <c r="H5" s="579" t="s">
        <v>759</v>
      </c>
      <c r="I5" s="579" t="s">
        <v>246</v>
      </c>
      <c r="J5" s="579" t="s">
        <v>594</v>
      </c>
      <c r="K5" s="580" t="s">
        <v>595</v>
      </c>
      <c r="L5" s="579" t="s">
        <v>595</v>
      </c>
      <c r="M5" s="579" t="s">
        <v>246</v>
      </c>
      <c r="N5" s="579" t="s">
        <v>562</v>
      </c>
      <c r="O5" s="579" t="s">
        <v>596</v>
      </c>
      <c r="P5" s="579" t="s">
        <v>597</v>
      </c>
      <c r="Q5" s="579" t="s">
        <v>598</v>
      </c>
      <c r="R5" s="579" t="s">
        <v>599</v>
      </c>
      <c r="S5" s="579" t="s">
        <v>600</v>
      </c>
      <c r="T5" s="580" t="s">
        <v>761</v>
      </c>
      <c r="U5" s="580" t="s">
        <v>346</v>
      </c>
      <c r="V5" s="580" t="s">
        <v>762</v>
      </c>
    </row>
    <row r="6" spans="1:22" ht="30" x14ac:dyDescent="0.25">
      <c r="A6" s="579">
        <v>1</v>
      </c>
      <c r="B6" s="458" t="s">
        <v>601</v>
      </c>
      <c r="C6" s="459"/>
      <c r="D6" s="460"/>
      <c r="E6" s="579"/>
      <c r="F6" s="579"/>
      <c r="G6" s="116">
        <v>0</v>
      </c>
      <c r="H6" s="116"/>
      <c r="I6" s="206">
        <f>240121355</f>
        <v>240121355</v>
      </c>
      <c r="J6" s="579"/>
      <c r="K6" s="579"/>
      <c r="L6" s="116"/>
      <c r="M6" s="579"/>
      <c r="N6" s="579"/>
      <c r="O6" s="579"/>
      <c r="P6" s="579"/>
      <c r="Q6" s="579"/>
      <c r="R6" s="579"/>
      <c r="S6" s="461">
        <f>SUM(L6:R6)</f>
        <v>0</v>
      </c>
      <c r="T6" s="116">
        <f>E6+G6+I6+J6+K6-S6</f>
        <v>240121355</v>
      </c>
      <c r="U6" s="116">
        <v>240121355</v>
      </c>
      <c r="V6" s="116">
        <f>F6+H6+I6+J6+K6-S6-U6</f>
        <v>0</v>
      </c>
    </row>
    <row r="7" spans="1:22" x14ac:dyDescent="0.25">
      <c r="A7" s="579">
        <f>A10+1</f>
        <v>3</v>
      </c>
      <c r="B7" s="462" t="s">
        <v>603</v>
      </c>
      <c r="C7" s="459"/>
      <c r="D7" s="459"/>
      <c r="E7" s="116">
        <v>0</v>
      </c>
      <c r="F7" s="116"/>
      <c r="G7" s="116">
        <v>0</v>
      </c>
      <c r="H7" s="116"/>
      <c r="I7" s="116">
        <v>500000000</v>
      </c>
      <c r="J7" s="116">
        <v>0</v>
      </c>
      <c r="K7" s="116"/>
      <c r="L7" s="116"/>
      <c r="M7" s="116">
        <v>0</v>
      </c>
      <c r="N7" s="116">
        <v>0</v>
      </c>
      <c r="O7" s="116">
        <v>0</v>
      </c>
      <c r="P7" s="116">
        <v>0</v>
      </c>
      <c r="Q7" s="116"/>
      <c r="R7" s="116"/>
      <c r="S7" s="461">
        <f>SUM(L7:R7)</f>
        <v>0</v>
      </c>
      <c r="T7" s="116">
        <f t="shared" ref="T7:T32" si="0">E7+G7+I7+J7+K7-S7</f>
        <v>500000000</v>
      </c>
      <c r="U7" s="116">
        <v>500000000</v>
      </c>
      <c r="V7" s="116">
        <f t="shared" ref="V7:V28" si="1">F7+H7+I7+J7+K7-S7-U7</f>
        <v>0</v>
      </c>
    </row>
    <row r="8" spans="1:22" x14ac:dyDescent="0.25">
      <c r="A8" s="579">
        <f>A16+1</f>
        <v>10</v>
      </c>
      <c r="B8" s="462" t="s">
        <v>547</v>
      </c>
      <c r="C8" s="459"/>
      <c r="D8" s="459"/>
      <c r="E8" s="116">
        <v>0</v>
      </c>
      <c r="F8" s="116"/>
      <c r="G8" s="116">
        <v>0</v>
      </c>
      <c r="H8" s="116"/>
      <c r="I8" s="116">
        <f>99000000+99000000+99000000+99000000+99000000+99000000+33582405+68385189</f>
        <v>695967594</v>
      </c>
      <c r="J8" s="116">
        <v>0</v>
      </c>
      <c r="K8" s="116"/>
      <c r="L8" s="116"/>
      <c r="M8" s="116"/>
      <c r="N8" s="116">
        <v>0</v>
      </c>
      <c r="O8" s="116">
        <v>0</v>
      </c>
      <c r="P8" s="116">
        <v>0</v>
      </c>
      <c r="Q8" s="116"/>
      <c r="R8" s="116"/>
      <c r="S8" s="461">
        <f>SUM(L8:R8)</f>
        <v>0</v>
      </c>
      <c r="T8" s="116">
        <f t="shared" si="0"/>
        <v>695967594</v>
      </c>
      <c r="U8" s="116">
        <v>695967594</v>
      </c>
      <c r="V8" s="116">
        <f t="shared" si="1"/>
        <v>0</v>
      </c>
    </row>
    <row r="9" spans="1:22" x14ac:dyDescent="0.25">
      <c r="A9" s="579"/>
      <c r="B9" s="458"/>
      <c r="C9" s="459"/>
      <c r="D9" s="460"/>
      <c r="E9" s="579"/>
      <c r="F9" s="579"/>
      <c r="G9" s="116"/>
      <c r="H9" s="116"/>
      <c r="I9" s="206"/>
      <c r="J9" s="579"/>
      <c r="K9" s="579"/>
      <c r="L9" s="116"/>
      <c r="M9" s="579"/>
      <c r="N9" s="579"/>
      <c r="O9" s="579"/>
      <c r="P9" s="579"/>
      <c r="Q9" s="579"/>
      <c r="R9" s="579"/>
      <c r="S9" s="461"/>
      <c r="T9" s="116">
        <f t="shared" si="0"/>
        <v>0</v>
      </c>
      <c r="U9" s="116"/>
      <c r="V9" s="116">
        <f t="shared" si="1"/>
        <v>0</v>
      </c>
    </row>
    <row r="10" spans="1:22" x14ac:dyDescent="0.25">
      <c r="A10" s="579">
        <f>A6+1</f>
        <v>2</v>
      </c>
      <c r="B10" s="462" t="s">
        <v>602</v>
      </c>
      <c r="C10" s="459">
        <v>45284</v>
      </c>
      <c r="D10" s="459">
        <v>45286</v>
      </c>
      <c r="E10" s="461">
        <v>95951053.799999997</v>
      </c>
      <c r="F10" s="468">
        <v>95951053.799999997</v>
      </c>
      <c r="G10" s="116">
        <v>0</v>
      </c>
      <c r="H10" s="116"/>
      <c r="I10" s="463">
        <v>0</v>
      </c>
      <c r="J10" s="461">
        <v>76654847</v>
      </c>
      <c r="K10" s="461"/>
      <c r="L10" s="116"/>
      <c r="M10" s="461">
        <v>0</v>
      </c>
      <c r="N10" s="461"/>
      <c r="O10" s="461">
        <v>5047553</v>
      </c>
      <c r="P10" s="461">
        <v>4569097.8</v>
      </c>
      <c r="Q10" s="461"/>
      <c r="R10" s="461">
        <v>0</v>
      </c>
      <c r="S10" s="461">
        <f t="shared" ref="S10:S29" si="2">SUM(L10:R10)</f>
        <v>9616650.8000000007</v>
      </c>
      <c r="T10" s="116">
        <f t="shared" si="0"/>
        <v>162989250</v>
      </c>
      <c r="U10" s="464">
        <v>162989250</v>
      </c>
      <c r="V10" s="116">
        <f t="shared" si="1"/>
        <v>0</v>
      </c>
    </row>
    <row r="11" spans="1:22" x14ac:dyDescent="0.25">
      <c r="A11" s="579">
        <f>A7+1</f>
        <v>4</v>
      </c>
      <c r="B11" s="462" t="s">
        <v>604</v>
      </c>
      <c r="C11" s="459">
        <v>45311</v>
      </c>
      <c r="D11" s="459">
        <v>45322</v>
      </c>
      <c r="E11" s="116">
        <v>349372175.25</v>
      </c>
      <c r="F11" s="468">
        <v>349372175.25</v>
      </c>
      <c r="G11" s="116">
        <v>0</v>
      </c>
      <c r="H11" s="116"/>
      <c r="I11" s="116"/>
      <c r="J11" s="116">
        <v>0</v>
      </c>
      <c r="K11" s="116"/>
      <c r="L11" s="116"/>
      <c r="M11" s="116">
        <v>0</v>
      </c>
      <c r="N11" s="116">
        <v>15560790</v>
      </c>
      <c r="O11" s="116">
        <v>17718609</v>
      </c>
      <c r="P11" s="116">
        <v>16636770.25</v>
      </c>
      <c r="Q11" s="116"/>
      <c r="R11" s="116"/>
      <c r="S11" s="461">
        <f t="shared" si="2"/>
        <v>49916169.25</v>
      </c>
      <c r="T11" s="116">
        <f t="shared" si="0"/>
        <v>299456006</v>
      </c>
      <c r="U11" s="116">
        <v>299456006</v>
      </c>
      <c r="V11" s="116">
        <f t="shared" si="1"/>
        <v>0</v>
      </c>
    </row>
    <row r="12" spans="1:22" x14ac:dyDescent="0.25">
      <c r="A12" s="579">
        <f t="shared" ref="A12:A27" si="3">A11+1</f>
        <v>5</v>
      </c>
      <c r="B12" s="462" t="s">
        <v>605</v>
      </c>
      <c r="C12" s="459">
        <v>45352</v>
      </c>
      <c r="D12" s="459">
        <v>45355</v>
      </c>
      <c r="E12" s="116">
        <v>289816144.80000001</v>
      </c>
      <c r="F12" s="468">
        <v>289816144.80000001</v>
      </c>
      <c r="G12" s="116">
        <v>0</v>
      </c>
      <c r="H12" s="116"/>
      <c r="I12" s="116">
        <v>0</v>
      </c>
      <c r="J12" s="116">
        <v>75450000</v>
      </c>
      <c r="K12" s="116"/>
      <c r="L12" s="116"/>
      <c r="M12" s="465">
        <v>0</v>
      </c>
      <c r="N12" s="116">
        <v>0</v>
      </c>
      <c r="O12" s="116">
        <v>14740807</v>
      </c>
      <c r="P12" s="116">
        <v>13800768.800000001</v>
      </c>
      <c r="Q12" s="116"/>
      <c r="R12" s="116"/>
      <c r="S12" s="461">
        <f t="shared" si="2"/>
        <v>28541575.800000001</v>
      </c>
      <c r="T12" s="116">
        <f t="shared" si="0"/>
        <v>336724569</v>
      </c>
      <c r="U12" s="116">
        <v>336724569</v>
      </c>
      <c r="V12" s="116">
        <f t="shared" si="1"/>
        <v>0</v>
      </c>
    </row>
    <row r="13" spans="1:22" x14ac:dyDescent="0.25">
      <c r="A13" s="579">
        <f t="shared" si="3"/>
        <v>6</v>
      </c>
      <c r="B13" s="462" t="s">
        <v>606</v>
      </c>
      <c r="C13" s="459">
        <v>45355</v>
      </c>
      <c r="D13" s="459">
        <v>45363</v>
      </c>
      <c r="E13" s="116">
        <v>698704235.25</v>
      </c>
      <c r="F13" s="468">
        <v>698704235.25</v>
      </c>
      <c r="G13" s="116">
        <v>0</v>
      </c>
      <c r="H13" s="116"/>
      <c r="I13" s="116">
        <v>0</v>
      </c>
      <c r="J13" s="116">
        <v>0</v>
      </c>
      <c r="K13" s="116"/>
      <c r="L13" s="116"/>
      <c r="M13" s="116">
        <v>174676059</v>
      </c>
      <c r="N13" s="116">
        <v>36004285</v>
      </c>
      <c r="O13" s="116">
        <v>35185211</v>
      </c>
      <c r="P13" s="116">
        <v>33271630.25</v>
      </c>
      <c r="Q13" s="116"/>
      <c r="R13" s="116"/>
      <c r="S13" s="461">
        <f t="shared" si="2"/>
        <v>279137185.25</v>
      </c>
      <c r="T13" s="116">
        <f t="shared" si="0"/>
        <v>419567050</v>
      </c>
      <c r="U13" s="116">
        <v>419567050</v>
      </c>
      <c r="V13" s="116">
        <f t="shared" si="1"/>
        <v>0</v>
      </c>
    </row>
    <row r="14" spans="1:22" x14ac:dyDescent="0.25">
      <c r="A14" s="579">
        <f t="shared" si="3"/>
        <v>7</v>
      </c>
      <c r="B14" s="462" t="s">
        <v>561</v>
      </c>
      <c r="C14" s="459">
        <v>45378</v>
      </c>
      <c r="D14" s="459">
        <v>45383</v>
      </c>
      <c r="E14" s="116">
        <v>645422988</v>
      </c>
      <c r="F14" s="468">
        <v>645422988</v>
      </c>
      <c r="G14" s="116">
        <v>0</v>
      </c>
      <c r="H14" s="116"/>
      <c r="I14" s="116">
        <v>0</v>
      </c>
      <c r="J14" s="116">
        <v>0</v>
      </c>
      <c r="K14" s="116"/>
      <c r="L14" s="116"/>
      <c r="M14" s="116">
        <v>161355747</v>
      </c>
      <c r="N14" s="116">
        <v>4559779</v>
      </c>
      <c r="O14" s="116">
        <v>32521149</v>
      </c>
      <c r="P14" s="116">
        <v>30734428</v>
      </c>
      <c r="Q14" s="116"/>
      <c r="R14" s="116"/>
      <c r="S14" s="461">
        <f t="shared" si="2"/>
        <v>229171103</v>
      </c>
      <c r="T14" s="116">
        <f t="shared" si="0"/>
        <v>416251885</v>
      </c>
      <c r="U14" s="116">
        <v>416251885</v>
      </c>
      <c r="V14" s="116">
        <f t="shared" si="1"/>
        <v>0</v>
      </c>
    </row>
    <row r="15" spans="1:22" x14ac:dyDescent="0.25">
      <c r="A15" s="579">
        <f t="shared" si="3"/>
        <v>8</v>
      </c>
      <c r="B15" s="462" t="s">
        <v>607</v>
      </c>
      <c r="C15" s="459">
        <v>45383</v>
      </c>
      <c r="D15" s="459">
        <v>45384</v>
      </c>
      <c r="E15" s="116">
        <v>248654835.44999999</v>
      </c>
      <c r="F15" s="468">
        <v>248654835.44999999</v>
      </c>
      <c r="G15" s="116">
        <v>0</v>
      </c>
      <c r="H15" s="116"/>
      <c r="I15" s="116">
        <v>0</v>
      </c>
      <c r="J15" s="116">
        <v>0</v>
      </c>
      <c r="K15" s="116"/>
      <c r="L15" s="116"/>
      <c r="M15" s="116">
        <v>62163709</v>
      </c>
      <c r="N15" s="116">
        <v>0</v>
      </c>
      <c r="O15" s="116">
        <v>12682742</v>
      </c>
      <c r="P15" s="116">
        <v>11840706.450000001</v>
      </c>
      <c r="Q15" s="116"/>
      <c r="R15" s="116"/>
      <c r="S15" s="461">
        <f t="shared" si="2"/>
        <v>86687157.450000003</v>
      </c>
      <c r="T15" s="116">
        <f t="shared" si="0"/>
        <v>161967678</v>
      </c>
      <c r="U15" s="116">
        <v>161967678</v>
      </c>
      <c r="V15" s="116">
        <f t="shared" si="1"/>
        <v>0</v>
      </c>
    </row>
    <row r="16" spans="1:22" x14ac:dyDescent="0.25">
      <c r="A16" s="579">
        <f t="shared" si="3"/>
        <v>9</v>
      </c>
      <c r="B16" s="462" t="s">
        <v>608</v>
      </c>
      <c r="C16" s="459">
        <v>45420</v>
      </c>
      <c r="D16" s="459">
        <v>45426</v>
      </c>
      <c r="E16" s="116">
        <v>220850563.5</v>
      </c>
      <c r="F16" s="468">
        <v>220850563.5</v>
      </c>
      <c r="G16" s="116">
        <v>0</v>
      </c>
      <c r="H16" s="116"/>
      <c r="I16" s="116">
        <v>0</v>
      </c>
      <c r="J16" s="116">
        <v>0</v>
      </c>
      <c r="K16" s="116"/>
      <c r="L16" s="116"/>
      <c r="M16" s="116">
        <v>55212641</v>
      </c>
      <c r="N16" s="116">
        <v>24538808</v>
      </c>
      <c r="O16" s="116">
        <v>11292528</v>
      </c>
      <c r="P16" s="116">
        <v>10516693.5</v>
      </c>
      <c r="Q16" s="116">
        <v>100</v>
      </c>
      <c r="R16" s="525">
        <v>0</v>
      </c>
      <c r="S16" s="461">
        <f t="shared" si="2"/>
        <v>101560770.5</v>
      </c>
      <c r="T16" s="116">
        <f t="shared" si="0"/>
        <v>119289793</v>
      </c>
      <c r="U16" s="116">
        <v>119289793</v>
      </c>
      <c r="V16" s="116">
        <f t="shared" si="1"/>
        <v>0</v>
      </c>
    </row>
    <row r="17" spans="1:24" ht="15.75" x14ac:dyDescent="0.25">
      <c r="A17" s="579">
        <f>A8+1</f>
        <v>11</v>
      </c>
      <c r="B17" s="462" t="s">
        <v>557</v>
      </c>
      <c r="C17" s="459">
        <v>45422</v>
      </c>
      <c r="D17" s="459">
        <v>45444</v>
      </c>
      <c r="E17" s="116">
        <v>1547888250.3</v>
      </c>
      <c r="F17" s="468">
        <v>1547888250.3</v>
      </c>
      <c r="G17" s="116"/>
      <c r="H17" s="116">
        <v>0</v>
      </c>
      <c r="I17" s="116"/>
      <c r="J17" s="116">
        <v>0</v>
      </c>
      <c r="K17" s="116">
        <v>0</v>
      </c>
      <c r="L17" s="116">
        <v>846712823</v>
      </c>
      <c r="M17" s="116">
        <v>175293857.07499999</v>
      </c>
      <c r="N17" s="116">
        <v>0</v>
      </c>
      <c r="O17" s="116">
        <v>25881471</v>
      </c>
      <c r="P17" s="116">
        <v>33389306</v>
      </c>
      <c r="Q17" s="116">
        <v>100</v>
      </c>
      <c r="R17" s="489">
        <f>37500007.516875+9735494</f>
        <v>47235501.516874999</v>
      </c>
      <c r="S17" s="461">
        <f t="shared" si="2"/>
        <v>1128513058.5918751</v>
      </c>
      <c r="T17" s="116">
        <f t="shared" si="0"/>
        <v>419375191.70812488</v>
      </c>
      <c r="U17" s="116">
        <f>414022537+5352655</f>
        <v>419375192</v>
      </c>
      <c r="V17" s="116">
        <f t="shared" si="1"/>
        <v>-0.29187512397766113</v>
      </c>
    </row>
    <row r="18" spans="1:24" s="338" customFormat="1" ht="15.75" x14ac:dyDescent="0.25">
      <c r="A18" s="715">
        <f t="shared" si="3"/>
        <v>12</v>
      </c>
      <c r="B18" s="115" t="s">
        <v>609</v>
      </c>
      <c r="C18" s="740"/>
      <c r="D18" s="740"/>
      <c r="E18" s="116">
        <v>0</v>
      </c>
      <c r="F18" s="468">
        <v>0</v>
      </c>
      <c r="G18" s="116"/>
      <c r="H18" s="116"/>
      <c r="I18" s="116"/>
      <c r="J18" s="116"/>
      <c r="K18" s="116">
        <v>0</v>
      </c>
      <c r="L18" s="116">
        <v>-846712822</v>
      </c>
      <c r="M18" s="116">
        <v>211678205.5</v>
      </c>
      <c r="N18" s="116">
        <v>2107717</v>
      </c>
      <c r="O18" s="116">
        <v>51762942</v>
      </c>
      <c r="P18" s="741">
        <v>40319658</v>
      </c>
      <c r="Q18" s="116">
        <v>100</v>
      </c>
      <c r="R18" s="489">
        <v>43587296.8125</v>
      </c>
      <c r="S18" s="461">
        <f t="shared" si="2"/>
        <v>-497256902.6875</v>
      </c>
      <c r="T18" s="116">
        <f t="shared" si="0"/>
        <v>497256902.6875</v>
      </c>
      <c r="U18" s="116">
        <f>460776944+36479959</f>
        <v>497256903</v>
      </c>
      <c r="V18" s="116">
        <f t="shared" si="1"/>
        <v>-0.3125</v>
      </c>
      <c r="X18" s="116"/>
    </row>
    <row r="19" spans="1:24" ht="15.75" x14ac:dyDescent="0.25">
      <c r="A19" s="579">
        <f t="shared" si="3"/>
        <v>13</v>
      </c>
      <c r="B19" s="462" t="s">
        <v>558</v>
      </c>
      <c r="C19" s="459">
        <v>45449</v>
      </c>
      <c r="D19" s="459">
        <v>45453</v>
      </c>
      <c r="E19" s="116">
        <v>358919541.75</v>
      </c>
      <c r="F19" s="468">
        <v>358919541.75</v>
      </c>
      <c r="G19" s="116"/>
      <c r="H19" s="116"/>
      <c r="I19" s="116"/>
      <c r="J19" s="116">
        <v>0</v>
      </c>
      <c r="K19" s="116"/>
      <c r="L19" s="116"/>
      <c r="M19" s="116">
        <v>89729885.5</v>
      </c>
      <c r="N19" s="116">
        <v>50911193</v>
      </c>
      <c r="O19" s="116">
        <v>18195977</v>
      </c>
      <c r="P19" s="116">
        <v>17091406.75</v>
      </c>
      <c r="Q19" s="116">
        <v>100</v>
      </c>
      <c r="R19" s="489">
        <v>15006186.46875</v>
      </c>
      <c r="S19" s="461">
        <f t="shared" si="2"/>
        <v>190934748.71875</v>
      </c>
      <c r="T19" s="116">
        <f t="shared" si="0"/>
        <v>167984793.03125</v>
      </c>
      <c r="U19" s="116">
        <f>156072013+11912780</f>
        <v>167984793</v>
      </c>
      <c r="V19" s="116">
        <f t="shared" si="1"/>
        <v>3.125E-2</v>
      </c>
      <c r="X19" s="379"/>
    </row>
    <row r="20" spans="1:24" ht="15.75" x14ac:dyDescent="0.25">
      <c r="A20" s="579">
        <f t="shared" si="3"/>
        <v>14</v>
      </c>
      <c r="B20" s="462" t="s">
        <v>563</v>
      </c>
      <c r="C20" s="459">
        <v>45456</v>
      </c>
      <c r="D20" s="459">
        <v>45500</v>
      </c>
      <c r="E20" s="116">
        <v>756910372.04999995</v>
      </c>
      <c r="F20" s="468">
        <v>756910372.04999995</v>
      </c>
      <c r="G20" s="116"/>
      <c r="H20" s="116"/>
      <c r="I20" s="116"/>
      <c r="J20" s="116">
        <v>0</v>
      </c>
      <c r="K20" s="116"/>
      <c r="L20" s="116"/>
      <c r="M20" s="116">
        <v>189227593</v>
      </c>
      <c r="N20" s="116">
        <v>18422281</v>
      </c>
      <c r="O20" s="489">
        <v>38095519</v>
      </c>
      <c r="P20" s="116">
        <v>36043351.050000004</v>
      </c>
      <c r="Q20" s="116">
        <v>100</v>
      </c>
      <c r="R20" s="489">
        <v>38337373.428749993</v>
      </c>
      <c r="S20" s="461">
        <f t="shared" si="2"/>
        <v>320126217.47874999</v>
      </c>
      <c r="T20" s="116">
        <f t="shared" si="0"/>
        <v>436784154.57124996</v>
      </c>
      <c r="U20" s="116">
        <v>436784155</v>
      </c>
      <c r="V20" s="116">
        <f t="shared" si="1"/>
        <v>-0.42875003814697266</v>
      </c>
    </row>
    <row r="21" spans="1:24" ht="15.75" x14ac:dyDescent="0.25">
      <c r="A21" s="579">
        <f t="shared" si="3"/>
        <v>15</v>
      </c>
      <c r="B21" s="462" t="s">
        <v>569</v>
      </c>
      <c r="C21" s="459">
        <v>45503</v>
      </c>
      <c r="D21" s="459">
        <v>45510</v>
      </c>
      <c r="E21" s="116">
        <v>318517559.85000002</v>
      </c>
      <c r="F21" s="468">
        <v>318517559.85000002</v>
      </c>
      <c r="G21" s="116">
        <v>38753765.399999999</v>
      </c>
      <c r="H21" s="358">
        <v>38753765.399999999</v>
      </c>
      <c r="I21" s="116"/>
      <c r="J21" s="116">
        <v>0</v>
      </c>
      <c r="K21" s="116"/>
      <c r="L21" s="116"/>
      <c r="M21" s="116">
        <v>89317831</v>
      </c>
      <c r="N21" s="116">
        <v>0</v>
      </c>
      <c r="O21" s="116">
        <v>18113566</v>
      </c>
      <c r="P21" s="116">
        <v>17012920.25</v>
      </c>
      <c r="Q21" s="116">
        <v>100</v>
      </c>
      <c r="R21" s="489">
        <v>18737994.618749999</v>
      </c>
      <c r="S21" s="461">
        <f t="shared" si="2"/>
        <v>143182411.86875001</v>
      </c>
      <c r="T21" s="116">
        <f t="shared" si="0"/>
        <v>214088913.38124999</v>
      </c>
      <c r="U21" s="116">
        <v>214088913</v>
      </c>
      <c r="V21" s="116">
        <f t="shared" si="1"/>
        <v>0.38124999403953552</v>
      </c>
    </row>
    <row r="22" spans="1:24" ht="15.75" x14ac:dyDescent="0.25">
      <c r="A22" s="579">
        <f t="shared" si="3"/>
        <v>16</v>
      </c>
      <c r="B22" s="462" t="s">
        <v>610</v>
      </c>
      <c r="C22" s="459"/>
      <c r="D22" s="459"/>
      <c r="E22" s="116">
        <v>771626988.29999995</v>
      </c>
      <c r="F22" s="468">
        <v>771626988.29999995</v>
      </c>
      <c r="G22" s="116">
        <v>0</v>
      </c>
      <c r="H22" s="521">
        <v>0</v>
      </c>
      <c r="I22" s="116"/>
      <c r="J22" s="116"/>
      <c r="K22" s="116"/>
      <c r="L22" s="116"/>
      <c r="M22" s="116">
        <v>192906747</v>
      </c>
      <c r="N22" s="116"/>
      <c r="O22" s="116">
        <v>38831349</v>
      </c>
      <c r="P22" s="116">
        <v>36744142.300000004</v>
      </c>
      <c r="Q22" s="116">
        <v>100</v>
      </c>
      <c r="R22" s="489">
        <v>40491766.922499992</v>
      </c>
      <c r="S22" s="461">
        <f t="shared" si="2"/>
        <v>308974105.22250003</v>
      </c>
      <c r="T22" s="116">
        <f t="shared" si="0"/>
        <v>462652883.07749993</v>
      </c>
      <c r="U22" s="116">
        <v>462652883</v>
      </c>
      <c r="V22" s="116">
        <f t="shared" si="1"/>
        <v>7.7499926090240479E-2</v>
      </c>
    </row>
    <row r="23" spans="1:24" ht="15.75" x14ac:dyDescent="0.25">
      <c r="A23" s="579">
        <f t="shared" si="3"/>
        <v>17</v>
      </c>
      <c r="B23" s="462" t="s">
        <v>620</v>
      </c>
      <c r="C23" s="459"/>
      <c r="D23" s="459">
        <v>45582</v>
      </c>
      <c r="E23" s="461">
        <v>201897761.09999999</v>
      </c>
      <c r="F23" s="468">
        <v>201897761.09999999</v>
      </c>
      <c r="G23" s="116">
        <v>0</v>
      </c>
      <c r="H23" s="521">
        <v>0</v>
      </c>
      <c r="I23" s="116">
        <v>0</v>
      </c>
      <c r="J23" s="116"/>
      <c r="K23" s="116"/>
      <c r="L23" s="116"/>
      <c r="M23" s="489">
        <v>34526673</v>
      </c>
      <c r="N23" s="116"/>
      <c r="O23" s="489">
        <v>10344888</v>
      </c>
      <c r="P23" s="116">
        <v>9614179.0999999996</v>
      </c>
      <c r="Q23" s="116">
        <v>100</v>
      </c>
      <c r="R23" s="489">
        <v>11776965.007499998</v>
      </c>
      <c r="S23" s="461">
        <f t="shared" si="2"/>
        <v>66262805.107500002</v>
      </c>
      <c r="T23" s="116">
        <f t="shared" si="0"/>
        <v>135634955.99250001</v>
      </c>
      <c r="U23" s="116">
        <v>135634956</v>
      </c>
      <c r="V23" s="116">
        <f t="shared" si="1"/>
        <v>-7.499992847442627E-3</v>
      </c>
    </row>
    <row r="24" spans="1:24" ht="15.75" x14ac:dyDescent="0.25">
      <c r="A24" s="579">
        <f t="shared" si="3"/>
        <v>18</v>
      </c>
      <c r="B24" s="462" t="s">
        <v>687</v>
      </c>
      <c r="C24" s="459">
        <v>45607</v>
      </c>
      <c r="D24" s="459">
        <v>45629</v>
      </c>
      <c r="E24" s="461">
        <v>611180292</v>
      </c>
      <c r="F24" s="468">
        <v>611180292</v>
      </c>
      <c r="G24" s="116">
        <v>0</v>
      </c>
      <c r="H24" s="521">
        <v>0</v>
      </c>
      <c r="I24" s="116"/>
      <c r="J24" s="116"/>
      <c r="K24" s="116"/>
      <c r="L24" s="116">
        <f>14466910</f>
        <v>14466910</v>
      </c>
      <c r="M24" s="116"/>
      <c r="N24" s="116"/>
      <c r="O24" s="521">
        <v>30085669</v>
      </c>
      <c r="P24" s="116">
        <f>28414923</f>
        <v>28414923</v>
      </c>
      <c r="Q24" s="116">
        <v>100</v>
      </c>
      <c r="R24" s="489">
        <v>42497078</v>
      </c>
      <c r="S24" s="461">
        <f t="shared" si="2"/>
        <v>115464680</v>
      </c>
      <c r="T24" s="116">
        <f t="shared" si="0"/>
        <v>495715612</v>
      </c>
      <c r="U24" s="116">
        <v>495715611</v>
      </c>
      <c r="V24" s="116">
        <f t="shared" si="1"/>
        <v>1</v>
      </c>
    </row>
    <row r="25" spans="1:24" ht="15.75" x14ac:dyDescent="0.25">
      <c r="A25" s="579">
        <f t="shared" si="3"/>
        <v>19</v>
      </c>
      <c r="B25" s="462" t="s">
        <v>713</v>
      </c>
      <c r="C25" s="459"/>
      <c r="D25" s="459"/>
      <c r="E25" s="461">
        <v>0</v>
      </c>
      <c r="F25" s="468">
        <v>0</v>
      </c>
      <c r="G25" s="487">
        <v>95660134.5</v>
      </c>
      <c r="H25" s="358">
        <v>95660134.5</v>
      </c>
      <c r="I25" s="116"/>
      <c r="J25" s="116"/>
      <c r="K25" s="116"/>
      <c r="L25" s="116"/>
      <c r="M25" s="116"/>
      <c r="N25" s="116"/>
      <c r="O25" s="521"/>
      <c r="P25" s="116">
        <v>4555244.5</v>
      </c>
      <c r="Q25" s="116"/>
      <c r="R25" s="489">
        <v>7174510.0874999994</v>
      </c>
      <c r="S25" s="461">
        <f t="shared" si="2"/>
        <v>11729754.587499999</v>
      </c>
      <c r="T25" s="116">
        <f t="shared" si="0"/>
        <v>83930379.912499994</v>
      </c>
      <c r="U25" s="116">
        <f>33930380+50000000</f>
        <v>83930380</v>
      </c>
      <c r="V25" s="116">
        <f t="shared" si="1"/>
        <v>-8.7500005960464478E-2</v>
      </c>
    </row>
    <row r="26" spans="1:24" ht="15.75" x14ac:dyDescent="0.25">
      <c r="A26" s="579">
        <f t="shared" si="3"/>
        <v>20</v>
      </c>
      <c r="B26" s="462" t="s">
        <v>718</v>
      </c>
      <c r="C26" s="459">
        <v>45667</v>
      </c>
      <c r="D26" s="459"/>
      <c r="E26" s="461">
        <v>288906781.80000001</v>
      </c>
      <c r="F26" s="468">
        <v>288906781.80000001</v>
      </c>
      <c r="G26" s="116">
        <v>0</v>
      </c>
      <c r="H26" s="521">
        <f t="shared" ref="H26:H29" si="4">G26+(G26*5%)</f>
        <v>0</v>
      </c>
      <c r="I26" s="116"/>
      <c r="J26" s="116"/>
      <c r="K26" s="116"/>
      <c r="L26" s="116">
        <v>10000000</v>
      </c>
      <c r="M26" s="116"/>
      <c r="N26" s="116"/>
      <c r="O26" s="521">
        <v>14695339</v>
      </c>
      <c r="P26" s="116">
        <v>13757466</v>
      </c>
      <c r="Q26" s="116">
        <v>200</v>
      </c>
      <c r="R26" s="489">
        <v>20565858.210000001</v>
      </c>
      <c r="S26" s="461">
        <f t="shared" si="2"/>
        <v>59018863.210000001</v>
      </c>
      <c r="T26" s="116">
        <f t="shared" si="0"/>
        <v>229887918.59</v>
      </c>
      <c r="U26" s="116">
        <v>229887919</v>
      </c>
      <c r="V26" s="116">
        <f t="shared" si="1"/>
        <v>-0.40999999642372131</v>
      </c>
    </row>
    <row r="27" spans="1:24" ht="15.75" x14ac:dyDescent="0.25">
      <c r="A27" s="579">
        <f t="shared" si="3"/>
        <v>21</v>
      </c>
      <c r="B27" s="462" t="s">
        <v>729</v>
      </c>
      <c r="C27" s="459">
        <v>45712</v>
      </c>
      <c r="D27" s="459"/>
      <c r="E27" s="461">
        <v>160179279.75</v>
      </c>
      <c r="F27" s="468">
        <v>160179279.75</v>
      </c>
      <c r="G27" s="116">
        <v>0</v>
      </c>
      <c r="H27" s="521">
        <f t="shared" si="4"/>
        <v>0</v>
      </c>
      <c r="I27" s="116"/>
      <c r="J27" s="116"/>
      <c r="K27" s="116"/>
      <c r="L27" s="116"/>
      <c r="M27" s="116"/>
      <c r="N27" s="116"/>
      <c r="O27" s="521">
        <v>8258964</v>
      </c>
      <c r="P27" s="116">
        <v>7627585</v>
      </c>
      <c r="Q27" s="116">
        <v>200</v>
      </c>
      <c r="R27" s="489">
        <v>11394023.68125</v>
      </c>
      <c r="S27" s="461">
        <f t="shared" si="2"/>
        <v>27280772.681249999</v>
      </c>
      <c r="T27" s="116">
        <f t="shared" si="0"/>
        <v>132898507.06874999</v>
      </c>
      <c r="U27" s="116">
        <v>132898507</v>
      </c>
      <c r="V27" s="116">
        <f t="shared" si="1"/>
        <v>6.8749994039535522E-2</v>
      </c>
    </row>
    <row r="28" spans="1:24" ht="15.75" x14ac:dyDescent="0.25">
      <c r="A28" s="579">
        <v>22</v>
      </c>
      <c r="B28" s="462" t="s">
        <v>751</v>
      </c>
      <c r="C28" s="459">
        <v>45720</v>
      </c>
      <c r="D28" s="459">
        <v>45747</v>
      </c>
      <c r="E28" s="461">
        <v>825936605.54999995</v>
      </c>
      <c r="F28" s="468">
        <v>825936605.54999995</v>
      </c>
      <c r="G28" s="116">
        <v>0</v>
      </c>
      <c r="H28" s="521">
        <f t="shared" si="4"/>
        <v>0</v>
      </c>
      <c r="I28" s="116"/>
      <c r="J28" s="116"/>
      <c r="K28" s="116"/>
      <c r="L28" s="116">
        <v>35803516</v>
      </c>
      <c r="M28" s="116"/>
      <c r="N28" s="116"/>
      <c r="O28" s="521">
        <v>41546831</v>
      </c>
      <c r="P28" s="116">
        <v>39330315</v>
      </c>
      <c r="Q28" s="116">
        <v>200</v>
      </c>
      <c r="R28" s="489">
        <v>51345279</v>
      </c>
      <c r="S28" s="461">
        <f t="shared" si="2"/>
        <v>168026141</v>
      </c>
      <c r="T28" s="116">
        <f t="shared" si="0"/>
        <v>657910464.54999995</v>
      </c>
      <c r="U28" s="116">
        <v>657910265</v>
      </c>
      <c r="V28" s="116">
        <f t="shared" si="1"/>
        <v>199.54999995231628</v>
      </c>
    </row>
    <row r="29" spans="1:24" ht="15.75" x14ac:dyDescent="0.25">
      <c r="A29" s="579"/>
      <c r="B29" s="462" t="s">
        <v>788</v>
      </c>
      <c r="C29" s="459"/>
      <c r="D29" s="459"/>
      <c r="E29" s="461">
        <v>169000000</v>
      </c>
      <c r="F29" s="461">
        <v>169000000</v>
      </c>
      <c r="G29" s="116">
        <v>0</v>
      </c>
      <c r="H29" s="521">
        <f t="shared" si="4"/>
        <v>0</v>
      </c>
      <c r="I29" s="116"/>
      <c r="J29" s="116"/>
      <c r="K29" s="116"/>
      <c r="L29" s="116"/>
      <c r="M29" s="116"/>
      <c r="N29" s="116"/>
      <c r="O29" s="521">
        <v>0</v>
      </c>
      <c r="P29" s="116">
        <v>8047619.0476190485</v>
      </c>
      <c r="Q29" s="116">
        <v>100</v>
      </c>
      <c r="R29" s="489">
        <v>5070000</v>
      </c>
      <c r="S29" s="461">
        <f t="shared" si="2"/>
        <v>13117719.047619049</v>
      </c>
      <c r="T29" s="116">
        <f t="shared" si="0"/>
        <v>155882280.95238096</v>
      </c>
      <c r="U29" s="116">
        <v>155882281</v>
      </c>
      <c r="V29" s="116">
        <f>F29+H29+I29+J29+K29-S29-U29</f>
        <v>-4.7619044780731201E-2</v>
      </c>
    </row>
    <row r="30" spans="1:24" ht="15.75" x14ac:dyDescent="0.25">
      <c r="A30" s="579"/>
      <c r="B30" s="462" t="s">
        <v>819</v>
      </c>
      <c r="C30" s="459"/>
      <c r="D30" s="459"/>
      <c r="E30" s="461">
        <v>64535111.599999994</v>
      </c>
      <c r="F30" s="461">
        <v>64535111.599999994</v>
      </c>
      <c r="G30" s="116"/>
      <c r="H30" s="521"/>
      <c r="I30" s="116"/>
      <c r="J30" s="116"/>
      <c r="K30" s="116"/>
      <c r="L30" s="116"/>
      <c r="M30" s="116"/>
      <c r="N30" s="116"/>
      <c r="O30" s="521">
        <v>11120720</v>
      </c>
      <c r="P30" s="116">
        <v>3073100.5523809525</v>
      </c>
      <c r="Q30" s="116"/>
      <c r="R30" s="489">
        <v>0</v>
      </c>
      <c r="S30" s="461">
        <f t="shared" ref="S30" si="5">SUM(L30:R30)</f>
        <v>14193820.552380953</v>
      </c>
      <c r="T30" s="116">
        <f t="shared" si="0"/>
        <v>50341291.047619045</v>
      </c>
      <c r="U30" s="116">
        <v>0</v>
      </c>
      <c r="V30" s="116">
        <f>F30+H30+I30+J30+K30-S30-U30</f>
        <v>50341291.047619045</v>
      </c>
    </row>
    <row r="31" spans="1:24" ht="15.75" x14ac:dyDescent="0.25">
      <c r="A31" s="579"/>
      <c r="B31" s="462" t="s">
        <v>789</v>
      </c>
      <c r="C31" s="459"/>
      <c r="D31" s="459"/>
      <c r="E31" s="461">
        <v>490549000</v>
      </c>
      <c r="F31" s="468">
        <v>0</v>
      </c>
      <c r="G31" s="116"/>
      <c r="H31" s="521"/>
      <c r="I31" s="116"/>
      <c r="J31" s="116"/>
      <c r="K31" s="116"/>
      <c r="L31" s="116"/>
      <c r="M31" s="116"/>
      <c r="N31" s="116"/>
      <c r="O31" s="521">
        <f>E31*5%</f>
        <v>24527450</v>
      </c>
      <c r="P31" s="116">
        <f>23359476-263193</f>
        <v>23096283</v>
      </c>
      <c r="Q31" s="116"/>
      <c r="R31" s="489">
        <v>0</v>
      </c>
      <c r="S31" s="461">
        <f t="shared" ref="S31" si="6">SUM(L31:R31)</f>
        <v>47623733</v>
      </c>
      <c r="T31" s="116">
        <f t="shared" si="0"/>
        <v>442925267</v>
      </c>
      <c r="U31" s="116">
        <v>0</v>
      </c>
      <c r="V31" s="116">
        <v>0</v>
      </c>
    </row>
    <row r="32" spans="1:24" ht="15.75" x14ac:dyDescent="0.25">
      <c r="A32" s="579"/>
      <c r="B32" s="462" t="s">
        <v>806</v>
      </c>
      <c r="C32" s="459"/>
      <c r="D32" s="459"/>
      <c r="E32" s="461">
        <f>451044000+5591200-79000</f>
        <v>456556200</v>
      </c>
      <c r="F32" s="468"/>
      <c r="G32" s="116"/>
      <c r="H32" s="521"/>
      <c r="I32" s="116"/>
      <c r="J32" s="116"/>
      <c r="K32" s="116"/>
      <c r="L32" s="116"/>
      <c r="M32" s="116"/>
      <c r="N32" s="116"/>
      <c r="O32" s="521">
        <f>E32*5%</f>
        <v>22827810</v>
      </c>
      <c r="P32" s="116">
        <f>21740771+690000</f>
        <v>22430771</v>
      </c>
      <c r="Q32" s="116"/>
      <c r="R32" s="489">
        <v>0</v>
      </c>
      <c r="S32" s="461">
        <f t="shared" ref="S32" si="7">SUM(L32:R32)</f>
        <v>45258581</v>
      </c>
      <c r="T32" s="116">
        <f t="shared" si="0"/>
        <v>411297619</v>
      </c>
      <c r="U32" s="116">
        <v>0</v>
      </c>
      <c r="V32" s="116">
        <v>0</v>
      </c>
    </row>
    <row r="33" spans="1:22" ht="32.450000000000003" customHeight="1" x14ac:dyDescent="0.25">
      <c r="A33" s="466"/>
      <c r="B33" s="466"/>
      <c r="C33" s="466"/>
      <c r="D33" s="466"/>
      <c r="E33" s="467">
        <f>SUM(E6:E32)</f>
        <v>9571375740.1000004</v>
      </c>
      <c r="F33" s="467">
        <f>SUM(F6:F32)</f>
        <v>8624270540.1000004</v>
      </c>
      <c r="G33" s="467">
        <f t="shared" ref="G33:T33" si="8">SUM(G6:G32)</f>
        <v>134413899.90000001</v>
      </c>
      <c r="H33" s="467">
        <f t="shared" si="8"/>
        <v>134413899.90000001</v>
      </c>
      <c r="I33" s="467">
        <f t="shared" si="8"/>
        <v>1436088949</v>
      </c>
      <c r="J33" s="467">
        <f t="shared" si="8"/>
        <v>152104847</v>
      </c>
      <c r="K33" s="467">
        <f t="shared" si="8"/>
        <v>0</v>
      </c>
      <c r="L33" s="467">
        <f>SUM(L6:L32)</f>
        <v>60270427</v>
      </c>
      <c r="M33" s="467">
        <f>SUM(M6:M32)</f>
        <v>1436088948.075</v>
      </c>
      <c r="N33" s="467">
        <f>SUM(N6:N32)</f>
        <v>152104853</v>
      </c>
      <c r="O33" s="467">
        <f>SUM(O6:O32)</f>
        <v>483477094</v>
      </c>
      <c r="P33" s="467">
        <f>SUM(P6:P32)</f>
        <v>461918365.60000008</v>
      </c>
      <c r="Q33" s="467">
        <f t="shared" si="8"/>
        <v>1600</v>
      </c>
      <c r="R33" s="467">
        <f>SUM(R6:R32)</f>
        <v>353219833.75437498</v>
      </c>
      <c r="S33" s="467">
        <f t="shared" si="8"/>
        <v>2947081121.4293756</v>
      </c>
      <c r="T33" s="467">
        <f t="shared" si="8"/>
        <v>8346902314.5706272</v>
      </c>
      <c r="U33" s="467">
        <f>SUM(U6:U32)</f>
        <v>7442337938</v>
      </c>
      <c r="V33" s="467">
        <f>SUM(V6:V32)</f>
        <v>50341490.570624709</v>
      </c>
    </row>
    <row r="34" spans="1:22" s="721" customFormat="1" x14ac:dyDescent="0.25">
      <c r="E34" s="721" t="s">
        <v>68</v>
      </c>
      <c r="G34" s="721" t="s">
        <v>74</v>
      </c>
      <c r="U34" s="722"/>
    </row>
    <row r="35" spans="1:22" x14ac:dyDescent="0.25">
      <c r="C35" t="s">
        <v>754</v>
      </c>
      <c r="E35" s="376">
        <f>E33/1000000</f>
        <v>9571.3757401000003</v>
      </c>
      <c r="F35" s="376"/>
      <c r="G35" s="376">
        <f>F33/1000000</f>
        <v>8624.2705401000003</v>
      </c>
      <c r="H35" s="376"/>
      <c r="K35" s="410"/>
      <c r="P35" s="376">
        <f>'Anx-D'!A44</f>
        <v>0.26207369999980301</v>
      </c>
    </row>
    <row r="36" spans="1:22" x14ac:dyDescent="0.25">
      <c r="C36" t="s">
        <v>755</v>
      </c>
      <c r="E36" s="376">
        <f>'Anx-A'!E25</f>
        <v>9571.3755752999969</v>
      </c>
      <c r="F36" s="376"/>
      <c r="G36" s="376">
        <f>'Anx-A'!G25</f>
        <v>8624.2705500000011</v>
      </c>
      <c r="H36" s="376"/>
      <c r="K36" s="572"/>
      <c r="L36" s="379"/>
      <c r="P36" s="390"/>
    </row>
    <row r="37" spans="1:22" x14ac:dyDescent="0.25">
      <c r="E37" s="376">
        <f>E35-E36</f>
        <v>1.6480000340379775E-4</v>
      </c>
      <c r="F37" s="376"/>
      <c r="G37" s="376">
        <f>G35-G36</f>
        <v>-9.9000008049188182E-6</v>
      </c>
      <c r="H37" s="376"/>
      <c r="K37" s="410"/>
    </row>
    <row r="38" spans="1:22" x14ac:dyDescent="0.25">
      <c r="G38" s="337"/>
      <c r="H38" s="337"/>
      <c r="K38" s="410"/>
    </row>
    <row r="39" spans="1:22" x14ac:dyDescent="0.25">
      <c r="G39" s="337"/>
      <c r="H39" s="337"/>
      <c r="K39" s="116"/>
    </row>
    <row r="40" spans="1:22" x14ac:dyDescent="0.25">
      <c r="G40" s="337"/>
      <c r="H40" s="337"/>
      <c r="K40" s="410"/>
    </row>
    <row r="41" spans="1:22" x14ac:dyDescent="0.25">
      <c r="I41" s="379"/>
      <c r="K41" s="410"/>
    </row>
    <row r="42" spans="1:22" x14ac:dyDescent="0.25">
      <c r="K42" s="410"/>
      <c r="L42" s="379"/>
    </row>
    <row r="43" spans="1:22" x14ac:dyDescent="0.25">
      <c r="K43" s="410"/>
    </row>
    <row r="44" spans="1:22" x14ac:dyDescent="0.25">
      <c r="K44" s="410"/>
    </row>
    <row r="45" spans="1:22" x14ac:dyDescent="0.25">
      <c r="K45" s="410"/>
    </row>
    <row r="47" spans="1:22" x14ac:dyDescent="0.25">
      <c r="I47" s="488"/>
    </row>
  </sheetData>
  <mergeCells count="4">
    <mergeCell ref="A1:T1"/>
    <mergeCell ref="A2:T2"/>
    <mergeCell ref="I4:K4"/>
    <mergeCell ref="L4:S4"/>
  </mergeCells>
  <pageMargins left="0.7" right="0.7" top="0.75" bottom="0.75" header="0.3" footer="0.3"/>
  <pageSetup scale="3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4" sqref="A14:XFD19"/>
    </sheetView>
  </sheetViews>
  <sheetFormatPr defaultRowHeight="15" x14ac:dyDescent="0.25"/>
  <cols>
    <col min="2" max="2" width="16.140625" customWidth="1"/>
    <col min="10" max="10" width="15.85546875" bestFit="1" customWidth="1"/>
  </cols>
  <sheetData>
    <row r="1" spans="1:11" ht="15.75" x14ac:dyDescent="0.25">
      <c r="A1" s="857" t="s">
        <v>347</v>
      </c>
      <c r="B1" s="857"/>
      <c r="C1" s="857"/>
      <c r="D1" s="857"/>
      <c r="E1" s="857"/>
      <c r="F1" s="857"/>
      <c r="G1" s="857"/>
      <c r="H1" s="857"/>
    </row>
    <row r="2" spans="1:11" ht="15.75" x14ac:dyDescent="0.25">
      <c r="A2" s="857" t="str">
        <f>'Anx-A'!A3:H3</f>
        <v>Re-Modelling and Up Gradation of ADA Nullah and Walton Road Pkg-I</v>
      </c>
      <c r="B2" s="857"/>
      <c r="C2" s="857"/>
      <c r="D2" s="857"/>
      <c r="E2" s="857"/>
      <c r="F2" s="857"/>
      <c r="G2" s="857"/>
      <c r="H2" s="857"/>
    </row>
    <row r="3" spans="1:11" ht="15.75" thickBot="1" x14ac:dyDescent="0.3">
      <c r="A3" s="858"/>
      <c r="B3" s="858"/>
      <c r="C3" s="858"/>
      <c r="D3" s="858"/>
      <c r="E3" s="858"/>
      <c r="F3" s="858"/>
      <c r="G3" s="858"/>
      <c r="H3" s="207"/>
    </row>
    <row r="4" spans="1:11" ht="16.5" thickTop="1" thickBot="1" x14ac:dyDescent="0.3">
      <c r="A4" s="859" t="s">
        <v>141</v>
      </c>
      <c r="B4" s="859" t="s">
        <v>348</v>
      </c>
      <c r="C4" s="859" t="s">
        <v>349</v>
      </c>
      <c r="D4" s="859"/>
      <c r="E4" s="859"/>
      <c r="F4" s="860" t="s">
        <v>350</v>
      </c>
      <c r="G4" s="861"/>
      <c r="H4" s="859" t="s">
        <v>275</v>
      </c>
    </row>
    <row r="5" spans="1:11" ht="25.5" thickTop="1" thickBot="1" x14ac:dyDescent="0.3">
      <c r="A5" s="859"/>
      <c r="B5" s="859"/>
      <c r="C5" s="208" t="s">
        <v>351</v>
      </c>
      <c r="D5" s="208" t="s">
        <v>352</v>
      </c>
      <c r="E5" s="208" t="s">
        <v>267</v>
      </c>
      <c r="F5" s="208" t="s">
        <v>352</v>
      </c>
      <c r="G5" s="208" t="s">
        <v>267</v>
      </c>
      <c r="H5" s="859"/>
    </row>
    <row r="6" spans="1:11" ht="15.75" thickTop="1" x14ac:dyDescent="0.25">
      <c r="A6" s="209"/>
      <c r="B6" s="210"/>
      <c r="C6" s="209"/>
      <c r="D6" s="211"/>
      <c r="E6" s="209"/>
      <c r="F6" s="209"/>
      <c r="G6" s="209"/>
      <c r="H6" s="211"/>
    </row>
    <row r="7" spans="1:11" x14ac:dyDescent="0.25">
      <c r="A7" s="486"/>
      <c r="B7" s="485" t="s">
        <v>656</v>
      </c>
      <c r="C7" s="212">
        <v>0</v>
      </c>
      <c r="D7" s="212">
        <v>91.12</v>
      </c>
      <c r="E7" s="212">
        <v>0</v>
      </c>
      <c r="F7" s="212">
        <v>91.12</v>
      </c>
      <c r="G7" s="212">
        <v>0</v>
      </c>
      <c r="H7" s="213"/>
      <c r="J7" s="335">
        <f>D7</f>
        <v>91.12</v>
      </c>
      <c r="K7" s="375">
        <f>J7*100/105</f>
        <v>86.780952380952385</v>
      </c>
    </row>
    <row r="8" spans="1:11" x14ac:dyDescent="0.25">
      <c r="A8" s="485"/>
      <c r="B8" s="485" t="s">
        <v>655</v>
      </c>
      <c r="C8" s="212"/>
      <c r="D8" s="212">
        <v>36.893000000000001</v>
      </c>
      <c r="E8" s="212">
        <v>0</v>
      </c>
      <c r="F8" s="212">
        <v>36.893000000000001</v>
      </c>
      <c r="G8" s="212">
        <v>0</v>
      </c>
      <c r="H8" s="485"/>
      <c r="J8" s="335">
        <f>D8</f>
        <v>36.893000000000001</v>
      </c>
      <c r="K8" s="375">
        <f>J8*100/105</f>
        <v>35.136190476190478</v>
      </c>
    </row>
    <row r="9" spans="1:11" x14ac:dyDescent="0.25">
      <c r="A9" s="485"/>
      <c r="B9" s="485" t="s">
        <v>657</v>
      </c>
      <c r="C9" s="212">
        <v>0</v>
      </c>
      <c r="D9" s="212"/>
      <c r="E9" s="212"/>
      <c r="F9" s="212"/>
      <c r="G9" s="212"/>
      <c r="H9" s="485"/>
    </row>
    <row r="10" spans="1:11" x14ac:dyDescent="0.25">
      <c r="A10" s="852"/>
      <c r="B10" s="852"/>
      <c r="C10" s="212"/>
      <c r="D10" s="212">
        <v>0</v>
      </c>
      <c r="E10" s="212"/>
      <c r="F10" s="212">
        <v>0</v>
      </c>
      <c r="G10" s="212">
        <f>+C10</f>
        <v>0</v>
      </c>
      <c r="H10" s="213"/>
    </row>
    <row r="11" spans="1:11" x14ac:dyDescent="0.25">
      <c r="A11" s="853" t="s">
        <v>256</v>
      </c>
      <c r="B11" s="854"/>
      <c r="C11" s="214">
        <f>SUM(C7:C10)</f>
        <v>0</v>
      </c>
      <c r="D11" s="214">
        <f>SUM(D7:D10)</f>
        <v>128.01300000000001</v>
      </c>
      <c r="E11" s="214">
        <f>SUM(E7:E10)</f>
        <v>0</v>
      </c>
      <c r="F11" s="214">
        <f>SUM(F7:F10)</f>
        <v>128.01300000000001</v>
      </c>
      <c r="G11" s="214">
        <f>SUM(G7:G10)</f>
        <v>0</v>
      </c>
      <c r="H11" s="213"/>
      <c r="K11" s="378"/>
    </row>
    <row r="12" spans="1:11" x14ac:dyDescent="0.25">
      <c r="A12" s="853" t="s">
        <v>353</v>
      </c>
      <c r="B12" s="854"/>
      <c r="C12" s="212">
        <v>0</v>
      </c>
      <c r="D12" s="212">
        <f>D11*5%</f>
        <v>6.4006500000000006</v>
      </c>
      <c r="E12" s="212">
        <v>0</v>
      </c>
      <c r="F12" s="212">
        <f>F11*5%</f>
        <v>6.4006500000000006</v>
      </c>
      <c r="G12" s="212">
        <v>0</v>
      </c>
      <c r="H12" s="213"/>
    </row>
    <row r="13" spans="1:11" x14ac:dyDescent="0.25">
      <c r="A13" s="855" t="s">
        <v>354</v>
      </c>
      <c r="B13" s="856"/>
      <c r="C13" s="214">
        <f>C11+C12</f>
        <v>0</v>
      </c>
      <c r="D13" s="214">
        <f>D11+D12</f>
        <v>134.41365000000002</v>
      </c>
      <c r="E13" s="214">
        <f>E11+E12</f>
        <v>0</v>
      </c>
      <c r="F13" s="214">
        <f>F11+F12</f>
        <v>134.41365000000002</v>
      </c>
      <c r="G13" s="214">
        <f>G11+G12</f>
        <v>0</v>
      </c>
      <c r="H13" s="213"/>
    </row>
    <row r="14" spans="1:11" x14ac:dyDescent="0.25">
      <c r="D14" s="335"/>
      <c r="E14" s="375"/>
    </row>
    <row r="17" spans="3:3" x14ac:dyDescent="0.25">
      <c r="C17" s="397"/>
    </row>
  </sheetData>
  <mergeCells count="12">
    <mergeCell ref="A10:B10"/>
    <mergeCell ref="A11:B11"/>
    <mergeCell ref="A12:B12"/>
    <mergeCell ref="A13:B13"/>
    <mergeCell ref="A1:H1"/>
    <mergeCell ref="A2:H2"/>
    <mergeCell ref="A3:G3"/>
    <mergeCell ref="A4:A5"/>
    <mergeCell ref="B4:B5"/>
    <mergeCell ref="C4:E4"/>
    <mergeCell ref="F4:G4"/>
    <mergeCell ref="H4: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C71" workbookViewId="0">
      <selection activeCell="F93" sqref="F93"/>
    </sheetView>
  </sheetViews>
  <sheetFormatPr defaultRowHeight="15" x14ac:dyDescent="0.25"/>
  <cols>
    <col min="2" max="2" width="25.140625" bestFit="1" customWidth="1"/>
    <col min="3" max="3" width="44.42578125" customWidth="1"/>
    <col min="4" max="4" width="17.5703125" bestFit="1" customWidth="1"/>
    <col min="5" max="5" width="15.7109375" customWidth="1"/>
    <col min="6" max="6" width="14.28515625" customWidth="1"/>
    <col min="7" max="8" width="14.7109375" bestFit="1" customWidth="1"/>
    <col min="9" max="9" width="15.85546875" bestFit="1" customWidth="1"/>
    <col min="10" max="10" width="12.85546875" customWidth="1"/>
    <col min="11" max="11" width="12.85546875" bestFit="1" customWidth="1"/>
  </cols>
  <sheetData>
    <row r="1" spans="1:14" ht="15.75" x14ac:dyDescent="0.25">
      <c r="A1" s="114"/>
      <c r="B1" s="714"/>
      <c r="C1" s="114"/>
      <c r="D1" s="216"/>
      <c r="E1" s="216"/>
      <c r="F1" s="216"/>
      <c r="G1" s="216"/>
      <c r="H1" s="216"/>
      <c r="I1" s="216"/>
      <c r="J1" s="217"/>
      <c r="K1" s="217"/>
    </row>
    <row r="2" spans="1:14" ht="25.15" customHeight="1" x14ac:dyDescent="0.25">
      <c r="A2" s="863" t="s">
        <v>355</v>
      </c>
      <c r="B2" s="863"/>
      <c r="C2" s="863"/>
      <c r="D2" s="863"/>
      <c r="E2" s="863"/>
      <c r="F2" s="863"/>
      <c r="G2" s="863"/>
      <c r="H2" s="863"/>
      <c r="I2" s="863"/>
      <c r="J2" s="863"/>
      <c r="K2" s="863"/>
    </row>
    <row r="3" spans="1:14" ht="24" customHeight="1" x14ac:dyDescent="0.25">
      <c r="A3" s="862" t="str">
        <f>'Anx-A'!A3:H3</f>
        <v>Re-Modelling and Up Gradation of ADA Nullah and Walton Road Pkg-I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</row>
    <row r="4" spans="1:14" x14ac:dyDescent="0.25">
      <c r="A4" s="33"/>
      <c r="B4" s="33"/>
      <c r="C4" s="33"/>
      <c r="D4" s="218"/>
      <c r="E4" s="218"/>
      <c r="F4" s="218"/>
      <c r="G4" s="218"/>
      <c r="H4" s="218"/>
      <c r="I4" s="218"/>
      <c r="J4" s="218"/>
      <c r="K4" s="33"/>
    </row>
    <row r="5" spans="1:14" ht="75" x14ac:dyDescent="0.25">
      <c r="A5" s="718" t="s">
        <v>141</v>
      </c>
      <c r="B5" s="718"/>
      <c r="C5" s="79" t="s">
        <v>356</v>
      </c>
      <c r="D5" s="219" t="s">
        <v>357</v>
      </c>
      <c r="E5" s="219" t="s">
        <v>902</v>
      </c>
      <c r="F5" s="219" t="s">
        <v>358</v>
      </c>
      <c r="G5" s="219" t="s">
        <v>359</v>
      </c>
      <c r="H5" s="219" t="s">
        <v>360</v>
      </c>
      <c r="I5" s="219" t="s">
        <v>901</v>
      </c>
      <c r="J5" s="219" t="s">
        <v>361</v>
      </c>
      <c r="K5" s="79" t="s">
        <v>275</v>
      </c>
    </row>
    <row r="6" spans="1:14" x14ac:dyDescent="0.25">
      <c r="A6" s="220">
        <v>1</v>
      </c>
      <c r="B6" s="260" t="s">
        <v>820</v>
      </c>
      <c r="C6" s="260" t="s">
        <v>847</v>
      </c>
      <c r="D6" s="726">
        <v>32280480</v>
      </c>
      <c r="E6" s="726">
        <v>10300783.58</v>
      </c>
      <c r="F6" s="727">
        <f>H6/12</f>
        <v>155884.36416666667</v>
      </c>
      <c r="G6" s="727">
        <f>F6*1</f>
        <v>155884.36416666667</v>
      </c>
      <c r="H6" s="727">
        <v>1870612.37</v>
      </c>
      <c r="I6" s="727">
        <f>E6+H6</f>
        <v>12171395.949999999</v>
      </c>
      <c r="J6" s="728">
        <f>D6-I6</f>
        <v>20109084.050000001</v>
      </c>
      <c r="K6" s="221"/>
    </row>
    <row r="7" spans="1:14" ht="15.75" x14ac:dyDescent="0.25">
      <c r="A7" s="220">
        <f>A6+1</f>
        <v>2</v>
      </c>
      <c r="B7" s="260" t="s">
        <v>821</v>
      </c>
      <c r="C7" s="260" t="s">
        <v>848</v>
      </c>
      <c r="D7" s="729">
        <v>3374500</v>
      </c>
      <c r="E7" s="729">
        <v>2502753.48</v>
      </c>
      <c r="F7" s="727">
        <f t="shared" ref="F7:F70" si="0">H7/12</f>
        <v>28120.825000000001</v>
      </c>
      <c r="G7" s="727">
        <f t="shared" ref="G7:G70" si="1">F7*1</f>
        <v>28120.825000000001</v>
      </c>
      <c r="H7" s="727">
        <v>337449.9</v>
      </c>
      <c r="I7" s="727">
        <f t="shared" ref="I7:I70" si="2">E7+H7</f>
        <v>2840203.38</v>
      </c>
      <c r="J7" s="728">
        <f t="shared" ref="J7:J70" si="3">D7-I7</f>
        <v>534296.62000000011</v>
      </c>
      <c r="K7" s="221"/>
    </row>
    <row r="8" spans="1:14" ht="15.75" x14ac:dyDescent="0.25">
      <c r="A8" s="220">
        <f t="shared" ref="A8:A54" si="4">A7+1</f>
        <v>3</v>
      </c>
      <c r="B8" s="260" t="s">
        <v>822</v>
      </c>
      <c r="C8" s="260" t="s">
        <v>849</v>
      </c>
      <c r="D8" s="729">
        <v>20500</v>
      </c>
      <c r="E8" s="729">
        <v>14520.18</v>
      </c>
      <c r="F8" s="727">
        <f t="shared" si="0"/>
        <v>170.82500000000002</v>
      </c>
      <c r="G8" s="727">
        <f t="shared" si="1"/>
        <v>170.82500000000002</v>
      </c>
      <c r="H8" s="727">
        <v>2049.9</v>
      </c>
      <c r="I8" s="727">
        <f t="shared" si="2"/>
        <v>16570.080000000002</v>
      </c>
      <c r="J8" s="728">
        <f t="shared" si="3"/>
        <v>3929.9199999999983</v>
      </c>
      <c r="K8" s="221"/>
    </row>
    <row r="9" spans="1:14" ht="15.75" x14ac:dyDescent="0.25">
      <c r="A9" s="220">
        <f t="shared" si="4"/>
        <v>4</v>
      </c>
      <c r="B9" s="260" t="s">
        <v>822</v>
      </c>
      <c r="C9" s="260" t="s">
        <v>850</v>
      </c>
      <c r="D9" s="729">
        <v>13000</v>
      </c>
      <c r="E9" s="729">
        <v>7041.18</v>
      </c>
      <c r="F9" s="727">
        <f t="shared" si="0"/>
        <v>108.325</v>
      </c>
      <c r="G9" s="727">
        <f t="shared" si="1"/>
        <v>108.325</v>
      </c>
      <c r="H9" s="727">
        <v>1299.9000000000001</v>
      </c>
      <c r="I9" s="727">
        <f t="shared" si="2"/>
        <v>8341.08</v>
      </c>
      <c r="J9" s="728">
        <f t="shared" si="3"/>
        <v>4658.92</v>
      </c>
      <c r="K9" s="221"/>
    </row>
    <row r="10" spans="1:14" ht="15.75" x14ac:dyDescent="0.25">
      <c r="A10" s="220">
        <f t="shared" si="4"/>
        <v>5</v>
      </c>
      <c r="B10" s="260" t="s">
        <v>822</v>
      </c>
      <c r="C10" s="260" t="s">
        <v>851</v>
      </c>
      <c r="D10" s="730">
        <v>18730</v>
      </c>
      <c r="E10" s="730">
        <v>9988.86</v>
      </c>
      <c r="F10" s="727">
        <f t="shared" si="0"/>
        <v>156.07500000000002</v>
      </c>
      <c r="G10" s="727">
        <f t="shared" si="1"/>
        <v>156.07500000000002</v>
      </c>
      <c r="H10" s="727">
        <v>1872.9</v>
      </c>
      <c r="I10" s="727">
        <f t="shared" si="2"/>
        <v>11861.76</v>
      </c>
      <c r="J10" s="728">
        <f t="shared" si="3"/>
        <v>6868.24</v>
      </c>
      <c r="K10" s="221"/>
    </row>
    <row r="11" spans="1:14" x14ac:dyDescent="0.25">
      <c r="A11" s="220">
        <f t="shared" si="4"/>
        <v>6</v>
      </c>
      <c r="B11" s="260" t="s">
        <v>823</v>
      </c>
      <c r="C11" s="260" t="s">
        <v>852</v>
      </c>
      <c r="D11" s="731">
        <v>63500</v>
      </c>
      <c r="E11" s="731">
        <v>63499</v>
      </c>
      <c r="F11" s="727">
        <f t="shared" si="0"/>
        <v>0</v>
      </c>
      <c r="G11" s="727">
        <f t="shared" si="1"/>
        <v>0</v>
      </c>
      <c r="H11" s="727">
        <v>0</v>
      </c>
      <c r="I11" s="727">
        <f t="shared" si="2"/>
        <v>63499</v>
      </c>
      <c r="J11" s="728">
        <f t="shared" si="3"/>
        <v>1</v>
      </c>
      <c r="K11" s="221"/>
      <c r="N11">
        <f>3000+1120</f>
        <v>4120</v>
      </c>
    </row>
    <row r="12" spans="1:14" x14ac:dyDescent="0.25">
      <c r="A12" s="220">
        <f t="shared" si="4"/>
        <v>7</v>
      </c>
      <c r="B12" s="260" t="s">
        <v>823</v>
      </c>
      <c r="C12" s="260" t="s">
        <v>853</v>
      </c>
      <c r="D12" s="731">
        <v>68405</v>
      </c>
      <c r="E12" s="731">
        <v>68404</v>
      </c>
      <c r="F12" s="727">
        <f t="shared" si="0"/>
        <v>0</v>
      </c>
      <c r="G12" s="727">
        <f t="shared" si="1"/>
        <v>0</v>
      </c>
      <c r="H12" s="727">
        <v>0</v>
      </c>
      <c r="I12" s="727">
        <f t="shared" si="2"/>
        <v>68404</v>
      </c>
      <c r="J12" s="728">
        <f t="shared" si="3"/>
        <v>1</v>
      </c>
      <c r="K12" s="221"/>
    </row>
    <row r="13" spans="1:14" x14ac:dyDescent="0.25">
      <c r="A13" s="220">
        <f t="shared" si="4"/>
        <v>8</v>
      </c>
      <c r="B13" s="260" t="s">
        <v>824</v>
      </c>
      <c r="C13" s="260" t="s">
        <v>824</v>
      </c>
      <c r="D13" s="731">
        <v>290000</v>
      </c>
      <c r="E13" s="731">
        <v>234415.87</v>
      </c>
      <c r="F13" s="727">
        <f t="shared" si="0"/>
        <v>2416.6583333333333</v>
      </c>
      <c r="G13" s="727">
        <f t="shared" si="1"/>
        <v>2416.6583333333333</v>
      </c>
      <c r="H13" s="727">
        <v>28999.9</v>
      </c>
      <c r="I13" s="727">
        <f t="shared" si="2"/>
        <v>263415.77</v>
      </c>
      <c r="J13" s="728">
        <f t="shared" si="3"/>
        <v>26584.229999999981</v>
      </c>
      <c r="K13" s="221"/>
    </row>
    <row r="14" spans="1:14" x14ac:dyDescent="0.25">
      <c r="A14" s="220">
        <f t="shared" si="4"/>
        <v>9</v>
      </c>
      <c r="B14" s="260" t="s">
        <v>822</v>
      </c>
      <c r="C14" s="260" t="s">
        <v>854</v>
      </c>
      <c r="D14" s="731">
        <v>16700</v>
      </c>
      <c r="E14" s="731">
        <v>10993.52</v>
      </c>
      <c r="F14" s="727">
        <f t="shared" si="0"/>
        <v>139.15833333333333</v>
      </c>
      <c r="G14" s="727">
        <f t="shared" si="1"/>
        <v>139.15833333333333</v>
      </c>
      <c r="H14" s="727">
        <v>1669.9</v>
      </c>
      <c r="I14" s="727">
        <f t="shared" si="2"/>
        <v>12663.42</v>
      </c>
      <c r="J14" s="728">
        <f t="shared" si="3"/>
        <v>4036.58</v>
      </c>
      <c r="K14" s="221"/>
    </row>
    <row r="15" spans="1:14" x14ac:dyDescent="0.25">
      <c r="A15" s="220">
        <f t="shared" si="4"/>
        <v>10</v>
      </c>
      <c r="B15" s="260" t="s">
        <v>822</v>
      </c>
      <c r="C15" s="260" t="s">
        <v>851</v>
      </c>
      <c r="D15" s="731">
        <v>12500</v>
      </c>
      <c r="E15" s="731">
        <v>6874.47</v>
      </c>
      <c r="F15" s="727">
        <f t="shared" si="0"/>
        <v>104.15833333333335</v>
      </c>
      <c r="G15" s="727">
        <f t="shared" si="1"/>
        <v>104.15833333333335</v>
      </c>
      <c r="H15" s="727">
        <v>1249.9000000000001</v>
      </c>
      <c r="I15" s="727">
        <f t="shared" si="2"/>
        <v>8124.3700000000008</v>
      </c>
      <c r="J15" s="728">
        <f t="shared" si="3"/>
        <v>4375.6299999999992</v>
      </c>
      <c r="K15" s="221"/>
    </row>
    <row r="16" spans="1:14" x14ac:dyDescent="0.25">
      <c r="A16" s="220">
        <f t="shared" si="4"/>
        <v>11</v>
      </c>
      <c r="B16" s="260" t="s">
        <v>822</v>
      </c>
      <c r="C16" s="260" t="s">
        <v>851</v>
      </c>
      <c r="D16" s="731">
        <v>12500</v>
      </c>
      <c r="E16" s="731">
        <v>6874.47</v>
      </c>
      <c r="F16" s="727">
        <f t="shared" si="0"/>
        <v>104.15833333333335</v>
      </c>
      <c r="G16" s="727">
        <f t="shared" si="1"/>
        <v>104.15833333333335</v>
      </c>
      <c r="H16" s="727">
        <v>1249.9000000000001</v>
      </c>
      <c r="I16" s="727">
        <f t="shared" si="2"/>
        <v>8124.3700000000008</v>
      </c>
      <c r="J16" s="728">
        <f t="shared" si="3"/>
        <v>4375.6299999999992</v>
      </c>
      <c r="K16" s="221"/>
    </row>
    <row r="17" spans="1:11" x14ac:dyDescent="0.25">
      <c r="A17" s="220">
        <f t="shared" si="4"/>
        <v>12</v>
      </c>
      <c r="B17" s="260" t="s">
        <v>825</v>
      </c>
      <c r="C17" s="260" t="s">
        <v>855</v>
      </c>
      <c r="D17" s="731">
        <v>1</v>
      </c>
      <c r="E17" s="731">
        <v>0</v>
      </c>
      <c r="F17" s="727">
        <f t="shared" si="0"/>
        <v>0</v>
      </c>
      <c r="G17" s="727">
        <f t="shared" si="1"/>
        <v>0</v>
      </c>
      <c r="H17" s="727">
        <v>0</v>
      </c>
      <c r="I17" s="727">
        <f t="shared" si="2"/>
        <v>0</v>
      </c>
      <c r="J17" s="728">
        <f t="shared" si="3"/>
        <v>1</v>
      </c>
      <c r="K17" s="221"/>
    </row>
    <row r="18" spans="1:11" x14ac:dyDescent="0.25">
      <c r="A18" s="220">
        <f t="shared" si="4"/>
        <v>13</v>
      </c>
      <c r="B18" s="260" t="s">
        <v>826</v>
      </c>
      <c r="C18" s="260" t="s">
        <v>856</v>
      </c>
      <c r="D18" s="731">
        <v>373500</v>
      </c>
      <c r="E18" s="731">
        <v>308136.65000000002</v>
      </c>
      <c r="F18" s="727">
        <f t="shared" si="0"/>
        <v>3112.4916666666668</v>
      </c>
      <c r="G18" s="727">
        <f t="shared" si="1"/>
        <v>3112.4916666666668</v>
      </c>
      <c r="H18" s="727">
        <v>37349.9</v>
      </c>
      <c r="I18" s="727">
        <f t="shared" si="2"/>
        <v>345486.55000000005</v>
      </c>
      <c r="J18" s="728">
        <f t="shared" si="3"/>
        <v>28013.449999999953</v>
      </c>
      <c r="K18" s="221"/>
    </row>
    <row r="19" spans="1:11" x14ac:dyDescent="0.25">
      <c r="A19" s="220">
        <f t="shared" si="4"/>
        <v>14</v>
      </c>
      <c r="B19" s="260" t="s">
        <v>827</v>
      </c>
      <c r="C19" s="260" t="s">
        <v>857</v>
      </c>
      <c r="D19" s="731">
        <v>211997</v>
      </c>
      <c r="E19" s="731">
        <v>155463.69</v>
      </c>
      <c r="F19" s="727">
        <f t="shared" si="0"/>
        <v>1766.6333333333332</v>
      </c>
      <c r="G19" s="727">
        <f t="shared" si="1"/>
        <v>1766.6333333333332</v>
      </c>
      <c r="H19" s="727">
        <v>21199.599999999999</v>
      </c>
      <c r="I19" s="727">
        <f t="shared" si="2"/>
        <v>176663.29</v>
      </c>
      <c r="J19" s="728">
        <f t="shared" si="3"/>
        <v>35333.709999999992</v>
      </c>
      <c r="K19" s="221"/>
    </row>
    <row r="20" spans="1:11" x14ac:dyDescent="0.25">
      <c r="A20" s="220">
        <f t="shared" si="4"/>
        <v>15</v>
      </c>
      <c r="B20" s="260" t="s">
        <v>826</v>
      </c>
      <c r="C20" s="260" t="s">
        <v>858</v>
      </c>
      <c r="D20" s="731">
        <v>497350</v>
      </c>
      <c r="E20" s="731">
        <v>356433.51</v>
      </c>
      <c r="F20" s="727">
        <f t="shared" si="0"/>
        <v>4144.5749999999998</v>
      </c>
      <c r="G20" s="727">
        <f t="shared" si="1"/>
        <v>4144.5749999999998</v>
      </c>
      <c r="H20" s="727">
        <v>49734.9</v>
      </c>
      <c r="I20" s="727">
        <f t="shared" si="2"/>
        <v>406168.41000000003</v>
      </c>
      <c r="J20" s="728">
        <f t="shared" si="3"/>
        <v>91181.589999999967</v>
      </c>
      <c r="K20" s="221"/>
    </row>
    <row r="21" spans="1:11" x14ac:dyDescent="0.25">
      <c r="A21" s="220">
        <f t="shared" si="4"/>
        <v>16</v>
      </c>
      <c r="B21" s="260" t="s">
        <v>825</v>
      </c>
      <c r="C21" s="260" t="s">
        <v>859</v>
      </c>
      <c r="D21" s="731">
        <v>106600</v>
      </c>
      <c r="E21" s="731">
        <v>29482.52</v>
      </c>
      <c r="F21" s="727">
        <f t="shared" si="0"/>
        <v>430.81833333333333</v>
      </c>
      <c r="G21" s="727">
        <f t="shared" si="1"/>
        <v>430.81833333333333</v>
      </c>
      <c r="H21" s="727">
        <v>5169.82</v>
      </c>
      <c r="I21" s="727">
        <f t="shared" si="2"/>
        <v>34652.339999999997</v>
      </c>
      <c r="J21" s="728">
        <f t="shared" si="3"/>
        <v>71947.66</v>
      </c>
      <c r="K21" s="221"/>
    </row>
    <row r="22" spans="1:11" x14ac:dyDescent="0.25">
      <c r="A22" s="220">
        <f t="shared" si="4"/>
        <v>17</v>
      </c>
      <c r="B22" s="260" t="s">
        <v>825</v>
      </c>
      <c r="C22" s="260" t="s">
        <v>860</v>
      </c>
      <c r="D22" s="731">
        <v>31342</v>
      </c>
      <c r="E22" s="731">
        <v>31341</v>
      </c>
      <c r="F22" s="727">
        <f t="shared" si="0"/>
        <v>0</v>
      </c>
      <c r="G22" s="727">
        <f t="shared" si="1"/>
        <v>0</v>
      </c>
      <c r="H22" s="727">
        <v>0</v>
      </c>
      <c r="I22" s="727">
        <f t="shared" si="2"/>
        <v>31341</v>
      </c>
      <c r="J22" s="728">
        <f t="shared" si="3"/>
        <v>1</v>
      </c>
      <c r="K22" s="221"/>
    </row>
    <row r="23" spans="1:11" x14ac:dyDescent="0.25">
      <c r="A23" s="220">
        <f t="shared" si="4"/>
        <v>18</v>
      </c>
      <c r="B23" s="260" t="s">
        <v>828</v>
      </c>
      <c r="C23" s="260" t="s">
        <v>861</v>
      </c>
      <c r="D23" s="731">
        <v>264074.81</v>
      </c>
      <c r="E23" s="731">
        <v>95726.76</v>
      </c>
      <c r="F23" s="727">
        <f t="shared" si="0"/>
        <v>1039.1791666666666</v>
      </c>
      <c r="G23" s="727">
        <f t="shared" si="1"/>
        <v>1039.1791666666666</v>
      </c>
      <c r="H23" s="727">
        <v>12470.15</v>
      </c>
      <c r="I23" s="727">
        <f t="shared" si="2"/>
        <v>108196.90999999999</v>
      </c>
      <c r="J23" s="728">
        <f t="shared" si="3"/>
        <v>155877.90000000002</v>
      </c>
      <c r="K23" s="221"/>
    </row>
    <row r="24" spans="1:11" x14ac:dyDescent="0.25">
      <c r="A24" s="220">
        <f t="shared" si="4"/>
        <v>19</v>
      </c>
      <c r="B24" s="260" t="s">
        <v>829</v>
      </c>
      <c r="C24" s="260" t="s">
        <v>862</v>
      </c>
      <c r="D24" s="727">
        <v>1670835</v>
      </c>
      <c r="E24" s="727">
        <v>1670834</v>
      </c>
      <c r="F24" s="727">
        <f t="shared" si="0"/>
        <v>0</v>
      </c>
      <c r="G24" s="727">
        <f t="shared" si="1"/>
        <v>0</v>
      </c>
      <c r="H24" s="727">
        <v>0</v>
      </c>
      <c r="I24" s="727">
        <f t="shared" si="2"/>
        <v>1670834</v>
      </c>
      <c r="J24" s="728">
        <f t="shared" si="3"/>
        <v>1</v>
      </c>
      <c r="K24" s="221"/>
    </row>
    <row r="25" spans="1:11" x14ac:dyDescent="0.25">
      <c r="A25" s="220">
        <f t="shared" si="4"/>
        <v>20</v>
      </c>
      <c r="B25" s="260" t="s">
        <v>830</v>
      </c>
      <c r="C25" s="260" t="s">
        <v>863</v>
      </c>
      <c r="D25" s="732">
        <v>2967387</v>
      </c>
      <c r="E25" s="732">
        <v>1437372.88</v>
      </c>
      <c r="F25" s="727">
        <f t="shared" si="0"/>
        <v>10132.536666666667</v>
      </c>
      <c r="G25" s="727">
        <f t="shared" si="1"/>
        <v>10132.536666666667</v>
      </c>
      <c r="H25" s="727">
        <v>121590.44</v>
      </c>
      <c r="I25" s="727">
        <f t="shared" si="2"/>
        <v>1558963.3199999998</v>
      </c>
      <c r="J25" s="728">
        <f t="shared" si="3"/>
        <v>1408423.6800000002</v>
      </c>
      <c r="K25" s="221"/>
    </row>
    <row r="26" spans="1:11" x14ac:dyDescent="0.25">
      <c r="A26" s="220">
        <f t="shared" si="4"/>
        <v>21</v>
      </c>
      <c r="B26" s="260" t="s">
        <v>831</v>
      </c>
      <c r="C26" s="260" t="s">
        <v>864</v>
      </c>
      <c r="D26" s="732">
        <v>471145</v>
      </c>
      <c r="E26" s="732">
        <v>190041.21</v>
      </c>
      <c r="F26" s="727">
        <f t="shared" si="0"/>
        <v>3959.1924999999997</v>
      </c>
      <c r="G26" s="727">
        <f t="shared" si="1"/>
        <v>3959.1924999999997</v>
      </c>
      <c r="H26" s="727">
        <v>47510.31</v>
      </c>
      <c r="I26" s="727">
        <f t="shared" si="2"/>
        <v>237551.52</v>
      </c>
      <c r="J26" s="728">
        <f t="shared" si="3"/>
        <v>233593.48</v>
      </c>
      <c r="K26" s="221"/>
    </row>
    <row r="27" spans="1:11" x14ac:dyDescent="0.25">
      <c r="A27" s="220">
        <f t="shared" si="4"/>
        <v>22</v>
      </c>
      <c r="B27" s="260" t="s">
        <v>825</v>
      </c>
      <c r="C27" s="260" t="s">
        <v>865</v>
      </c>
      <c r="D27" s="732">
        <v>1166666</v>
      </c>
      <c r="E27" s="732">
        <v>475031.62</v>
      </c>
      <c r="F27" s="727">
        <f t="shared" si="0"/>
        <v>4295.8591666666662</v>
      </c>
      <c r="G27" s="727">
        <f t="shared" si="1"/>
        <v>4295.8591666666662</v>
      </c>
      <c r="H27" s="727">
        <v>51550.31</v>
      </c>
      <c r="I27" s="727">
        <f t="shared" si="2"/>
        <v>526581.92999999993</v>
      </c>
      <c r="J27" s="728">
        <f t="shared" si="3"/>
        <v>640084.07000000007</v>
      </c>
      <c r="K27" s="221"/>
    </row>
    <row r="28" spans="1:11" x14ac:dyDescent="0.25">
      <c r="A28" s="220">
        <f t="shared" si="4"/>
        <v>23</v>
      </c>
      <c r="B28" s="260" t="s">
        <v>820</v>
      </c>
      <c r="C28" s="260" t="s">
        <v>866</v>
      </c>
      <c r="D28" s="732">
        <v>10851172.66</v>
      </c>
      <c r="E28" s="732">
        <v>5403094.0300000003</v>
      </c>
      <c r="F28" s="727">
        <f t="shared" si="0"/>
        <v>38098.445</v>
      </c>
      <c r="G28" s="727">
        <f t="shared" si="1"/>
        <v>38098.445</v>
      </c>
      <c r="H28" s="727">
        <v>457181.34</v>
      </c>
      <c r="I28" s="727">
        <f t="shared" si="2"/>
        <v>5860275.3700000001</v>
      </c>
      <c r="J28" s="728">
        <f t="shared" si="3"/>
        <v>4990897.29</v>
      </c>
      <c r="K28" s="221"/>
    </row>
    <row r="29" spans="1:11" x14ac:dyDescent="0.25">
      <c r="A29" s="220">
        <f t="shared" si="4"/>
        <v>24</v>
      </c>
      <c r="B29" s="260" t="s">
        <v>832</v>
      </c>
      <c r="C29" s="260" t="s">
        <v>867</v>
      </c>
      <c r="D29" s="732">
        <v>25497570</v>
      </c>
      <c r="E29" s="732">
        <v>9648908.8699999992</v>
      </c>
      <c r="F29" s="727">
        <f t="shared" si="0"/>
        <v>96052.48583333334</v>
      </c>
      <c r="G29" s="727">
        <f t="shared" si="1"/>
        <v>96052.48583333334</v>
      </c>
      <c r="H29" s="727">
        <v>1152629.83</v>
      </c>
      <c r="I29" s="727">
        <f t="shared" si="2"/>
        <v>10801538.699999999</v>
      </c>
      <c r="J29" s="728">
        <f t="shared" si="3"/>
        <v>14696031.300000001</v>
      </c>
      <c r="K29" s="221"/>
    </row>
    <row r="30" spans="1:11" x14ac:dyDescent="0.25">
      <c r="A30" s="220">
        <f t="shared" si="4"/>
        <v>25</v>
      </c>
      <c r="B30" s="260" t="s">
        <v>833</v>
      </c>
      <c r="C30" s="260" t="s">
        <v>868</v>
      </c>
      <c r="D30" s="732">
        <v>8419088</v>
      </c>
      <c r="E30" s="732">
        <v>8419087</v>
      </c>
      <c r="F30" s="727">
        <f t="shared" si="0"/>
        <v>0</v>
      </c>
      <c r="G30" s="727">
        <f t="shared" si="1"/>
        <v>0</v>
      </c>
      <c r="H30" s="727">
        <v>0</v>
      </c>
      <c r="I30" s="727">
        <f t="shared" si="2"/>
        <v>8419087</v>
      </c>
      <c r="J30" s="728">
        <f t="shared" si="3"/>
        <v>1</v>
      </c>
      <c r="K30" s="221"/>
    </row>
    <row r="31" spans="1:11" x14ac:dyDescent="0.25">
      <c r="A31" s="220">
        <f t="shared" si="4"/>
        <v>26</v>
      </c>
      <c r="B31" s="260" t="s">
        <v>834</v>
      </c>
      <c r="C31" s="260" t="s">
        <v>869</v>
      </c>
      <c r="D31" s="732">
        <v>16382811</v>
      </c>
      <c r="E31" s="732">
        <v>11405624.33</v>
      </c>
      <c r="F31" s="727">
        <f t="shared" si="0"/>
        <v>41825.089166666665</v>
      </c>
      <c r="G31" s="727">
        <f t="shared" si="1"/>
        <v>41825.089166666665</v>
      </c>
      <c r="H31" s="727">
        <v>501901.07</v>
      </c>
      <c r="I31" s="727">
        <f t="shared" si="2"/>
        <v>11907525.4</v>
      </c>
      <c r="J31" s="728">
        <f t="shared" si="3"/>
        <v>4475285.5999999996</v>
      </c>
      <c r="K31" s="221"/>
    </row>
    <row r="32" spans="1:11" x14ac:dyDescent="0.25">
      <c r="A32" s="220">
        <f t="shared" si="4"/>
        <v>27</v>
      </c>
      <c r="B32" s="260" t="s">
        <v>820</v>
      </c>
      <c r="C32" s="260" t="s">
        <v>870</v>
      </c>
      <c r="D32" s="732">
        <v>16140240</v>
      </c>
      <c r="E32" s="732">
        <v>6510348.4800000004</v>
      </c>
      <c r="F32" s="727">
        <f t="shared" si="0"/>
        <v>135632.26</v>
      </c>
      <c r="G32" s="727">
        <f t="shared" si="1"/>
        <v>135632.26</v>
      </c>
      <c r="H32" s="727">
        <v>1627587.12</v>
      </c>
      <c r="I32" s="727">
        <f t="shared" si="2"/>
        <v>8137935.6000000006</v>
      </c>
      <c r="J32" s="728">
        <f t="shared" si="3"/>
        <v>8002304.3999999994</v>
      </c>
      <c r="K32" s="221"/>
    </row>
    <row r="33" spans="1:11" x14ac:dyDescent="0.25">
      <c r="A33" s="220">
        <f t="shared" si="4"/>
        <v>28</v>
      </c>
      <c r="B33" s="260" t="s">
        <v>825</v>
      </c>
      <c r="C33" s="260" t="s">
        <v>871</v>
      </c>
      <c r="D33" s="732">
        <v>1545000</v>
      </c>
      <c r="E33" s="732">
        <v>889318.43</v>
      </c>
      <c r="F33" s="727">
        <f t="shared" si="0"/>
        <v>4785.9891666666672</v>
      </c>
      <c r="G33" s="727">
        <f t="shared" si="1"/>
        <v>4785.9891666666672</v>
      </c>
      <c r="H33" s="727">
        <v>57431.87</v>
      </c>
      <c r="I33" s="727">
        <f t="shared" si="2"/>
        <v>946750.3</v>
      </c>
      <c r="J33" s="728">
        <f t="shared" si="3"/>
        <v>598249.69999999995</v>
      </c>
      <c r="K33" s="221"/>
    </row>
    <row r="34" spans="1:11" x14ac:dyDescent="0.25">
      <c r="A34" s="220">
        <f t="shared" si="4"/>
        <v>29</v>
      </c>
      <c r="B34" s="260" t="s">
        <v>825</v>
      </c>
      <c r="C34" s="260" t="s">
        <v>872</v>
      </c>
      <c r="D34" s="732">
        <v>56995</v>
      </c>
      <c r="E34" s="732">
        <v>56994</v>
      </c>
      <c r="F34" s="727">
        <f t="shared" si="0"/>
        <v>0</v>
      </c>
      <c r="G34" s="727">
        <f t="shared" si="1"/>
        <v>0</v>
      </c>
      <c r="H34" s="727">
        <v>0</v>
      </c>
      <c r="I34" s="727">
        <f t="shared" si="2"/>
        <v>56994</v>
      </c>
      <c r="J34" s="728">
        <f t="shared" si="3"/>
        <v>1</v>
      </c>
      <c r="K34" s="221"/>
    </row>
    <row r="35" spans="1:11" x14ac:dyDescent="0.25">
      <c r="A35" s="220">
        <f t="shared" si="4"/>
        <v>30</v>
      </c>
      <c r="B35" s="260" t="s">
        <v>825</v>
      </c>
      <c r="C35" s="260" t="s">
        <v>873</v>
      </c>
      <c r="D35" s="732">
        <v>25300</v>
      </c>
      <c r="E35" s="732">
        <v>25299</v>
      </c>
      <c r="F35" s="727">
        <f t="shared" si="0"/>
        <v>0</v>
      </c>
      <c r="G35" s="727">
        <f t="shared" si="1"/>
        <v>0</v>
      </c>
      <c r="H35" s="727">
        <v>0</v>
      </c>
      <c r="I35" s="727">
        <f t="shared" si="2"/>
        <v>25299</v>
      </c>
      <c r="J35" s="728">
        <f t="shared" si="3"/>
        <v>1</v>
      </c>
      <c r="K35" s="221"/>
    </row>
    <row r="36" spans="1:11" x14ac:dyDescent="0.25">
      <c r="A36" s="220">
        <f t="shared" si="4"/>
        <v>31</v>
      </c>
      <c r="B36" s="260" t="s">
        <v>825</v>
      </c>
      <c r="C36" s="260" t="s">
        <v>873</v>
      </c>
      <c r="D36" s="732">
        <v>67000</v>
      </c>
      <c r="E36" s="732">
        <v>66999</v>
      </c>
      <c r="F36" s="727">
        <f t="shared" si="0"/>
        <v>0</v>
      </c>
      <c r="G36" s="727">
        <f t="shared" si="1"/>
        <v>0</v>
      </c>
      <c r="H36" s="727">
        <v>0</v>
      </c>
      <c r="I36" s="727">
        <f t="shared" si="2"/>
        <v>66999</v>
      </c>
      <c r="J36" s="728">
        <f t="shared" si="3"/>
        <v>1</v>
      </c>
      <c r="K36" s="221"/>
    </row>
    <row r="37" spans="1:11" x14ac:dyDescent="0.25">
      <c r="A37" s="220">
        <f t="shared" si="4"/>
        <v>32</v>
      </c>
      <c r="B37" s="260" t="s">
        <v>835</v>
      </c>
      <c r="C37" s="260" t="s">
        <v>874</v>
      </c>
      <c r="D37" s="732">
        <v>1036797</v>
      </c>
      <c r="E37" s="732">
        <v>1036796</v>
      </c>
      <c r="F37" s="727">
        <f t="shared" si="0"/>
        <v>0</v>
      </c>
      <c r="G37" s="727">
        <f t="shared" si="1"/>
        <v>0</v>
      </c>
      <c r="H37" s="727">
        <v>0</v>
      </c>
      <c r="I37" s="727">
        <f t="shared" si="2"/>
        <v>1036796</v>
      </c>
      <c r="J37" s="728">
        <f t="shared" si="3"/>
        <v>1</v>
      </c>
      <c r="K37" s="221"/>
    </row>
    <row r="38" spans="1:11" x14ac:dyDescent="0.25">
      <c r="A38" s="220">
        <f t="shared" si="4"/>
        <v>33</v>
      </c>
      <c r="B38" s="260" t="s">
        <v>821</v>
      </c>
      <c r="C38" s="260" t="s">
        <v>875</v>
      </c>
      <c r="D38" s="732">
        <v>942603</v>
      </c>
      <c r="E38" s="732">
        <v>942602</v>
      </c>
      <c r="F38" s="727">
        <f t="shared" si="0"/>
        <v>0</v>
      </c>
      <c r="G38" s="727">
        <f t="shared" si="1"/>
        <v>0</v>
      </c>
      <c r="H38" s="727">
        <v>0</v>
      </c>
      <c r="I38" s="727">
        <f t="shared" si="2"/>
        <v>942602</v>
      </c>
      <c r="J38" s="728">
        <f t="shared" si="3"/>
        <v>1</v>
      </c>
      <c r="K38" s="221"/>
    </row>
    <row r="39" spans="1:11" x14ac:dyDescent="0.25">
      <c r="A39" s="220">
        <f t="shared" si="4"/>
        <v>34</v>
      </c>
      <c r="B39" s="260" t="s">
        <v>823</v>
      </c>
      <c r="C39" s="260" t="s">
        <v>876</v>
      </c>
      <c r="D39" s="732">
        <v>36500</v>
      </c>
      <c r="E39" s="732">
        <v>36499</v>
      </c>
      <c r="F39" s="727">
        <f t="shared" si="0"/>
        <v>0</v>
      </c>
      <c r="G39" s="727">
        <f t="shared" si="1"/>
        <v>0</v>
      </c>
      <c r="H39" s="727">
        <v>0</v>
      </c>
      <c r="I39" s="727">
        <f t="shared" si="2"/>
        <v>36499</v>
      </c>
      <c r="J39" s="728">
        <f t="shared" si="3"/>
        <v>1</v>
      </c>
      <c r="K39" s="221"/>
    </row>
    <row r="40" spans="1:11" x14ac:dyDescent="0.25">
      <c r="A40" s="220">
        <f t="shared" si="4"/>
        <v>35</v>
      </c>
      <c r="B40" s="260" t="s">
        <v>822</v>
      </c>
      <c r="C40" s="260" t="s">
        <v>877</v>
      </c>
      <c r="D40" s="732">
        <v>12565</v>
      </c>
      <c r="E40" s="732">
        <v>7120.16</v>
      </c>
      <c r="F40" s="727">
        <f t="shared" si="0"/>
        <v>209.41666666666666</v>
      </c>
      <c r="G40" s="727">
        <f t="shared" si="1"/>
        <v>209.41666666666666</v>
      </c>
      <c r="H40" s="727">
        <v>2513</v>
      </c>
      <c r="I40" s="727">
        <f t="shared" si="2"/>
        <v>9633.16</v>
      </c>
      <c r="J40" s="728">
        <f t="shared" si="3"/>
        <v>2931.84</v>
      </c>
      <c r="K40" s="221"/>
    </row>
    <row r="41" spans="1:11" x14ac:dyDescent="0.25">
      <c r="A41" s="220">
        <f t="shared" si="4"/>
        <v>36</v>
      </c>
      <c r="B41" s="260" t="s">
        <v>822</v>
      </c>
      <c r="C41" s="260" t="s">
        <v>877</v>
      </c>
      <c r="D41" s="732">
        <v>12565</v>
      </c>
      <c r="E41" s="732">
        <v>7120.16</v>
      </c>
      <c r="F41" s="727">
        <f t="shared" si="0"/>
        <v>209.41666666666666</v>
      </c>
      <c r="G41" s="727">
        <f t="shared" si="1"/>
        <v>209.41666666666666</v>
      </c>
      <c r="H41" s="727">
        <v>2513</v>
      </c>
      <c r="I41" s="727">
        <f t="shared" si="2"/>
        <v>9633.16</v>
      </c>
      <c r="J41" s="728">
        <f t="shared" si="3"/>
        <v>2931.84</v>
      </c>
      <c r="K41" s="221"/>
    </row>
    <row r="42" spans="1:11" x14ac:dyDescent="0.25">
      <c r="A42" s="220">
        <f t="shared" si="4"/>
        <v>37</v>
      </c>
      <c r="B42" s="260" t="s">
        <v>836</v>
      </c>
      <c r="C42" s="260" t="s">
        <v>878</v>
      </c>
      <c r="D42" s="732">
        <v>16380000</v>
      </c>
      <c r="E42" s="732">
        <v>1911000</v>
      </c>
      <c r="F42" s="727">
        <f t="shared" si="0"/>
        <v>68250</v>
      </c>
      <c r="G42" s="727">
        <f t="shared" si="1"/>
        <v>68250</v>
      </c>
      <c r="H42" s="727">
        <v>819000</v>
      </c>
      <c r="I42" s="727">
        <f t="shared" si="2"/>
        <v>2730000</v>
      </c>
      <c r="J42" s="728">
        <f t="shared" si="3"/>
        <v>13650000</v>
      </c>
      <c r="K42" s="221"/>
    </row>
    <row r="43" spans="1:11" x14ac:dyDescent="0.25">
      <c r="A43" s="220">
        <f t="shared" si="4"/>
        <v>38</v>
      </c>
      <c r="B43" s="260" t="s">
        <v>836</v>
      </c>
      <c r="C43" s="260" t="s">
        <v>879</v>
      </c>
      <c r="D43" s="732">
        <v>17150000</v>
      </c>
      <c r="E43" s="732">
        <v>4001666.68</v>
      </c>
      <c r="F43" s="727">
        <f t="shared" si="0"/>
        <v>142916.66666666666</v>
      </c>
      <c r="G43" s="727">
        <f t="shared" si="1"/>
        <v>142916.66666666666</v>
      </c>
      <c r="H43" s="727">
        <v>1715000</v>
      </c>
      <c r="I43" s="727">
        <f t="shared" si="2"/>
        <v>5716666.6799999997</v>
      </c>
      <c r="J43" s="728">
        <f t="shared" si="3"/>
        <v>11433333.32</v>
      </c>
      <c r="K43" s="221"/>
    </row>
    <row r="44" spans="1:11" x14ac:dyDescent="0.25">
      <c r="A44" s="220">
        <f t="shared" si="4"/>
        <v>39</v>
      </c>
      <c r="B44" s="260" t="s">
        <v>836</v>
      </c>
      <c r="C44" s="260" t="s">
        <v>880</v>
      </c>
      <c r="D44" s="732">
        <v>19370000</v>
      </c>
      <c r="E44" s="732">
        <v>4196833.38</v>
      </c>
      <c r="F44" s="727">
        <f t="shared" si="0"/>
        <v>161416.66666666666</v>
      </c>
      <c r="G44" s="727">
        <f t="shared" si="1"/>
        <v>161416.66666666666</v>
      </c>
      <c r="H44" s="727">
        <v>1937000</v>
      </c>
      <c r="I44" s="727">
        <f t="shared" si="2"/>
        <v>6133833.3799999999</v>
      </c>
      <c r="J44" s="728">
        <f t="shared" si="3"/>
        <v>13236166.620000001</v>
      </c>
      <c r="K44" s="221"/>
    </row>
    <row r="45" spans="1:11" x14ac:dyDescent="0.25">
      <c r="A45" s="220">
        <f t="shared" si="4"/>
        <v>40</v>
      </c>
      <c r="B45" s="260" t="s">
        <v>837</v>
      </c>
      <c r="C45" s="260" t="s">
        <v>881</v>
      </c>
      <c r="D45" s="732">
        <v>3730000</v>
      </c>
      <c r="E45" s="732">
        <v>854791.66</v>
      </c>
      <c r="F45" s="727">
        <f t="shared" si="0"/>
        <v>25902.7775</v>
      </c>
      <c r="G45" s="727">
        <f t="shared" si="1"/>
        <v>25902.7775</v>
      </c>
      <c r="H45" s="727">
        <v>310833.33</v>
      </c>
      <c r="I45" s="727">
        <f t="shared" si="2"/>
        <v>1165624.99</v>
      </c>
      <c r="J45" s="728">
        <f t="shared" si="3"/>
        <v>2564375.0099999998</v>
      </c>
      <c r="K45" s="221"/>
    </row>
    <row r="46" spans="1:11" x14ac:dyDescent="0.25">
      <c r="A46" s="220">
        <f t="shared" si="4"/>
        <v>41</v>
      </c>
      <c r="B46" s="260" t="s">
        <v>838</v>
      </c>
      <c r="C46" s="260" t="s">
        <v>882</v>
      </c>
      <c r="D46" s="732">
        <v>445026</v>
      </c>
      <c r="E46" s="732">
        <v>114965.05</v>
      </c>
      <c r="F46" s="727">
        <f t="shared" si="0"/>
        <v>3708.5499999999997</v>
      </c>
      <c r="G46" s="727">
        <f t="shared" si="1"/>
        <v>3708.5499999999997</v>
      </c>
      <c r="H46" s="727">
        <v>44502.6</v>
      </c>
      <c r="I46" s="727">
        <f t="shared" si="2"/>
        <v>159467.65</v>
      </c>
      <c r="J46" s="728">
        <f t="shared" si="3"/>
        <v>285558.34999999998</v>
      </c>
      <c r="K46" s="221"/>
    </row>
    <row r="47" spans="1:11" x14ac:dyDescent="0.25">
      <c r="A47" s="220">
        <f t="shared" si="4"/>
        <v>42</v>
      </c>
      <c r="B47" s="260" t="s">
        <v>838</v>
      </c>
      <c r="C47" s="260" t="s">
        <v>882</v>
      </c>
      <c r="D47" s="732">
        <v>445026</v>
      </c>
      <c r="E47" s="732">
        <v>114965.05</v>
      </c>
      <c r="F47" s="727">
        <f t="shared" si="0"/>
        <v>3708.5499999999997</v>
      </c>
      <c r="G47" s="727">
        <f t="shared" si="1"/>
        <v>3708.5499999999997</v>
      </c>
      <c r="H47" s="727">
        <v>44502.6</v>
      </c>
      <c r="I47" s="727">
        <f t="shared" si="2"/>
        <v>159467.65</v>
      </c>
      <c r="J47" s="728">
        <f t="shared" si="3"/>
        <v>285558.34999999998</v>
      </c>
      <c r="K47" s="221"/>
    </row>
    <row r="48" spans="1:11" x14ac:dyDescent="0.25">
      <c r="A48" s="220">
        <f t="shared" si="4"/>
        <v>43</v>
      </c>
      <c r="B48" s="260" t="s">
        <v>830</v>
      </c>
      <c r="C48" s="260" t="s">
        <v>883</v>
      </c>
      <c r="D48" s="732">
        <v>2818720</v>
      </c>
      <c r="E48" s="732">
        <v>203574.22</v>
      </c>
      <c r="F48" s="727">
        <f t="shared" si="0"/>
        <v>7829.7775000000001</v>
      </c>
      <c r="G48" s="727">
        <f t="shared" si="1"/>
        <v>7829.7775000000001</v>
      </c>
      <c r="H48" s="727">
        <v>93957.33</v>
      </c>
      <c r="I48" s="727">
        <f t="shared" si="2"/>
        <v>297531.55</v>
      </c>
      <c r="J48" s="728">
        <f t="shared" si="3"/>
        <v>2521188.4500000002</v>
      </c>
      <c r="K48" s="221"/>
    </row>
    <row r="49" spans="1:11" x14ac:dyDescent="0.25">
      <c r="A49" s="220">
        <f t="shared" si="4"/>
        <v>44</v>
      </c>
      <c r="B49" s="260" t="s">
        <v>839</v>
      </c>
      <c r="C49" s="260" t="s">
        <v>884</v>
      </c>
      <c r="D49" s="732">
        <v>169785</v>
      </c>
      <c r="E49" s="732">
        <v>79232.53</v>
      </c>
      <c r="F49" s="727">
        <f t="shared" si="0"/>
        <v>1414.865</v>
      </c>
      <c r="G49" s="727">
        <f t="shared" si="1"/>
        <v>1414.865</v>
      </c>
      <c r="H49" s="727">
        <v>16978.38</v>
      </c>
      <c r="I49" s="727">
        <f t="shared" si="2"/>
        <v>96210.91</v>
      </c>
      <c r="J49" s="728">
        <f t="shared" si="3"/>
        <v>73574.09</v>
      </c>
      <c r="K49" s="221"/>
    </row>
    <row r="50" spans="1:11" x14ac:dyDescent="0.25">
      <c r="A50" s="220">
        <f t="shared" si="4"/>
        <v>45</v>
      </c>
      <c r="B50" s="260" t="s">
        <v>840</v>
      </c>
      <c r="C50" s="260" t="s">
        <v>885</v>
      </c>
      <c r="D50" s="731">
        <v>752688</v>
      </c>
      <c r="E50" s="731">
        <v>144265.20000000001</v>
      </c>
      <c r="F50" s="727">
        <f t="shared" si="0"/>
        <v>6272.4000000000005</v>
      </c>
      <c r="G50" s="727">
        <f t="shared" si="1"/>
        <v>6272.4000000000005</v>
      </c>
      <c r="H50" s="727">
        <v>75268.800000000003</v>
      </c>
      <c r="I50" s="727">
        <f t="shared" si="2"/>
        <v>219534</v>
      </c>
      <c r="J50" s="728">
        <f t="shared" si="3"/>
        <v>533154</v>
      </c>
      <c r="K50" s="221"/>
    </row>
    <row r="51" spans="1:11" x14ac:dyDescent="0.25">
      <c r="A51" s="220">
        <f t="shared" si="4"/>
        <v>46</v>
      </c>
      <c r="B51" s="260" t="s">
        <v>841</v>
      </c>
      <c r="C51" s="260" t="s">
        <v>886</v>
      </c>
      <c r="D51" s="731">
        <v>2775750</v>
      </c>
      <c r="E51" s="731">
        <v>520777.49</v>
      </c>
      <c r="F51" s="727">
        <f t="shared" si="0"/>
        <v>23489.296666666665</v>
      </c>
      <c r="G51" s="727">
        <f t="shared" si="1"/>
        <v>23489.296666666665</v>
      </c>
      <c r="H51" s="727">
        <v>281871.56</v>
      </c>
      <c r="I51" s="727">
        <f t="shared" si="2"/>
        <v>802649.05</v>
      </c>
      <c r="J51" s="728">
        <f t="shared" si="3"/>
        <v>1973100.95</v>
      </c>
      <c r="K51" s="221"/>
    </row>
    <row r="52" spans="1:11" x14ac:dyDescent="0.25">
      <c r="A52" s="220">
        <f t="shared" si="4"/>
        <v>47</v>
      </c>
      <c r="B52" s="260" t="s">
        <v>841</v>
      </c>
      <c r="C52" s="260" t="s">
        <v>886</v>
      </c>
      <c r="D52" s="731">
        <v>2350000</v>
      </c>
      <c r="E52" s="731">
        <v>470000</v>
      </c>
      <c r="F52" s="727">
        <f t="shared" si="0"/>
        <v>19583.333333333332</v>
      </c>
      <c r="G52" s="727">
        <f t="shared" si="1"/>
        <v>19583.333333333332</v>
      </c>
      <c r="H52" s="727">
        <v>235000</v>
      </c>
      <c r="I52" s="727">
        <f t="shared" si="2"/>
        <v>705000</v>
      </c>
      <c r="J52" s="728">
        <f t="shared" si="3"/>
        <v>1645000</v>
      </c>
      <c r="K52" s="221"/>
    </row>
    <row r="53" spans="1:11" x14ac:dyDescent="0.25">
      <c r="A53" s="220">
        <f t="shared" si="4"/>
        <v>48</v>
      </c>
      <c r="B53" s="260" t="s">
        <v>841</v>
      </c>
      <c r="C53" s="260" t="s">
        <v>886</v>
      </c>
      <c r="D53" s="727">
        <v>2350000</v>
      </c>
      <c r="E53" s="727">
        <v>470000</v>
      </c>
      <c r="F53" s="727">
        <f t="shared" si="0"/>
        <v>19583.333333333332</v>
      </c>
      <c r="G53" s="727">
        <f t="shared" si="1"/>
        <v>19583.333333333332</v>
      </c>
      <c r="H53" s="727">
        <v>235000</v>
      </c>
      <c r="I53" s="727">
        <f t="shared" si="2"/>
        <v>705000</v>
      </c>
      <c r="J53" s="728">
        <f t="shared" si="3"/>
        <v>1645000</v>
      </c>
      <c r="K53" s="221"/>
    </row>
    <row r="54" spans="1:11" x14ac:dyDescent="0.25">
      <c r="A54" s="220">
        <f t="shared" si="4"/>
        <v>49</v>
      </c>
      <c r="B54" s="260" t="s">
        <v>841</v>
      </c>
      <c r="C54" s="260" t="s">
        <v>886</v>
      </c>
      <c r="D54" s="727">
        <v>2350000</v>
      </c>
      <c r="E54" s="727">
        <v>470000</v>
      </c>
      <c r="F54" s="727">
        <f t="shared" si="0"/>
        <v>19583.333333333332</v>
      </c>
      <c r="G54" s="727">
        <f t="shared" si="1"/>
        <v>19583.333333333332</v>
      </c>
      <c r="H54" s="727">
        <v>235000</v>
      </c>
      <c r="I54" s="727">
        <f t="shared" si="2"/>
        <v>705000</v>
      </c>
      <c r="J54" s="728">
        <f t="shared" si="3"/>
        <v>1645000</v>
      </c>
      <c r="K54" s="221"/>
    </row>
    <row r="55" spans="1:11" x14ac:dyDescent="0.25">
      <c r="A55" s="725"/>
      <c r="B55" s="260" t="s">
        <v>841</v>
      </c>
      <c r="C55" s="260" t="s">
        <v>886</v>
      </c>
      <c r="D55" s="727">
        <v>2350000</v>
      </c>
      <c r="E55" s="727">
        <v>470000</v>
      </c>
      <c r="F55" s="727">
        <f t="shared" si="0"/>
        <v>19583.333333333332</v>
      </c>
      <c r="G55" s="727">
        <f t="shared" si="1"/>
        <v>19583.333333333332</v>
      </c>
      <c r="H55" s="727">
        <v>235000</v>
      </c>
      <c r="I55" s="727">
        <f t="shared" si="2"/>
        <v>705000</v>
      </c>
      <c r="J55" s="728">
        <f t="shared" si="3"/>
        <v>1645000</v>
      </c>
      <c r="K55" s="222"/>
    </row>
    <row r="56" spans="1:11" x14ac:dyDescent="0.25">
      <c r="A56" s="260"/>
      <c r="B56" s="260" t="s">
        <v>841</v>
      </c>
      <c r="C56" s="260" t="s">
        <v>887</v>
      </c>
      <c r="D56" s="733">
        <v>4750000</v>
      </c>
      <c r="E56" s="733">
        <v>950000</v>
      </c>
      <c r="F56" s="727">
        <f t="shared" si="0"/>
        <v>39583.333333333336</v>
      </c>
      <c r="G56" s="727">
        <f t="shared" si="1"/>
        <v>39583.333333333336</v>
      </c>
      <c r="H56" s="733">
        <v>475000</v>
      </c>
      <c r="I56" s="727">
        <f t="shared" si="2"/>
        <v>1425000</v>
      </c>
      <c r="J56" s="728">
        <f t="shared" si="3"/>
        <v>3325000</v>
      </c>
      <c r="K56" s="260"/>
    </row>
    <row r="57" spans="1:11" x14ac:dyDescent="0.25">
      <c r="A57" s="260"/>
      <c r="B57" s="260" t="s">
        <v>821</v>
      </c>
      <c r="C57" s="260" t="s">
        <v>888</v>
      </c>
      <c r="D57" s="733">
        <v>7505404</v>
      </c>
      <c r="E57" s="733">
        <v>1375990.7</v>
      </c>
      <c r="F57" s="727">
        <f t="shared" si="0"/>
        <v>62545.033333333333</v>
      </c>
      <c r="G57" s="727">
        <f t="shared" si="1"/>
        <v>62545.033333333333</v>
      </c>
      <c r="H57" s="733">
        <v>750540.4</v>
      </c>
      <c r="I57" s="727">
        <f t="shared" si="2"/>
        <v>2126531.1</v>
      </c>
      <c r="J57" s="728">
        <f t="shared" si="3"/>
        <v>5378872.9000000004</v>
      </c>
      <c r="K57" s="260"/>
    </row>
    <row r="58" spans="1:11" x14ac:dyDescent="0.25">
      <c r="A58" s="260"/>
      <c r="B58" s="260" t="s">
        <v>822</v>
      </c>
      <c r="C58" s="260" t="s">
        <v>889</v>
      </c>
      <c r="D58" s="733">
        <v>82600</v>
      </c>
      <c r="E58" s="733">
        <v>11013.33</v>
      </c>
      <c r="F58" s="727">
        <f t="shared" si="0"/>
        <v>1376.6666666666667</v>
      </c>
      <c r="G58" s="727">
        <f t="shared" si="1"/>
        <v>1376.6666666666667</v>
      </c>
      <c r="H58" s="733">
        <v>16520</v>
      </c>
      <c r="I58" s="727">
        <f t="shared" si="2"/>
        <v>27533.33</v>
      </c>
      <c r="J58" s="728">
        <f t="shared" si="3"/>
        <v>55066.67</v>
      </c>
      <c r="K58" s="260"/>
    </row>
    <row r="59" spans="1:11" x14ac:dyDescent="0.25">
      <c r="A59" s="260"/>
      <c r="B59" s="260" t="s">
        <v>842</v>
      </c>
      <c r="C59" s="260" t="s">
        <v>890</v>
      </c>
      <c r="D59" s="733">
        <v>66198</v>
      </c>
      <c r="E59" s="733">
        <v>3861.55</v>
      </c>
      <c r="F59" s="727">
        <f t="shared" si="0"/>
        <v>551.65</v>
      </c>
      <c r="G59" s="727">
        <f t="shared" si="1"/>
        <v>551.65</v>
      </c>
      <c r="H59" s="733">
        <v>6619.8</v>
      </c>
      <c r="I59" s="727">
        <f t="shared" si="2"/>
        <v>10481.35</v>
      </c>
      <c r="J59" s="728">
        <f t="shared" si="3"/>
        <v>55716.65</v>
      </c>
      <c r="K59" s="260"/>
    </row>
    <row r="60" spans="1:11" x14ac:dyDescent="0.25">
      <c r="A60" s="260"/>
      <c r="B60" s="260" t="s">
        <v>842</v>
      </c>
      <c r="C60" s="260" t="s">
        <v>890</v>
      </c>
      <c r="D60" s="733">
        <v>66198</v>
      </c>
      <c r="E60" s="733">
        <v>3861.55</v>
      </c>
      <c r="F60" s="727">
        <f t="shared" si="0"/>
        <v>551.65</v>
      </c>
      <c r="G60" s="727">
        <f t="shared" si="1"/>
        <v>551.65</v>
      </c>
      <c r="H60" s="733">
        <v>6619.8</v>
      </c>
      <c r="I60" s="727">
        <f t="shared" si="2"/>
        <v>10481.35</v>
      </c>
      <c r="J60" s="728">
        <f t="shared" si="3"/>
        <v>55716.65</v>
      </c>
      <c r="K60" s="260"/>
    </row>
    <row r="61" spans="1:11" x14ac:dyDescent="0.25">
      <c r="A61" s="260"/>
      <c r="B61" s="260" t="s">
        <v>842</v>
      </c>
      <c r="C61" s="260" t="s">
        <v>890</v>
      </c>
      <c r="D61" s="733">
        <v>55000</v>
      </c>
      <c r="E61" s="733">
        <v>3208.33</v>
      </c>
      <c r="F61" s="727">
        <f t="shared" si="0"/>
        <v>458.33333333333331</v>
      </c>
      <c r="G61" s="727">
        <f t="shared" si="1"/>
        <v>458.33333333333331</v>
      </c>
      <c r="H61" s="733">
        <v>5500</v>
      </c>
      <c r="I61" s="727">
        <f t="shared" si="2"/>
        <v>8708.33</v>
      </c>
      <c r="J61" s="728">
        <f t="shared" si="3"/>
        <v>46291.67</v>
      </c>
      <c r="K61" s="260"/>
    </row>
    <row r="62" spans="1:11" x14ac:dyDescent="0.25">
      <c r="A62" s="260"/>
      <c r="B62" s="260" t="s">
        <v>842</v>
      </c>
      <c r="C62" s="260" t="s">
        <v>890</v>
      </c>
      <c r="D62" s="733">
        <v>55000</v>
      </c>
      <c r="E62" s="733">
        <v>3208.33</v>
      </c>
      <c r="F62" s="727">
        <f t="shared" si="0"/>
        <v>458.33333333333331</v>
      </c>
      <c r="G62" s="727">
        <f t="shared" si="1"/>
        <v>458.33333333333331</v>
      </c>
      <c r="H62" s="733">
        <v>5500</v>
      </c>
      <c r="I62" s="727">
        <f t="shared" si="2"/>
        <v>8708.33</v>
      </c>
      <c r="J62" s="728">
        <f t="shared" si="3"/>
        <v>46291.67</v>
      </c>
      <c r="K62" s="260"/>
    </row>
    <row r="63" spans="1:11" x14ac:dyDescent="0.25">
      <c r="A63" s="260"/>
      <c r="B63" s="260" t="s">
        <v>842</v>
      </c>
      <c r="C63" s="260" t="s">
        <v>890</v>
      </c>
      <c r="D63" s="733">
        <v>55000</v>
      </c>
      <c r="E63" s="733">
        <v>3208.33</v>
      </c>
      <c r="F63" s="727">
        <f t="shared" si="0"/>
        <v>458.33333333333331</v>
      </c>
      <c r="G63" s="727">
        <f t="shared" si="1"/>
        <v>458.33333333333331</v>
      </c>
      <c r="H63" s="733">
        <v>5500</v>
      </c>
      <c r="I63" s="727">
        <f t="shared" si="2"/>
        <v>8708.33</v>
      </c>
      <c r="J63" s="728">
        <f t="shared" si="3"/>
        <v>46291.67</v>
      </c>
      <c r="K63" s="260"/>
    </row>
    <row r="64" spans="1:11" x14ac:dyDescent="0.25">
      <c r="A64" s="260"/>
      <c r="B64" s="260" t="s">
        <v>843</v>
      </c>
      <c r="C64" s="260" t="s">
        <v>891</v>
      </c>
      <c r="D64" s="733">
        <v>32000</v>
      </c>
      <c r="E64" s="733">
        <v>1866.66</v>
      </c>
      <c r="F64" s="727">
        <f t="shared" si="0"/>
        <v>266.66666666666669</v>
      </c>
      <c r="G64" s="727">
        <f t="shared" si="1"/>
        <v>266.66666666666669</v>
      </c>
      <c r="H64" s="733">
        <v>3200</v>
      </c>
      <c r="I64" s="727">
        <f t="shared" si="2"/>
        <v>5066.66</v>
      </c>
      <c r="J64" s="728">
        <f t="shared" si="3"/>
        <v>26933.34</v>
      </c>
      <c r="K64" s="260"/>
    </row>
    <row r="65" spans="1:11" x14ac:dyDescent="0.25">
      <c r="A65" s="260"/>
      <c r="B65" s="260" t="s">
        <v>843</v>
      </c>
      <c r="C65" s="260" t="s">
        <v>891</v>
      </c>
      <c r="D65" s="733">
        <v>32000</v>
      </c>
      <c r="E65" s="733">
        <v>1866.66</v>
      </c>
      <c r="F65" s="727">
        <f t="shared" si="0"/>
        <v>266.66666666666669</v>
      </c>
      <c r="G65" s="727">
        <f t="shared" si="1"/>
        <v>266.66666666666669</v>
      </c>
      <c r="H65" s="733">
        <v>3200</v>
      </c>
      <c r="I65" s="727">
        <f t="shared" si="2"/>
        <v>5066.66</v>
      </c>
      <c r="J65" s="728">
        <f t="shared" si="3"/>
        <v>26933.34</v>
      </c>
      <c r="K65" s="260"/>
    </row>
    <row r="66" spans="1:11" x14ac:dyDescent="0.25">
      <c r="A66" s="260"/>
      <c r="B66" s="260" t="s">
        <v>838</v>
      </c>
      <c r="C66" s="260" t="s">
        <v>892</v>
      </c>
      <c r="D66" s="733">
        <v>1051408</v>
      </c>
      <c r="E66" s="733">
        <v>61332.13</v>
      </c>
      <c r="F66" s="727">
        <f t="shared" si="0"/>
        <v>8761.7333333333336</v>
      </c>
      <c r="G66" s="727">
        <f t="shared" si="1"/>
        <v>8761.7333333333336</v>
      </c>
      <c r="H66" s="733">
        <v>105140.8</v>
      </c>
      <c r="I66" s="727">
        <f t="shared" si="2"/>
        <v>166472.93</v>
      </c>
      <c r="J66" s="728">
        <f t="shared" si="3"/>
        <v>884935.07000000007</v>
      </c>
      <c r="K66" s="260"/>
    </row>
    <row r="67" spans="1:11" x14ac:dyDescent="0.25">
      <c r="A67" s="260"/>
      <c r="B67" s="260" t="s">
        <v>838</v>
      </c>
      <c r="C67" s="260" t="s">
        <v>893</v>
      </c>
      <c r="D67" s="733">
        <v>1942144</v>
      </c>
      <c r="E67" s="733">
        <v>113291.73</v>
      </c>
      <c r="F67" s="727">
        <f t="shared" si="0"/>
        <v>16184.533333333333</v>
      </c>
      <c r="G67" s="727">
        <f t="shared" si="1"/>
        <v>16184.533333333333</v>
      </c>
      <c r="H67" s="733">
        <v>194214.39999999999</v>
      </c>
      <c r="I67" s="727">
        <f t="shared" si="2"/>
        <v>307506.13</v>
      </c>
      <c r="J67" s="728">
        <f t="shared" si="3"/>
        <v>1634637.87</v>
      </c>
      <c r="K67" s="260"/>
    </row>
    <row r="68" spans="1:11" x14ac:dyDescent="0.25">
      <c r="A68" s="260"/>
      <c r="B68" s="260" t="s">
        <v>838</v>
      </c>
      <c r="C68" s="260" t="s">
        <v>892</v>
      </c>
      <c r="D68" s="733">
        <v>1051407</v>
      </c>
      <c r="E68" s="733">
        <v>61332.07</v>
      </c>
      <c r="F68" s="727">
        <f t="shared" si="0"/>
        <v>8761.7250000000004</v>
      </c>
      <c r="G68" s="727">
        <f t="shared" si="1"/>
        <v>8761.7250000000004</v>
      </c>
      <c r="H68" s="733">
        <v>105140.7</v>
      </c>
      <c r="I68" s="727">
        <f t="shared" si="2"/>
        <v>166472.76999999999</v>
      </c>
      <c r="J68" s="728">
        <f t="shared" si="3"/>
        <v>884934.23</v>
      </c>
      <c r="K68" s="260"/>
    </row>
    <row r="69" spans="1:11" x14ac:dyDescent="0.25">
      <c r="A69" s="260"/>
      <c r="B69" s="260" t="s">
        <v>844</v>
      </c>
      <c r="C69" s="260" t="s">
        <v>894</v>
      </c>
      <c r="D69" s="733">
        <v>117764</v>
      </c>
      <c r="E69" s="733">
        <v>6869.56</v>
      </c>
      <c r="F69" s="727">
        <f t="shared" si="0"/>
        <v>981.36666666666667</v>
      </c>
      <c r="G69" s="727">
        <f t="shared" si="1"/>
        <v>981.36666666666667</v>
      </c>
      <c r="H69" s="733">
        <v>11776.4</v>
      </c>
      <c r="I69" s="727">
        <f t="shared" si="2"/>
        <v>18645.96</v>
      </c>
      <c r="J69" s="728">
        <f t="shared" si="3"/>
        <v>99118.040000000008</v>
      </c>
      <c r="K69" s="260"/>
    </row>
    <row r="70" spans="1:11" x14ac:dyDescent="0.25">
      <c r="A70" s="260"/>
      <c r="B70" s="260" t="s">
        <v>839</v>
      </c>
      <c r="C70" s="260" t="s">
        <v>895</v>
      </c>
      <c r="D70" s="733">
        <v>268275</v>
      </c>
      <c r="E70" s="733">
        <v>40241.07</v>
      </c>
      <c r="F70" s="727">
        <f t="shared" si="0"/>
        <v>4471.2333333333336</v>
      </c>
      <c r="G70" s="727">
        <f t="shared" si="1"/>
        <v>4471.2333333333336</v>
      </c>
      <c r="H70" s="733">
        <v>53654.8</v>
      </c>
      <c r="I70" s="727">
        <f t="shared" si="2"/>
        <v>93895.87</v>
      </c>
      <c r="J70" s="728">
        <f t="shared" si="3"/>
        <v>174379.13</v>
      </c>
      <c r="K70" s="260"/>
    </row>
    <row r="71" spans="1:11" x14ac:dyDescent="0.25">
      <c r="A71" s="260"/>
      <c r="B71" s="260" t="s">
        <v>845</v>
      </c>
      <c r="C71" s="260" t="s">
        <v>896</v>
      </c>
      <c r="D71" s="733">
        <v>67924</v>
      </c>
      <c r="E71" s="733">
        <v>3962.23</v>
      </c>
      <c r="F71" s="727">
        <f t="shared" ref="F71:F87" si="5">H71/12</f>
        <v>566.0333333333333</v>
      </c>
      <c r="G71" s="727">
        <f t="shared" ref="G71:G87" si="6">F71*1</f>
        <v>566.0333333333333</v>
      </c>
      <c r="H71" s="733">
        <v>6792.4</v>
      </c>
      <c r="I71" s="727">
        <f t="shared" ref="I71:I86" si="7">E71+H71</f>
        <v>10754.63</v>
      </c>
      <c r="J71" s="728">
        <f t="shared" ref="J71:J86" si="8">D71-I71</f>
        <v>57169.37</v>
      </c>
      <c r="K71" s="260"/>
    </row>
    <row r="72" spans="1:11" x14ac:dyDescent="0.25">
      <c r="A72" s="260"/>
      <c r="B72" s="260" t="s">
        <v>842</v>
      </c>
      <c r="C72" s="260" t="s">
        <v>897</v>
      </c>
      <c r="D72" s="733">
        <v>134375</v>
      </c>
      <c r="E72" s="733">
        <v>7838.54</v>
      </c>
      <c r="F72" s="727">
        <f t="shared" si="5"/>
        <v>1119.7916666666667</v>
      </c>
      <c r="G72" s="727">
        <f t="shared" si="6"/>
        <v>1119.7916666666667</v>
      </c>
      <c r="H72" s="733">
        <v>13437.5</v>
      </c>
      <c r="I72" s="727">
        <f t="shared" si="7"/>
        <v>21276.04</v>
      </c>
      <c r="J72" s="728">
        <f t="shared" si="8"/>
        <v>113098.95999999999</v>
      </c>
      <c r="K72" s="260"/>
    </row>
    <row r="73" spans="1:11" x14ac:dyDescent="0.25">
      <c r="A73" s="260"/>
      <c r="B73" s="260" t="s">
        <v>846</v>
      </c>
      <c r="C73" s="260" t="s">
        <v>898</v>
      </c>
      <c r="D73" s="733">
        <v>179901</v>
      </c>
      <c r="E73" s="733">
        <v>10494.22</v>
      </c>
      <c r="F73" s="727">
        <f t="shared" si="5"/>
        <v>1499.175</v>
      </c>
      <c r="G73" s="727">
        <f t="shared" si="6"/>
        <v>1499.175</v>
      </c>
      <c r="H73" s="733">
        <v>17990.099999999999</v>
      </c>
      <c r="I73" s="727">
        <f t="shared" si="7"/>
        <v>28484.32</v>
      </c>
      <c r="J73" s="728">
        <f t="shared" si="8"/>
        <v>151416.68</v>
      </c>
      <c r="K73" s="260"/>
    </row>
    <row r="74" spans="1:11" x14ac:dyDescent="0.25">
      <c r="A74" s="260"/>
      <c r="B74" s="260" t="s">
        <v>846</v>
      </c>
      <c r="C74" s="260" t="s">
        <v>899</v>
      </c>
      <c r="D74" s="733">
        <v>152201</v>
      </c>
      <c r="E74" s="733">
        <v>8878.39</v>
      </c>
      <c r="F74" s="727">
        <f t="shared" si="5"/>
        <v>1268.3416666666667</v>
      </c>
      <c r="G74" s="727">
        <f t="shared" si="6"/>
        <v>1268.3416666666667</v>
      </c>
      <c r="H74" s="733">
        <v>15220.1</v>
      </c>
      <c r="I74" s="727">
        <f t="shared" si="7"/>
        <v>24098.489999999998</v>
      </c>
      <c r="J74" s="728">
        <f t="shared" si="8"/>
        <v>128102.51000000001</v>
      </c>
      <c r="K74" s="260"/>
    </row>
    <row r="75" spans="1:11" x14ac:dyDescent="0.25">
      <c r="A75" s="260"/>
      <c r="B75" s="260" t="s">
        <v>846</v>
      </c>
      <c r="C75" s="260" t="s">
        <v>898</v>
      </c>
      <c r="D75" s="733">
        <v>179901</v>
      </c>
      <c r="E75" s="733">
        <v>10494.22</v>
      </c>
      <c r="F75" s="727">
        <f t="shared" si="5"/>
        <v>1499.175</v>
      </c>
      <c r="G75" s="727">
        <f t="shared" si="6"/>
        <v>1499.175</v>
      </c>
      <c r="H75" s="733">
        <v>17990.099999999999</v>
      </c>
      <c r="I75" s="727">
        <f t="shared" si="7"/>
        <v>28484.32</v>
      </c>
      <c r="J75" s="728">
        <f t="shared" si="8"/>
        <v>151416.68</v>
      </c>
      <c r="K75" s="260"/>
    </row>
    <row r="76" spans="1:11" x14ac:dyDescent="0.25">
      <c r="A76" s="260"/>
      <c r="B76" s="260" t="s">
        <v>842</v>
      </c>
      <c r="C76" s="260" t="s">
        <v>890</v>
      </c>
      <c r="D76" s="733">
        <v>55000</v>
      </c>
      <c r="E76" s="733">
        <v>3208.33</v>
      </c>
      <c r="F76" s="727">
        <f t="shared" si="5"/>
        <v>458.33333333333331</v>
      </c>
      <c r="G76" s="727">
        <f t="shared" si="6"/>
        <v>458.33333333333331</v>
      </c>
      <c r="H76" s="733">
        <v>5500</v>
      </c>
      <c r="I76" s="727">
        <f t="shared" si="7"/>
        <v>8708.33</v>
      </c>
      <c r="J76" s="728">
        <f t="shared" si="8"/>
        <v>46291.67</v>
      </c>
      <c r="K76" s="260"/>
    </row>
    <row r="77" spans="1:11" x14ac:dyDescent="0.25">
      <c r="A77" s="260"/>
      <c r="B77" s="260" t="s">
        <v>842</v>
      </c>
      <c r="C77" s="260" t="s">
        <v>890</v>
      </c>
      <c r="D77" s="733">
        <v>55000</v>
      </c>
      <c r="E77" s="733">
        <v>3208.33</v>
      </c>
      <c r="F77" s="727">
        <f t="shared" si="5"/>
        <v>458.33333333333331</v>
      </c>
      <c r="G77" s="727">
        <f t="shared" si="6"/>
        <v>458.33333333333331</v>
      </c>
      <c r="H77" s="733">
        <v>5500</v>
      </c>
      <c r="I77" s="727">
        <f t="shared" si="7"/>
        <v>8708.33</v>
      </c>
      <c r="J77" s="728">
        <f t="shared" si="8"/>
        <v>46291.67</v>
      </c>
      <c r="K77" s="260"/>
    </row>
    <row r="78" spans="1:11" x14ac:dyDescent="0.25">
      <c r="A78" s="260"/>
      <c r="B78" s="260" t="s">
        <v>842</v>
      </c>
      <c r="C78" s="260" t="s">
        <v>890</v>
      </c>
      <c r="D78" s="733">
        <v>55000</v>
      </c>
      <c r="E78" s="733">
        <v>3208.33</v>
      </c>
      <c r="F78" s="727">
        <f t="shared" si="5"/>
        <v>458.33333333333331</v>
      </c>
      <c r="G78" s="727">
        <f t="shared" si="6"/>
        <v>458.33333333333331</v>
      </c>
      <c r="H78" s="733">
        <v>5500</v>
      </c>
      <c r="I78" s="727">
        <f t="shared" si="7"/>
        <v>8708.33</v>
      </c>
      <c r="J78" s="728">
        <f t="shared" si="8"/>
        <v>46291.67</v>
      </c>
      <c r="K78" s="260"/>
    </row>
    <row r="79" spans="1:11" x14ac:dyDescent="0.25">
      <c r="A79" s="260"/>
      <c r="B79" s="260" t="s">
        <v>842</v>
      </c>
      <c r="C79" s="260" t="s">
        <v>890</v>
      </c>
      <c r="D79" s="733">
        <v>55000</v>
      </c>
      <c r="E79" s="733">
        <v>3208.33</v>
      </c>
      <c r="F79" s="727">
        <f t="shared" si="5"/>
        <v>458.33333333333331</v>
      </c>
      <c r="G79" s="727">
        <f t="shared" si="6"/>
        <v>458.33333333333331</v>
      </c>
      <c r="H79" s="733">
        <v>5500</v>
      </c>
      <c r="I79" s="727">
        <f t="shared" si="7"/>
        <v>8708.33</v>
      </c>
      <c r="J79" s="728">
        <f t="shared" si="8"/>
        <v>46291.67</v>
      </c>
      <c r="K79" s="260"/>
    </row>
    <row r="80" spans="1:11" x14ac:dyDescent="0.25">
      <c r="A80" s="260"/>
      <c r="B80" s="260" t="s">
        <v>842</v>
      </c>
      <c r="C80" s="260" t="s">
        <v>890</v>
      </c>
      <c r="D80" s="733">
        <v>55000</v>
      </c>
      <c r="E80" s="733">
        <v>3208.33</v>
      </c>
      <c r="F80" s="727">
        <f t="shared" si="5"/>
        <v>458.33333333333331</v>
      </c>
      <c r="G80" s="727">
        <f t="shared" si="6"/>
        <v>458.33333333333331</v>
      </c>
      <c r="H80" s="733">
        <v>5500</v>
      </c>
      <c r="I80" s="727">
        <f t="shared" si="7"/>
        <v>8708.33</v>
      </c>
      <c r="J80" s="728">
        <f t="shared" si="8"/>
        <v>46291.67</v>
      </c>
      <c r="K80" s="260"/>
    </row>
    <row r="81" spans="1:11" x14ac:dyDescent="0.25">
      <c r="A81" s="260"/>
      <c r="B81" s="260" t="s">
        <v>842</v>
      </c>
      <c r="C81" s="260" t="s">
        <v>890</v>
      </c>
      <c r="D81" s="733">
        <v>55000</v>
      </c>
      <c r="E81" s="733">
        <v>3208.33</v>
      </c>
      <c r="F81" s="727">
        <f t="shared" si="5"/>
        <v>458.33333333333331</v>
      </c>
      <c r="G81" s="727">
        <f t="shared" si="6"/>
        <v>458.33333333333331</v>
      </c>
      <c r="H81" s="733">
        <v>5500</v>
      </c>
      <c r="I81" s="727">
        <f t="shared" si="7"/>
        <v>8708.33</v>
      </c>
      <c r="J81" s="728">
        <f t="shared" si="8"/>
        <v>46291.67</v>
      </c>
      <c r="K81" s="260"/>
    </row>
    <row r="82" spans="1:11" x14ac:dyDescent="0.25">
      <c r="A82" s="260"/>
      <c r="B82" s="260" t="s">
        <v>842</v>
      </c>
      <c r="C82" s="260" t="s">
        <v>890</v>
      </c>
      <c r="D82" s="733">
        <v>55000</v>
      </c>
      <c r="E82" s="733">
        <v>3208.33</v>
      </c>
      <c r="F82" s="727">
        <f t="shared" si="5"/>
        <v>458.33333333333331</v>
      </c>
      <c r="G82" s="727">
        <f t="shared" si="6"/>
        <v>458.33333333333331</v>
      </c>
      <c r="H82" s="733">
        <v>5500</v>
      </c>
      <c r="I82" s="727">
        <f t="shared" si="7"/>
        <v>8708.33</v>
      </c>
      <c r="J82" s="728">
        <f t="shared" si="8"/>
        <v>46291.67</v>
      </c>
      <c r="K82" s="260"/>
    </row>
    <row r="83" spans="1:11" x14ac:dyDescent="0.25">
      <c r="A83" s="260"/>
      <c r="B83" s="260" t="s">
        <v>822</v>
      </c>
      <c r="C83" s="260" t="s">
        <v>889</v>
      </c>
      <c r="D83" s="733">
        <v>29639</v>
      </c>
      <c r="E83" s="733">
        <v>3457.88</v>
      </c>
      <c r="F83" s="727">
        <f t="shared" si="5"/>
        <v>493.98333333333335</v>
      </c>
      <c r="G83" s="727">
        <f t="shared" si="6"/>
        <v>493.98333333333335</v>
      </c>
      <c r="H83" s="733">
        <v>5927.8</v>
      </c>
      <c r="I83" s="727">
        <f t="shared" si="7"/>
        <v>9385.68</v>
      </c>
      <c r="J83" s="728">
        <f t="shared" si="8"/>
        <v>20253.32</v>
      </c>
      <c r="K83" s="260"/>
    </row>
    <row r="84" spans="1:11" x14ac:dyDescent="0.25">
      <c r="A84" s="260"/>
      <c r="B84" s="260" t="s">
        <v>822</v>
      </c>
      <c r="C84" s="260" t="s">
        <v>889</v>
      </c>
      <c r="D84" s="733">
        <v>29639</v>
      </c>
      <c r="E84" s="733">
        <v>3457.88</v>
      </c>
      <c r="F84" s="727">
        <f t="shared" si="5"/>
        <v>493.98333333333335</v>
      </c>
      <c r="G84" s="727">
        <f t="shared" si="6"/>
        <v>493.98333333333335</v>
      </c>
      <c r="H84" s="733">
        <v>5927.8</v>
      </c>
      <c r="I84" s="727">
        <f t="shared" si="7"/>
        <v>9385.68</v>
      </c>
      <c r="J84" s="728">
        <f t="shared" si="8"/>
        <v>20253.32</v>
      </c>
      <c r="K84" s="260"/>
    </row>
    <row r="85" spans="1:11" x14ac:dyDescent="0.25">
      <c r="A85" s="260"/>
      <c r="B85" s="260" t="s">
        <v>842</v>
      </c>
      <c r="C85" s="260" t="s">
        <v>900</v>
      </c>
      <c r="D85" s="733">
        <v>127968.75</v>
      </c>
      <c r="E85" s="733">
        <v>6398.43</v>
      </c>
      <c r="F85" s="727">
        <f t="shared" si="5"/>
        <v>1066.4058333333335</v>
      </c>
      <c r="G85" s="727">
        <f t="shared" si="6"/>
        <v>1066.4058333333335</v>
      </c>
      <c r="H85" s="733">
        <v>12796.87</v>
      </c>
      <c r="I85" s="727">
        <f t="shared" si="7"/>
        <v>19195.300000000003</v>
      </c>
      <c r="J85" s="728">
        <f t="shared" si="8"/>
        <v>108773.45</v>
      </c>
      <c r="K85" s="260"/>
    </row>
    <row r="86" spans="1:11" x14ac:dyDescent="0.25">
      <c r="A86" s="260"/>
      <c r="B86" s="260" t="s">
        <v>842</v>
      </c>
      <c r="C86" s="260" t="s">
        <v>900</v>
      </c>
      <c r="D86" s="733">
        <v>127968.75</v>
      </c>
      <c r="E86" s="733">
        <v>6398.43</v>
      </c>
      <c r="F86" s="727">
        <f t="shared" si="5"/>
        <v>1066.4058333333335</v>
      </c>
      <c r="G86" s="727">
        <f t="shared" si="6"/>
        <v>1066.4058333333335</v>
      </c>
      <c r="H86" s="733">
        <v>12796.87</v>
      </c>
      <c r="I86" s="727">
        <f t="shared" si="7"/>
        <v>19195.300000000003</v>
      </c>
      <c r="J86" s="728">
        <f t="shared" si="8"/>
        <v>108773.45</v>
      </c>
      <c r="K86" s="260"/>
    </row>
    <row r="87" spans="1:11" x14ac:dyDescent="0.25">
      <c r="A87" s="260"/>
      <c r="B87" s="260"/>
      <c r="C87" s="260"/>
      <c r="D87" s="733"/>
      <c r="E87" s="733"/>
      <c r="F87" s="737">
        <f t="shared" si="5"/>
        <v>499500</v>
      </c>
      <c r="G87" s="737">
        <f t="shared" si="6"/>
        <v>499500</v>
      </c>
      <c r="H87" s="738">
        <v>5994000</v>
      </c>
      <c r="I87" s="735"/>
      <c r="J87" s="736"/>
      <c r="K87" s="260"/>
    </row>
    <row r="88" spans="1:11" x14ac:dyDescent="0.25">
      <c r="A88" s="260"/>
      <c r="B88" s="260"/>
      <c r="C88" s="260"/>
      <c r="D88" s="733"/>
      <c r="E88" s="734">
        <f t="shared" ref="E88:G88" si="9">SUM(E6:E87)/1000000</f>
        <v>79.178884699999941</v>
      </c>
      <c r="F88" s="734">
        <f t="shared" si="9"/>
        <v>1.7136007058333331</v>
      </c>
      <c r="G88" s="734">
        <f t="shared" si="9"/>
        <v>1.7136007058333331</v>
      </c>
      <c r="H88" s="734">
        <f>SUM(H6:H87)/1000000</f>
        <v>20.563208470000006</v>
      </c>
      <c r="I88" s="734">
        <f t="shared" ref="I88:J88" si="10">SUM(I6:I87)/1000000</f>
        <v>93.748093169999933</v>
      </c>
      <c r="J88" s="734">
        <f t="shared" si="10"/>
        <v>123.19173680000007</v>
      </c>
      <c r="K88" s="260"/>
    </row>
  </sheetData>
  <mergeCells count="2">
    <mergeCell ref="A3:K3"/>
    <mergeCell ref="A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M13" sqref="M13"/>
    </sheetView>
  </sheetViews>
  <sheetFormatPr defaultRowHeight="15" x14ac:dyDescent="0.25"/>
  <cols>
    <col min="1" max="1" width="2.140625" bestFit="1" customWidth="1"/>
    <col min="2" max="2" width="5.28515625" customWidth="1"/>
    <col min="3" max="3" width="2.7109375" bestFit="1" customWidth="1"/>
    <col min="4" max="4" width="45" bestFit="1" customWidth="1"/>
    <col min="6" max="6" width="10.42578125" bestFit="1" customWidth="1"/>
    <col min="7" max="7" width="23.42578125" bestFit="1" customWidth="1"/>
  </cols>
  <sheetData>
    <row r="1" spans="1:7" x14ac:dyDescent="0.25">
      <c r="A1" s="864" t="s">
        <v>362</v>
      </c>
      <c r="B1" s="864"/>
      <c r="C1" s="864"/>
      <c r="D1" s="864"/>
      <c r="E1" s="864"/>
      <c r="F1" s="864"/>
      <c r="G1" s="864"/>
    </row>
    <row r="2" spans="1:7" ht="15.75" x14ac:dyDescent="0.25">
      <c r="A2" s="114"/>
      <c r="B2" s="114"/>
      <c r="C2" s="114"/>
      <c r="D2" s="114"/>
      <c r="E2" s="114"/>
      <c r="F2" s="114"/>
      <c r="G2" s="223" t="str">
        <f>"MONTH - "&amp;[3]Summary!$D$8</f>
        <v>MONTH - MAR, 2024</v>
      </c>
    </row>
    <row r="3" spans="1:7" ht="15.75" x14ac:dyDescent="0.25">
      <c r="A3" s="863" t="s">
        <v>363</v>
      </c>
      <c r="B3" s="863"/>
      <c r="C3" s="863"/>
      <c r="D3" s="863"/>
      <c r="E3" s="863"/>
      <c r="F3" s="863"/>
      <c r="G3" s="863"/>
    </row>
    <row r="4" spans="1:7" ht="15.75" x14ac:dyDescent="0.25">
      <c r="A4" s="865"/>
      <c r="B4" s="863"/>
      <c r="C4" s="863"/>
      <c r="D4" s="863"/>
      <c r="E4" s="863"/>
      <c r="F4" s="863"/>
      <c r="G4" s="863"/>
    </row>
    <row r="5" spans="1:7" ht="15.75" x14ac:dyDescent="0.25">
      <c r="A5" s="865" t="str">
        <f>'[3]Anx J'!A2:U2</f>
        <v>Re-Modelling and Up Gradation of ADA Nullah and Walton Road Pkg-I</v>
      </c>
      <c r="B5" s="863"/>
      <c r="C5" s="863"/>
      <c r="D5" s="863"/>
      <c r="E5" s="863"/>
      <c r="F5" s="863"/>
      <c r="G5" s="863"/>
    </row>
    <row r="6" spans="1:7" ht="15.75" thickBot="1" x14ac:dyDescent="0.3">
      <c r="A6" s="33"/>
      <c r="B6" s="33"/>
      <c r="C6" s="33"/>
      <c r="D6" s="33"/>
      <c r="E6" s="33"/>
      <c r="F6" s="33"/>
      <c r="G6" s="47"/>
    </row>
    <row r="7" spans="1:7" ht="15.75" thickBot="1" x14ac:dyDescent="0.3">
      <c r="A7" s="5">
        <v>1</v>
      </c>
      <c r="B7" s="63" t="s">
        <v>364</v>
      </c>
      <c r="C7" s="33"/>
      <c r="D7" s="33"/>
      <c r="E7" s="33"/>
      <c r="F7" s="33"/>
      <c r="G7" s="224" t="s">
        <v>365</v>
      </c>
    </row>
    <row r="8" spans="1:7" x14ac:dyDescent="0.25">
      <c r="A8" s="5"/>
      <c r="B8" s="63"/>
      <c r="C8" s="33"/>
      <c r="D8" s="33"/>
      <c r="E8" s="33"/>
      <c r="F8" s="33"/>
      <c r="G8" s="225"/>
    </row>
    <row r="9" spans="1:7" x14ac:dyDescent="0.25">
      <c r="A9" s="34"/>
      <c r="B9" s="33"/>
      <c r="C9" s="33" t="s">
        <v>7</v>
      </c>
      <c r="D9" s="33" t="s">
        <v>366</v>
      </c>
      <c r="E9" s="33"/>
      <c r="F9" s="33" t="s">
        <v>367</v>
      </c>
      <c r="G9" s="866">
        <f>'Anx-F'!N379/1000000</f>
        <v>584.11683485000003</v>
      </c>
    </row>
    <row r="10" spans="1:7" x14ac:dyDescent="0.25">
      <c r="A10" s="34"/>
      <c r="B10" s="33"/>
      <c r="C10" s="33" t="s">
        <v>7</v>
      </c>
      <c r="D10" s="33" t="s">
        <v>368</v>
      </c>
      <c r="E10" s="33"/>
      <c r="F10" s="218">
        <v>0</v>
      </c>
      <c r="G10" s="867"/>
    </row>
    <row r="11" spans="1:7" x14ac:dyDescent="0.25">
      <c r="A11" s="34"/>
      <c r="B11" s="33"/>
      <c r="C11" s="33" t="s">
        <v>12</v>
      </c>
      <c r="D11" s="33" t="s">
        <v>369</v>
      </c>
      <c r="E11" s="33"/>
      <c r="F11" s="218">
        <v>0</v>
      </c>
      <c r="G11" s="226"/>
    </row>
    <row r="12" spans="1:7" x14ac:dyDescent="0.25">
      <c r="A12" s="34"/>
      <c r="B12" s="33"/>
      <c r="C12" s="33" t="s">
        <v>12</v>
      </c>
      <c r="D12" s="33" t="s">
        <v>370</v>
      </c>
      <c r="E12" s="33"/>
      <c r="F12" s="218">
        <v>0</v>
      </c>
      <c r="G12" s="226">
        <f>'Anx-F'!F379/1000000</f>
        <v>295.1871464080001</v>
      </c>
    </row>
    <row r="13" spans="1:7" x14ac:dyDescent="0.25">
      <c r="A13" s="34"/>
      <c r="B13" s="33"/>
      <c r="C13" s="33" t="s">
        <v>14</v>
      </c>
      <c r="D13" s="33" t="s">
        <v>690</v>
      </c>
      <c r="E13" s="33"/>
      <c r="F13" s="218">
        <v>0</v>
      </c>
      <c r="G13" s="227">
        <f>'Anx-F'!G379/1000000</f>
        <v>72.912190150000001</v>
      </c>
    </row>
    <row r="14" spans="1:7" x14ac:dyDescent="0.25">
      <c r="A14" s="34"/>
      <c r="B14" s="33"/>
      <c r="C14" s="33" t="s">
        <v>20</v>
      </c>
      <c r="D14" s="33" t="s">
        <v>371</v>
      </c>
      <c r="E14" s="33"/>
      <c r="F14" s="218">
        <v>0</v>
      </c>
      <c r="G14" s="226"/>
    </row>
    <row r="15" spans="1:7" x14ac:dyDescent="0.25">
      <c r="A15" s="34"/>
      <c r="B15" s="33"/>
      <c r="C15" s="33" t="s">
        <v>22</v>
      </c>
      <c r="D15" s="33" t="s">
        <v>222</v>
      </c>
      <c r="E15" s="33"/>
      <c r="F15" s="218">
        <v>0</v>
      </c>
      <c r="G15" s="226"/>
    </row>
    <row r="16" spans="1:7" x14ac:dyDescent="0.25">
      <c r="A16" s="34"/>
      <c r="B16" s="33"/>
      <c r="C16" s="33" t="s">
        <v>24</v>
      </c>
      <c r="D16" s="33"/>
      <c r="E16" s="33"/>
      <c r="F16" s="33"/>
      <c r="G16" s="226"/>
    </row>
    <row r="17" spans="1:9" x14ac:dyDescent="0.25">
      <c r="A17" s="34"/>
      <c r="B17" s="33"/>
      <c r="C17" s="33"/>
      <c r="D17" s="68" t="s">
        <v>372</v>
      </c>
      <c r="E17" s="33"/>
      <c r="F17" s="60">
        <f>SUM(F10:F16)</f>
        <v>0</v>
      </c>
      <c r="G17" s="228">
        <f>SUM(G9:G16)</f>
        <v>952.21617140800015</v>
      </c>
    </row>
    <row r="18" spans="1:9" x14ac:dyDescent="0.25">
      <c r="A18" s="34"/>
      <c r="B18" s="33"/>
      <c r="C18" s="33"/>
      <c r="D18" s="68"/>
      <c r="E18" s="33"/>
      <c r="F18" s="33"/>
      <c r="G18" s="229"/>
    </row>
    <row r="19" spans="1:9" x14ac:dyDescent="0.25">
      <c r="A19" s="34"/>
      <c r="B19" s="33"/>
      <c r="C19" s="33"/>
      <c r="D19" s="68"/>
      <c r="E19" s="33"/>
      <c r="F19" s="33"/>
      <c r="G19" s="229"/>
    </row>
    <row r="20" spans="1:9" x14ac:dyDescent="0.25">
      <c r="A20" s="5">
        <v>2</v>
      </c>
      <c r="B20" s="63" t="s">
        <v>373</v>
      </c>
      <c r="C20" s="33"/>
      <c r="D20" s="33"/>
      <c r="E20" s="33"/>
      <c r="F20" s="33"/>
      <c r="G20" s="230"/>
    </row>
    <row r="21" spans="1:9" x14ac:dyDescent="0.25">
      <c r="A21" s="34"/>
      <c r="B21" s="33"/>
      <c r="C21" s="33" t="s">
        <v>7</v>
      </c>
      <c r="D21" s="33" t="s">
        <v>374</v>
      </c>
      <c r="E21" s="33"/>
      <c r="F21" s="37">
        <f>L21</f>
        <v>0</v>
      </c>
      <c r="G21" s="337" t="e">
        <f>I21/1000000</f>
        <v>#REF!</v>
      </c>
      <c r="I21" t="e">
        <f>#REF!-#REF!</f>
        <v>#REF!</v>
      </c>
    </row>
    <row r="22" spans="1:9" x14ac:dyDescent="0.25">
      <c r="A22" s="34"/>
      <c r="B22" s="33"/>
      <c r="C22" s="33" t="s">
        <v>12</v>
      </c>
      <c r="D22" s="33" t="s">
        <v>375</v>
      </c>
      <c r="E22" s="33"/>
      <c r="F22" s="37">
        <f>L22</f>
        <v>0</v>
      </c>
      <c r="G22" s="704" t="e">
        <f>I22/1000000</f>
        <v>#REF!</v>
      </c>
      <c r="I22" t="e">
        <f>#REF!-#REF!</f>
        <v>#REF!</v>
      </c>
    </row>
    <row r="23" spans="1:9" x14ac:dyDescent="0.25">
      <c r="A23" s="34"/>
      <c r="B23" s="33"/>
      <c r="C23" s="33" t="s">
        <v>14</v>
      </c>
      <c r="D23" s="33" t="s">
        <v>376</v>
      </c>
      <c r="E23" s="33"/>
      <c r="F23" s="37">
        <f>L23</f>
        <v>0</v>
      </c>
      <c r="G23" s="704"/>
    </row>
    <row r="24" spans="1:9" x14ac:dyDescent="0.25">
      <c r="A24" s="5"/>
      <c r="B24" s="63"/>
      <c r="C24" s="33"/>
      <c r="D24" s="68" t="s">
        <v>372</v>
      </c>
      <c r="E24" s="33"/>
      <c r="F24" s="37">
        <f>SUM(F21:F23)</f>
        <v>0</v>
      </c>
      <c r="G24" s="37" t="e">
        <f>SUM(G21:G23)</f>
        <v>#REF!</v>
      </c>
    </row>
    <row r="25" spans="1:9" x14ac:dyDescent="0.25">
      <c r="A25" s="5"/>
      <c r="B25" s="63"/>
      <c r="C25" s="33"/>
      <c r="D25" s="33"/>
      <c r="E25" s="33"/>
      <c r="F25" s="37"/>
      <c r="G25" s="231"/>
    </row>
    <row r="26" spans="1:9" x14ac:dyDescent="0.25">
      <c r="A26" s="34"/>
      <c r="B26" s="33"/>
      <c r="C26" s="33"/>
      <c r="D26" s="68" t="s">
        <v>273</v>
      </c>
      <c r="E26" s="33"/>
      <c r="F26" s="37">
        <f>F17+F24</f>
        <v>0</v>
      </c>
      <c r="G26" s="37" t="e">
        <f>G17+G24</f>
        <v>#REF!</v>
      </c>
    </row>
    <row r="27" spans="1:9" x14ac:dyDescent="0.25">
      <c r="F27" s="37"/>
    </row>
  </sheetData>
  <mergeCells count="5">
    <mergeCell ref="A1:G1"/>
    <mergeCell ref="A3:G3"/>
    <mergeCell ref="A4:G4"/>
    <mergeCell ref="A5:G5"/>
    <mergeCell ref="G9:G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30" workbookViewId="0">
      <selection activeCell="A51" sqref="A51"/>
    </sheetView>
  </sheetViews>
  <sheetFormatPr defaultRowHeight="15" x14ac:dyDescent="0.25"/>
  <cols>
    <col min="1" max="1" width="5.28515625" customWidth="1"/>
    <col min="2" max="2" width="41.42578125" bestFit="1" customWidth="1"/>
    <col min="3" max="3" width="20.5703125" bestFit="1" customWidth="1"/>
    <col min="4" max="4" width="11.5703125" bestFit="1" customWidth="1"/>
    <col min="5" max="7" width="13.28515625" customWidth="1"/>
  </cols>
  <sheetData>
    <row r="1" spans="1:7" x14ac:dyDescent="0.25">
      <c r="A1" s="872" t="s">
        <v>377</v>
      </c>
      <c r="B1" s="872"/>
      <c r="C1" s="872"/>
      <c r="D1" s="872"/>
      <c r="E1" s="872"/>
      <c r="F1" s="872"/>
      <c r="G1" s="872"/>
    </row>
    <row r="2" spans="1:7" ht="15.75" x14ac:dyDescent="0.25">
      <c r="A2" s="112"/>
      <c r="B2" s="112"/>
      <c r="C2" s="112"/>
      <c r="D2" s="112"/>
      <c r="E2" s="112"/>
      <c r="F2" s="112"/>
      <c r="G2" s="117" t="str">
        <f>'[3]Anx M'!G2</f>
        <v>MONTH - MAR, 2024</v>
      </c>
    </row>
    <row r="3" spans="1:7" ht="15.75" x14ac:dyDescent="0.25">
      <c r="A3" s="863" t="s">
        <v>378</v>
      </c>
      <c r="B3" s="863"/>
      <c r="C3" s="863"/>
      <c r="D3" s="863"/>
      <c r="E3" s="863"/>
      <c r="F3" s="863"/>
      <c r="G3" s="863"/>
    </row>
    <row r="4" spans="1:7" ht="15.75" x14ac:dyDescent="0.25">
      <c r="A4" s="873" t="str">
        <f>'[3]Anx M'!A5:G5</f>
        <v>Re-Modelling and Up Gradation of ADA Nullah and Walton Road Pkg-I</v>
      </c>
      <c r="B4" s="857"/>
      <c r="C4" s="857"/>
      <c r="D4" s="857"/>
      <c r="E4" s="857"/>
      <c r="F4" s="857"/>
      <c r="G4" s="857"/>
    </row>
    <row r="5" spans="1:7" x14ac:dyDescent="0.25">
      <c r="A5" s="35" t="s">
        <v>379</v>
      </c>
      <c r="B5" s="35"/>
      <c r="C5" s="54">
        <f>C67</f>
        <v>322.14351907071875</v>
      </c>
      <c r="D5" s="35" t="s">
        <v>380</v>
      </c>
      <c r="E5" s="35"/>
      <c r="F5" s="35"/>
      <c r="G5" s="35"/>
    </row>
    <row r="6" spans="1:7" x14ac:dyDescent="0.25">
      <c r="A6" s="35" t="s">
        <v>381</v>
      </c>
      <c r="B6" s="35"/>
      <c r="C6" s="54">
        <f>'[3]Anx D'!D74</f>
        <v>2243.6945144622437</v>
      </c>
      <c r="D6" s="35" t="s">
        <v>380</v>
      </c>
      <c r="E6" s="35"/>
      <c r="F6" s="35"/>
      <c r="G6" s="35"/>
    </row>
    <row r="7" spans="1:7" x14ac:dyDescent="0.25">
      <c r="A7" s="35" t="s">
        <v>382</v>
      </c>
      <c r="B7" s="35"/>
      <c r="C7" s="232">
        <f>'[3]Anx A'!E23</f>
        <v>2353.6484621999998</v>
      </c>
      <c r="D7" s="35" t="s">
        <v>380</v>
      </c>
      <c r="E7" s="35"/>
      <c r="F7" s="35"/>
      <c r="G7" s="35"/>
    </row>
    <row r="8" spans="1:7" x14ac:dyDescent="0.25">
      <c r="A8" s="35" t="s">
        <v>383</v>
      </c>
      <c r="B8" s="35"/>
      <c r="C8" s="52">
        <f>C5-C6</f>
        <v>-1921.5509953915248</v>
      </c>
      <c r="D8" s="35" t="s">
        <v>380</v>
      </c>
      <c r="E8" s="35"/>
      <c r="F8" s="35"/>
      <c r="G8" s="35"/>
    </row>
    <row r="9" spans="1:7" ht="15.75" thickBot="1" x14ac:dyDescent="0.3">
      <c r="A9" s="35" t="s">
        <v>384</v>
      </c>
      <c r="B9" s="35"/>
      <c r="C9" s="232">
        <f>'[3]Anx A'!H15-'[3]Anx A'!E23</f>
        <v>7220.2775377999997</v>
      </c>
      <c r="D9" s="35" t="s">
        <v>380</v>
      </c>
      <c r="E9" s="35"/>
      <c r="F9" s="35"/>
      <c r="G9" s="40" t="s">
        <v>385</v>
      </c>
    </row>
    <row r="10" spans="1:7" ht="16.5" thickTop="1" thickBot="1" x14ac:dyDescent="0.3">
      <c r="A10" s="874" t="s">
        <v>141</v>
      </c>
      <c r="B10" s="874" t="s">
        <v>332</v>
      </c>
      <c r="C10" s="874" t="s">
        <v>386</v>
      </c>
      <c r="D10" s="875" t="s">
        <v>387</v>
      </c>
      <c r="E10" s="876"/>
      <c r="F10" s="875" t="s">
        <v>388</v>
      </c>
      <c r="G10" s="876"/>
    </row>
    <row r="11" spans="1:7" ht="27" thickTop="1" thickBot="1" x14ac:dyDescent="0.3">
      <c r="A11" s="874"/>
      <c r="B11" s="874"/>
      <c r="C11" s="874"/>
      <c r="D11" s="233" t="s">
        <v>389</v>
      </c>
      <c r="E11" s="233" t="s">
        <v>70</v>
      </c>
      <c r="F11" s="233" t="s">
        <v>389</v>
      </c>
      <c r="G11" s="233" t="s">
        <v>70</v>
      </c>
    </row>
    <row r="12" spans="1:7" ht="15.75" thickTop="1" x14ac:dyDescent="0.25">
      <c r="A12" s="868" t="s">
        <v>190</v>
      </c>
      <c r="B12" s="869"/>
      <c r="C12" s="234"/>
      <c r="D12" s="235"/>
      <c r="E12" s="236"/>
      <c r="F12" s="235"/>
      <c r="G12" s="236"/>
    </row>
    <row r="13" spans="1:7" x14ac:dyDescent="0.25">
      <c r="A13" s="237">
        <v>1</v>
      </c>
      <c r="B13" s="238" t="s">
        <v>390</v>
      </c>
      <c r="C13" s="239"/>
      <c r="D13" s="240"/>
      <c r="E13" s="241"/>
      <c r="F13" s="242"/>
      <c r="G13" s="241"/>
    </row>
    <row r="14" spans="1:7" x14ac:dyDescent="0.25">
      <c r="A14" s="237"/>
      <c r="B14" s="243" t="s">
        <v>391</v>
      </c>
      <c r="C14" s="244"/>
      <c r="D14" s="245">
        <v>0</v>
      </c>
      <c r="E14" s="246" t="e">
        <f>D14/C14</f>
        <v>#DIV/0!</v>
      </c>
      <c r="F14" s="235">
        <f>C14-D14</f>
        <v>0</v>
      </c>
      <c r="G14" s="247" t="e">
        <f>F14/C14</f>
        <v>#DIV/0!</v>
      </c>
    </row>
    <row r="15" spans="1:7" x14ac:dyDescent="0.25">
      <c r="A15" s="237"/>
      <c r="B15" s="243" t="s">
        <v>392</v>
      </c>
      <c r="C15" s="244"/>
      <c r="D15" s="245"/>
      <c r="E15" s="246" t="e">
        <f>D15/C15</f>
        <v>#DIV/0!</v>
      </c>
      <c r="F15" s="235">
        <f t="shared" ref="F15:F28" si="0">C15-D15</f>
        <v>0</v>
      </c>
      <c r="G15" s="247" t="e">
        <f t="shared" ref="G15:G28" si="1">F15/C15</f>
        <v>#DIV/0!</v>
      </c>
    </row>
    <row r="16" spans="1:7" x14ac:dyDescent="0.25">
      <c r="A16" s="237">
        <v>2</v>
      </c>
      <c r="B16" s="238" t="s">
        <v>146</v>
      </c>
      <c r="C16" s="244">
        <v>5696.77</v>
      </c>
      <c r="D16" s="245">
        <f>SUM('[3]Anx D'!D15:D18)+'[3]Anx D'!D42</f>
        <v>1956.8409656402439</v>
      </c>
      <c r="E16" s="246">
        <f>D16/C16</f>
        <v>0.34350008261527915</v>
      </c>
      <c r="F16" s="235">
        <f t="shared" si="0"/>
        <v>3739.9290343597568</v>
      </c>
      <c r="G16" s="247">
        <f t="shared" si="1"/>
        <v>0.65649991738472091</v>
      </c>
    </row>
    <row r="17" spans="1:7" x14ac:dyDescent="0.25">
      <c r="A17" s="248">
        <v>3</v>
      </c>
      <c r="B17" s="249" t="s">
        <v>199</v>
      </c>
      <c r="C17" s="244"/>
      <c r="D17" s="245"/>
      <c r="E17" s="246" t="e">
        <f t="shared" ref="E17:E28" si="2">D17/C17</f>
        <v>#DIV/0!</v>
      </c>
      <c r="F17" s="235">
        <f t="shared" si="0"/>
        <v>0</v>
      </c>
      <c r="G17" s="247" t="e">
        <f t="shared" si="1"/>
        <v>#DIV/0!</v>
      </c>
    </row>
    <row r="18" spans="1:7" x14ac:dyDescent="0.25">
      <c r="A18" s="118"/>
      <c r="B18" s="243" t="s">
        <v>393</v>
      </c>
      <c r="C18" s="244"/>
      <c r="D18" s="245"/>
      <c r="E18" s="246" t="e">
        <f t="shared" si="2"/>
        <v>#DIV/0!</v>
      </c>
      <c r="F18" s="235">
        <f t="shared" si="0"/>
        <v>0</v>
      </c>
      <c r="G18" s="247" t="e">
        <f t="shared" si="1"/>
        <v>#DIV/0!</v>
      </c>
    </row>
    <row r="19" spans="1:7" x14ac:dyDescent="0.25">
      <c r="A19" s="118"/>
      <c r="B19" s="243" t="s">
        <v>394</v>
      </c>
      <c r="C19" s="244"/>
      <c r="D19" s="245"/>
      <c r="E19" s="246" t="e">
        <f t="shared" si="2"/>
        <v>#DIV/0!</v>
      </c>
      <c r="F19" s="235">
        <f t="shared" si="0"/>
        <v>0</v>
      </c>
      <c r="G19" s="247" t="e">
        <f t="shared" si="1"/>
        <v>#DIV/0!</v>
      </c>
    </row>
    <row r="20" spans="1:7" x14ac:dyDescent="0.25">
      <c r="A20" s="250"/>
      <c r="B20" s="251" t="s">
        <v>395</v>
      </c>
      <c r="C20" s="244"/>
      <c r="D20" s="245"/>
      <c r="E20" s="246" t="e">
        <f t="shared" si="2"/>
        <v>#DIV/0!</v>
      </c>
      <c r="F20" s="235">
        <f t="shared" si="0"/>
        <v>0</v>
      </c>
      <c r="G20" s="247" t="e">
        <f t="shared" si="1"/>
        <v>#DIV/0!</v>
      </c>
    </row>
    <row r="21" spans="1:7" x14ac:dyDescent="0.25">
      <c r="A21" s="248">
        <v>4</v>
      </c>
      <c r="B21" s="238" t="s">
        <v>204</v>
      </c>
      <c r="C21" s="244"/>
      <c r="D21" s="245"/>
      <c r="E21" s="246" t="e">
        <f t="shared" si="2"/>
        <v>#DIV/0!</v>
      </c>
      <c r="F21" s="235">
        <f t="shared" si="0"/>
        <v>0</v>
      </c>
      <c r="G21" s="247" t="e">
        <f t="shared" si="1"/>
        <v>#DIV/0!</v>
      </c>
    </row>
    <row r="22" spans="1:7" x14ac:dyDescent="0.25">
      <c r="A22" s="118"/>
      <c r="B22" s="243" t="s">
        <v>396</v>
      </c>
      <c r="C22" s="244">
        <v>2455.83</v>
      </c>
      <c r="D22" s="245">
        <v>0</v>
      </c>
      <c r="E22" s="246">
        <f t="shared" si="2"/>
        <v>0</v>
      </c>
      <c r="F22" s="235">
        <f t="shared" si="0"/>
        <v>2455.83</v>
      </c>
      <c r="G22" s="247">
        <f t="shared" si="1"/>
        <v>1</v>
      </c>
    </row>
    <row r="23" spans="1:7" x14ac:dyDescent="0.25">
      <c r="A23" s="118"/>
      <c r="B23" s="243" t="s">
        <v>397</v>
      </c>
      <c r="C23" s="244"/>
      <c r="D23" s="245"/>
      <c r="E23" s="246" t="e">
        <f t="shared" si="2"/>
        <v>#DIV/0!</v>
      </c>
      <c r="F23" s="235">
        <f t="shared" si="0"/>
        <v>0</v>
      </c>
      <c r="G23" s="247" t="e">
        <f t="shared" si="1"/>
        <v>#DIV/0!</v>
      </c>
    </row>
    <row r="24" spans="1:7" x14ac:dyDescent="0.25">
      <c r="A24" s="250"/>
      <c r="B24" s="251" t="s">
        <v>398</v>
      </c>
      <c r="C24" s="244"/>
      <c r="D24" s="245"/>
      <c r="E24" s="246" t="e">
        <f t="shared" si="2"/>
        <v>#DIV/0!</v>
      </c>
      <c r="F24" s="235">
        <f t="shared" si="0"/>
        <v>0</v>
      </c>
      <c r="G24" s="247" t="e">
        <f t="shared" si="1"/>
        <v>#DIV/0!</v>
      </c>
    </row>
    <row r="25" spans="1:7" x14ac:dyDescent="0.25">
      <c r="A25" s="248">
        <v>5</v>
      </c>
      <c r="B25" s="238" t="s">
        <v>207</v>
      </c>
      <c r="C25" s="244"/>
      <c r="D25" s="245"/>
      <c r="E25" s="246" t="e">
        <f t="shared" si="2"/>
        <v>#DIV/0!</v>
      </c>
      <c r="F25" s="235">
        <f t="shared" si="0"/>
        <v>0</v>
      </c>
      <c r="G25" s="247" t="e">
        <f t="shared" si="1"/>
        <v>#DIV/0!</v>
      </c>
    </row>
    <row r="26" spans="1:7" x14ac:dyDescent="0.25">
      <c r="A26" s="118"/>
      <c r="B26" s="243" t="s">
        <v>399</v>
      </c>
      <c r="C26" s="244">
        <v>0</v>
      </c>
      <c r="D26" s="245">
        <f>'[3]Anx D'!D31</f>
        <v>2.3490683999999997</v>
      </c>
      <c r="E26" s="246" t="e">
        <f t="shared" si="2"/>
        <v>#DIV/0!</v>
      </c>
      <c r="F26" s="235">
        <f t="shared" si="0"/>
        <v>-2.3490683999999997</v>
      </c>
      <c r="G26" s="247" t="e">
        <f t="shared" si="1"/>
        <v>#DIV/0!</v>
      </c>
    </row>
    <row r="27" spans="1:7" x14ac:dyDescent="0.25">
      <c r="A27" s="118"/>
      <c r="B27" s="243" t="s">
        <v>400</v>
      </c>
      <c r="C27" s="244"/>
      <c r="D27" s="245"/>
      <c r="E27" s="246" t="e">
        <f t="shared" si="2"/>
        <v>#DIV/0!</v>
      </c>
      <c r="F27" s="235">
        <f t="shared" si="0"/>
        <v>0</v>
      </c>
      <c r="G27" s="247" t="e">
        <f t="shared" si="1"/>
        <v>#DIV/0!</v>
      </c>
    </row>
    <row r="28" spans="1:7" ht="15.75" thickBot="1" x14ac:dyDescent="0.3">
      <c r="A28" s="252"/>
      <c r="B28" s="243" t="s">
        <v>401</v>
      </c>
      <c r="C28" s="253">
        <v>95.7393</v>
      </c>
      <c r="D28" s="245">
        <f>'[3]Anx D'!D34</f>
        <v>23.738784621999997</v>
      </c>
      <c r="E28" s="246">
        <f t="shared" si="2"/>
        <v>0.24795235208529828</v>
      </c>
      <c r="F28" s="235">
        <f t="shared" si="0"/>
        <v>72.000515378000003</v>
      </c>
      <c r="G28" s="247">
        <f t="shared" si="1"/>
        <v>0.75204764791470169</v>
      </c>
    </row>
    <row r="29" spans="1:7" ht="16.5" thickTop="1" thickBot="1" x14ac:dyDescent="0.3">
      <c r="A29" s="254"/>
      <c r="B29" s="255" t="s">
        <v>215</v>
      </c>
      <c r="C29" s="256">
        <f>SUM(C14:C28)</f>
        <v>8248.3392999999996</v>
      </c>
      <c r="D29" s="256">
        <f>SUM(D14:D28)</f>
        <v>1982.9288186622439</v>
      </c>
      <c r="E29" s="257"/>
      <c r="F29" s="256"/>
      <c r="G29" s="257"/>
    </row>
    <row r="30" spans="1:7" ht="15.75" thickTop="1" x14ac:dyDescent="0.25">
      <c r="A30" s="870" t="s">
        <v>402</v>
      </c>
      <c r="B30" s="871"/>
      <c r="C30" s="234"/>
      <c r="D30" s="258"/>
      <c r="E30" s="236"/>
      <c r="F30" s="235"/>
      <c r="G30" s="241"/>
    </row>
    <row r="31" spans="1:7" x14ac:dyDescent="0.25">
      <c r="A31" s="259" t="s">
        <v>7</v>
      </c>
      <c r="B31" s="260" t="s">
        <v>403</v>
      </c>
      <c r="C31" s="261">
        <v>116.31038218354091</v>
      </c>
      <c r="D31" s="258">
        <f>'[3]Anx D'!D48</f>
        <v>35.978000000000002</v>
      </c>
      <c r="E31" s="246">
        <f>D31/C31</f>
        <v>0.30932750219344779</v>
      </c>
      <c r="F31" s="235">
        <f>C31-D31</f>
        <v>80.332382183540915</v>
      </c>
      <c r="G31" s="247">
        <f>F31/C31</f>
        <v>0.69067249780655227</v>
      </c>
    </row>
    <row r="32" spans="1:7" x14ac:dyDescent="0.25">
      <c r="A32" s="259" t="s">
        <v>12</v>
      </c>
      <c r="B32" s="260" t="s">
        <v>404</v>
      </c>
      <c r="C32" s="261">
        <v>56.330649722853828</v>
      </c>
      <c r="D32" s="258">
        <f>'[3]Anx D'!D50+'[3]Anx D'!D51</f>
        <v>0.85899999999999999</v>
      </c>
      <c r="E32" s="246">
        <f>D32/C32</f>
        <v>1.5249247154546779E-2</v>
      </c>
      <c r="F32" s="235">
        <f t="shared" ref="F32:F65" si="3">C32-D32</f>
        <v>55.471649722853826</v>
      </c>
      <c r="G32" s="247">
        <f t="shared" ref="G32:G65" si="4">F32/C32</f>
        <v>0.98475075284545321</v>
      </c>
    </row>
    <row r="33" spans="1:7" x14ac:dyDescent="0.25">
      <c r="A33" s="259" t="s">
        <v>14</v>
      </c>
      <c r="B33" s="260" t="s">
        <v>405</v>
      </c>
      <c r="C33" s="261">
        <v>18.390403399085347</v>
      </c>
      <c r="D33" s="258">
        <v>0</v>
      </c>
      <c r="E33" s="246">
        <f t="shared" ref="E33:E65" si="5">D33/C33</f>
        <v>0</v>
      </c>
      <c r="F33" s="235">
        <f t="shared" si="3"/>
        <v>18.390403399085347</v>
      </c>
      <c r="G33" s="247">
        <f t="shared" si="4"/>
        <v>1</v>
      </c>
    </row>
    <row r="34" spans="1:7" x14ac:dyDescent="0.25">
      <c r="A34" s="259" t="s">
        <v>20</v>
      </c>
      <c r="B34" s="260" t="s">
        <v>406</v>
      </c>
      <c r="C34" s="261">
        <v>0.15465271054935747</v>
      </c>
      <c r="D34" s="258">
        <v>0</v>
      </c>
      <c r="E34" s="246">
        <f t="shared" si="5"/>
        <v>0</v>
      </c>
      <c r="F34" s="235">
        <f t="shared" si="3"/>
        <v>0.15465271054935747</v>
      </c>
      <c r="G34" s="247">
        <f t="shared" si="4"/>
        <v>1</v>
      </c>
    </row>
    <row r="35" spans="1:7" x14ac:dyDescent="0.25">
      <c r="A35" s="259" t="s">
        <v>22</v>
      </c>
      <c r="B35" s="260" t="s">
        <v>407</v>
      </c>
      <c r="C35" s="261">
        <v>1.0218645247048599</v>
      </c>
      <c r="D35" s="258">
        <v>0</v>
      </c>
      <c r="E35" s="246">
        <f t="shared" si="5"/>
        <v>0</v>
      </c>
      <c r="F35" s="235">
        <f t="shared" si="3"/>
        <v>1.0218645247048599</v>
      </c>
      <c r="G35" s="247">
        <f t="shared" si="4"/>
        <v>1</v>
      </c>
    </row>
    <row r="36" spans="1:7" x14ac:dyDescent="0.25">
      <c r="A36" s="259" t="s">
        <v>24</v>
      </c>
      <c r="B36" s="260" t="s">
        <v>408</v>
      </c>
      <c r="C36" s="261">
        <v>0.57750000000000001</v>
      </c>
      <c r="D36" s="258">
        <v>0</v>
      </c>
      <c r="E36" s="246">
        <f t="shared" si="5"/>
        <v>0</v>
      </c>
      <c r="F36" s="235">
        <f t="shared" si="3"/>
        <v>0.57750000000000001</v>
      </c>
      <c r="G36" s="247">
        <f t="shared" si="4"/>
        <v>1</v>
      </c>
    </row>
    <row r="37" spans="1:7" x14ac:dyDescent="0.25">
      <c r="A37" s="259" t="s">
        <v>26</v>
      </c>
      <c r="B37" s="260" t="s">
        <v>409</v>
      </c>
      <c r="C37" s="261">
        <v>0.79826355274678751</v>
      </c>
      <c r="D37" s="258">
        <f>'[3]Anx D'!D54</f>
        <v>0.107</v>
      </c>
      <c r="E37" s="246">
        <f t="shared" si="5"/>
        <v>0.13404094378581863</v>
      </c>
      <c r="F37" s="235">
        <f t="shared" si="3"/>
        <v>0.69126355274678752</v>
      </c>
      <c r="G37" s="247">
        <f t="shared" si="4"/>
        <v>0.86595905621418146</v>
      </c>
    </row>
    <row r="38" spans="1:7" x14ac:dyDescent="0.25">
      <c r="A38" s="259" t="s">
        <v>28</v>
      </c>
      <c r="B38" s="260" t="s">
        <v>410</v>
      </c>
      <c r="C38" s="261">
        <v>0.30334015004377923</v>
      </c>
      <c r="D38" s="258">
        <v>0</v>
      </c>
      <c r="E38" s="246">
        <f t="shared" si="5"/>
        <v>0</v>
      </c>
      <c r="F38" s="235">
        <f t="shared" si="3"/>
        <v>0.30334015004377923</v>
      </c>
      <c r="G38" s="247">
        <f t="shared" si="4"/>
        <v>1</v>
      </c>
    </row>
    <row r="39" spans="1:7" x14ac:dyDescent="0.25">
      <c r="A39" s="259" t="s">
        <v>411</v>
      </c>
      <c r="B39" s="260" t="s">
        <v>412</v>
      </c>
      <c r="C39" s="261">
        <v>3.9913177637339379</v>
      </c>
      <c r="D39" s="258">
        <f>'[3]Anx D'!D61</f>
        <v>0.877</v>
      </c>
      <c r="E39" s="246">
        <f t="shared" si="5"/>
        <v>0.21972693028067836</v>
      </c>
      <c r="F39" s="235">
        <f t="shared" si="3"/>
        <v>3.1143177637339381</v>
      </c>
      <c r="G39" s="247">
        <f t="shared" si="4"/>
        <v>0.78027306971932175</v>
      </c>
    </row>
    <row r="40" spans="1:7" x14ac:dyDescent="0.25">
      <c r="A40" s="259" t="s">
        <v>30</v>
      </c>
      <c r="B40" s="260" t="s">
        <v>413</v>
      </c>
      <c r="C40" s="261">
        <v>4.6299286059313678</v>
      </c>
      <c r="D40" s="258">
        <f>'[3]Anx D'!D62</f>
        <v>0.92399999999999993</v>
      </c>
      <c r="E40" s="246">
        <f t="shared" si="5"/>
        <v>0.1995711119208772</v>
      </c>
      <c r="F40" s="235">
        <f t="shared" si="3"/>
        <v>3.7059286059313679</v>
      </c>
      <c r="G40" s="247">
        <f t="shared" si="4"/>
        <v>0.80042888807912282</v>
      </c>
    </row>
    <row r="41" spans="1:7" x14ac:dyDescent="0.25">
      <c r="A41" s="259" t="s">
        <v>32</v>
      </c>
      <c r="B41" s="260" t="s">
        <v>414</v>
      </c>
      <c r="C41" s="261">
        <v>2.3947906582403622</v>
      </c>
      <c r="D41" s="258">
        <f>'[3]Anx D'!D63</f>
        <v>1.665</v>
      </c>
      <c r="E41" s="246">
        <f t="shared" si="5"/>
        <v>0.6952591009451341</v>
      </c>
      <c r="F41" s="235">
        <f t="shared" si="3"/>
        <v>0.72979065824036216</v>
      </c>
      <c r="G41" s="247">
        <f t="shared" si="4"/>
        <v>0.30474089905486595</v>
      </c>
    </row>
    <row r="42" spans="1:7" x14ac:dyDescent="0.25">
      <c r="A42" s="259" t="s">
        <v>34</v>
      </c>
      <c r="B42" s="260" t="s">
        <v>415</v>
      </c>
      <c r="C42" s="261">
        <v>0</v>
      </c>
      <c r="D42" s="258">
        <v>0</v>
      </c>
      <c r="E42" s="246" t="e">
        <f t="shared" si="5"/>
        <v>#DIV/0!</v>
      </c>
      <c r="F42" s="235">
        <f t="shared" si="3"/>
        <v>0</v>
      </c>
      <c r="G42" s="247" t="e">
        <f t="shared" si="4"/>
        <v>#DIV/0!</v>
      </c>
    </row>
    <row r="43" spans="1:7" x14ac:dyDescent="0.25">
      <c r="A43" s="259" t="s">
        <v>36</v>
      </c>
      <c r="B43" s="260" t="s">
        <v>416</v>
      </c>
      <c r="C43" s="261">
        <v>7.9826355274678757</v>
      </c>
      <c r="D43" s="258">
        <f>'[3]Anx D'!D64+'[3]Anx D'!D65</f>
        <v>8.7717999999999989</v>
      </c>
      <c r="E43" s="246">
        <f t="shared" si="5"/>
        <v>1.0988601408415359</v>
      </c>
      <c r="F43" s="235">
        <f t="shared" si="3"/>
        <v>-0.78916447253212318</v>
      </c>
      <c r="G43" s="247">
        <f t="shared" si="4"/>
        <v>-9.8860140841535993E-2</v>
      </c>
    </row>
    <row r="44" spans="1:7" x14ac:dyDescent="0.25">
      <c r="A44" s="259" t="s">
        <v>38</v>
      </c>
      <c r="B44" s="260" t="s">
        <v>417</v>
      </c>
      <c r="C44" s="261">
        <v>0.7732635527467876</v>
      </c>
      <c r="D44" s="258">
        <v>0</v>
      </c>
      <c r="E44" s="246">
        <f t="shared" si="5"/>
        <v>0</v>
      </c>
      <c r="F44" s="235">
        <f t="shared" si="3"/>
        <v>0.7732635527467876</v>
      </c>
      <c r="G44" s="247">
        <f t="shared" si="4"/>
        <v>1</v>
      </c>
    </row>
    <row r="45" spans="1:7" x14ac:dyDescent="0.25">
      <c r="A45" s="259" t="s">
        <v>40</v>
      </c>
      <c r="B45" s="260" t="s">
        <v>418</v>
      </c>
      <c r="C45" s="261">
        <v>3.6720123426352216</v>
      </c>
      <c r="D45" s="258">
        <v>0</v>
      </c>
      <c r="E45" s="246">
        <f t="shared" si="5"/>
        <v>0</v>
      </c>
      <c r="F45" s="235">
        <f t="shared" si="3"/>
        <v>3.6720123426352216</v>
      </c>
      <c r="G45" s="247">
        <f t="shared" si="4"/>
        <v>1</v>
      </c>
    </row>
    <row r="46" spans="1:7" x14ac:dyDescent="0.25">
      <c r="A46" s="259" t="s">
        <v>42</v>
      </c>
      <c r="B46" s="262" t="s">
        <v>419</v>
      </c>
      <c r="C46" s="261">
        <v>4.9957526676126376</v>
      </c>
      <c r="D46" s="258">
        <v>0</v>
      </c>
      <c r="E46" s="246">
        <f t="shared" si="5"/>
        <v>0</v>
      </c>
      <c r="F46" s="235">
        <f t="shared" si="3"/>
        <v>4.9957526676126376</v>
      </c>
      <c r="G46" s="247">
        <f t="shared" si="4"/>
        <v>1</v>
      </c>
    </row>
    <row r="47" spans="1:7" x14ac:dyDescent="0.25">
      <c r="A47" s="259" t="s">
        <v>44</v>
      </c>
      <c r="B47" s="260" t="s">
        <v>420</v>
      </c>
      <c r="C47" s="261">
        <v>0.31930542109871485</v>
      </c>
      <c r="D47" s="258">
        <f>'[3]Anx D'!D60</f>
        <v>4.0000000000000001E-3</v>
      </c>
      <c r="E47" s="246">
        <f t="shared" si="5"/>
        <v>1.2527191008020439E-2</v>
      </c>
      <c r="F47" s="235">
        <f t="shared" si="3"/>
        <v>0.31530542109871484</v>
      </c>
      <c r="G47" s="247">
        <f t="shared" si="4"/>
        <v>0.98747280899197953</v>
      </c>
    </row>
    <row r="48" spans="1:7" x14ac:dyDescent="0.25">
      <c r="A48" s="259" t="s">
        <v>46</v>
      </c>
      <c r="B48" s="260" t="s">
        <v>421</v>
      </c>
      <c r="C48" s="261">
        <v>9.7128312371424492</v>
      </c>
      <c r="D48" s="258">
        <f>'[3]Anx D'!D55</f>
        <v>0.38500000000000001</v>
      </c>
      <c r="E48" s="246">
        <f t="shared" si="5"/>
        <v>3.9638287807136699E-2</v>
      </c>
      <c r="F48" s="235">
        <f t="shared" si="3"/>
        <v>9.3278312371424494</v>
      </c>
      <c r="G48" s="247">
        <f t="shared" si="4"/>
        <v>0.96036171219286337</v>
      </c>
    </row>
    <row r="49" spans="1:7" x14ac:dyDescent="0.25">
      <c r="A49" s="259" t="s">
        <v>48</v>
      </c>
      <c r="B49" s="262" t="s">
        <v>422</v>
      </c>
      <c r="C49" s="261">
        <v>3.8663177637339379</v>
      </c>
      <c r="D49" s="258">
        <f>'[3]Anx D'!D56</f>
        <v>8.8400000000000006E-2</v>
      </c>
      <c r="E49" s="246">
        <f t="shared" si="5"/>
        <v>2.2864132076569607E-2</v>
      </c>
      <c r="F49" s="235">
        <f t="shared" si="3"/>
        <v>3.7779177637339378</v>
      </c>
      <c r="G49" s="247">
        <f t="shared" si="4"/>
        <v>0.97713586792343043</v>
      </c>
    </row>
    <row r="50" spans="1:7" x14ac:dyDescent="0.25">
      <c r="A50" s="259" t="s">
        <v>50</v>
      </c>
      <c r="B50" s="260" t="s">
        <v>423</v>
      </c>
      <c r="C50" s="261">
        <v>2.5654750379889855</v>
      </c>
      <c r="D50" s="258">
        <f>'[3]Anx D'!D57</f>
        <v>0.93400000000000005</v>
      </c>
      <c r="E50" s="246">
        <f t="shared" si="5"/>
        <v>0.36406512874595742</v>
      </c>
      <c r="F50" s="235">
        <f t="shared" si="3"/>
        <v>1.6314750379889853</v>
      </c>
      <c r="G50" s="247">
        <f t="shared" si="4"/>
        <v>0.63593487125404247</v>
      </c>
    </row>
    <row r="51" spans="1:7" x14ac:dyDescent="0.25">
      <c r="A51" s="259" t="s">
        <v>52</v>
      </c>
      <c r="B51" s="260" t="s">
        <v>424</v>
      </c>
      <c r="C51" s="261">
        <v>6.698740376971239</v>
      </c>
      <c r="D51" s="258">
        <f>'[3]Anx D'!D58</f>
        <v>0.76</v>
      </c>
      <c r="E51" s="246">
        <f t="shared" si="5"/>
        <v>0.11345416559398373</v>
      </c>
      <c r="F51" s="235">
        <f t="shared" si="3"/>
        <v>5.9387403769712392</v>
      </c>
      <c r="G51" s="247">
        <f t="shared" si="4"/>
        <v>0.88654583440601631</v>
      </c>
    </row>
    <row r="52" spans="1:7" x14ac:dyDescent="0.25">
      <c r="A52" s="259" t="s">
        <v>54</v>
      </c>
      <c r="B52" s="260" t="s">
        <v>425</v>
      </c>
      <c r="C52" s="261">
        <v>0</v>
      </c>
      <c r="D52" s="258">
        <v>0</v>
      </c>
      <c r="E52" s="246" t="e">
        <f t="shared" si="5"/>
        <v>#DIV/0!</v>
      </c>
      <c r="F52" s="235">
        <f t="shared" si="3"/>
        <v>0</v>
      </c>
      <c r="G52" s="247" t="e">
        <f t="shared" si="4"/>
        <v>#DIV/0!</v>
      </c>
    </row>
    <row r="53" spans="1:7" x14ac:dyDescent="0.25">
      <c r="A53" s="259" t="s">
        <v>426</v>
      </c>
      <c r="B53" s="262" t="s">
        <v>427</v>
      </c>
      <c r="C53" s="261">
        <v>6.95754324077026</v>
      </c>
      <c r="D53" s="258">
        <v>0</v>
      </c>
      <c r="E53" s="246">
        <f t="shared" si="5"/>
        <v>0</v>
      </c>
      <c r="F53" s="235">
        <f t="shared" si="3"/>
        <v>6.95754324077026</v>
      </c>
      <c r="G53" s="247">
        <f t="shared" si="4"/>
        <v>1</v>
      </c>
    </row>
    <row r="54" spans="1:7" x14ac:dyDescent="0.25">
      <c r="A54" s="259" t="s">
        <v>428</v>
      </c>
      <c r="B54" s="260" t="s">
        <v>429</v>
      </c>
      <c r="C54" s="261">
        <v>4.7872159999999999</v>
      </c>
      <c r="D54" s="258">
        <v>0</v>
      </c>
      <c r="E54" s="246">
        <f t="shared" si="5"/>
        <v>0</v>
      </c>
      <c r="F54" s="235">
        <f t="shared" si="3"/>
        <v>4.7872159999999999</v>
      </c>
      <c r="G54" s="247">
        <f t="shared" si="4"/>
        <v>1</v>
      </c>
    </row>
    <row r="55" spans="1:7" x14ac:dyDescent="0.25">
      <c r="A55" s="259" t="s">
        <v>430</v>
      </c>
      <c r="B55" s="260" t="s">
        <v>431</v>
      </c>
      <c r="C55" s="261">
        <v>0</v>
      </c>
      <c r="D55" s="258">
        <v>0</v>
      </c>
      <c r="E55" s="246" t="e">
        <f t="shared" si="5"/>
        <v>#DIV/0!</v>
      </c>
      <c r="F55" s="235">
        <f t="shared" si="3"/>
        <v>0</v>
      </c>
      <c r="G55" s="247" t="e">
        <f t="shared" si="4"/>
        <v>#DIV/0!</v>
      </c>
    </row>
    <row r="56" spans="1:7" x14ac:dyDescent="0.25">
      <c r="A56" s="259" t="s">
        <v>432</v>
      </c>
      <c r="B56" s="262" t="s">
        <v>433</v>
      </c>
      <c r="C56" s="261">
        <v>0.30334015004377923</v>
      </c>
      <c r="D56" s="258">
        <f>'[3]Anx D'!D68</f>
        <v>0</v>
      </c>
      <c r="E56" s="246">
        <f t="shared" si="5"/>
        <v>0</v>
      </c>
      <c r="F56" s="235">
        <f t="shared" si="3"/>
        <v>0.30334015004377923</v>
      </c>
      <c r="G56" s="247">
        <f t="shared" si="4"/>
        <v>1</v>
      </c>
    </row>
    <row r="57" spans="1:7" x14ac:dyDescent="0.25">
      <c r="A57" s="259" t="s">
        <v>434</v>
      </c>
      <c r="B57" s="260" t="s">
        <v>435</v>
      </c>
      <c r="C57" s="261">
        <v>0</v>
      </c>
      <c r="D57" s="258"/>
      <c r="E57" s="246" t="e">
        <f t="shared" si="5"/>
        <v>#DIV/0!</v>
      </c>
      <c r="F57" s="235">
        <f t="shared" si="3"/>
        <v>0</v>
      </c>
      <c r="G57" s="247" t="e">
        <f t="shared" si="4"/>
        <v>#DIV/0!</v>
      </c>
    </row>
    <row r="58" spans="1:7" x14ac:dyDescent="0.25">
      <c r="A58" s="259" t="s">
        <v>436</v>
      </c>
      <c r="B58" s="262" t="s">
        <v>437</v>
      </c>
      <c r="C58" s="261">
        <v>0.64300000000000002</v>
      </c>
      <c r="D58" s="258">
        <v>0</v>
      </c>
      <c r="E58" s="246">
        <f t="shared" si="5"/>
        <v>0</v>
      </c>
      <c r="F58" s="235">
        <f t="shared" si="3"/>
        <v>0.64300000000000002</v>
      </c>
      <c r="G58" s="247">
        <f t="shared" si="4"/>
        <v>1</v>
      </c>
    </row>
    <row r="59" spans="1:7" x14ac:dyDescent="0.25">
      <c r="A59" s="259" t="s">
        <v>438</v>
      </c>
      <c r="B59" s="260" t="s">
        <v>439</v>
      </c>
      <c r="C59" s="261">
        <v>0.25</v>
      </c>
      <c r="D59" s="258">
        <v>0</v>
      </c>
      <c r="E59" s="246">
        <f t="shared" si="5"/>
        <v>0</v>
      </c>
      <c r="F59" s="235">
        <f t="shared" si="3"/>
        <v>0.25</v>
      </c>
      <c r="G59" s="247">
        <f t="shared" si="4"/>
        <v>1</v>
      </c>
    </row>
    <row r="60" spans="1:7" x14ac:dyDescent="0.25">
      <c r="A60" s="259" t="s">
        <v>440</v>
      </c>
      <c r="B60" s="260" t="s">
        <v>441</v>
      </c>
      <c r="C60" s="261">
        <v>0.35</v>
      </c>
      <c r="D60" s="258">
        <v>0</v>
      </c>
      <c r="E60" s="246">
        <f t="shared" si="5"/>
        <v>0</v>
      </c>
      <c r="F60" s="235">
        <f t="shared" si="3"/>
        <v>0.35</v>
      </c>
      <c r="G60" s="247">
        <f t="shared" si="4"/>
        <v>1</v>
      </c>
    </row>
    <row r="61" spans="1:7" x14ac:dyDescent="0.25">
      <c r="A61" s="259" t="s">
        <v>442</v>
      </c>
      <c r="B61" s="260" t="s">
        <v>443</v>
      </c>
      <c r="C61" s="261">
        <v>3.0930542109871496E-2</v>
      </c>
      <c r="D61" s="258">
        <v>0</v>
      </c>
      <c r="E61" s="246">
        <f t="shared" si="5"/>
        <v>0</v>
      </c>
      <c r="F61" s="235">
        <f t="shared" si="3"/>
        <v>3.0930542109871496E-2</v>
      </c>
      <c r="G61" s="247">
        <f t="shared" si="4"/>
        <v>1</v>
      </c>
    </row>
    <row r="62" spans="1:7" x14ac:dyDescent="0.25">
      <c r="A62" s="259" t="s">
        <v>444</v>
      </c>
      <c r="B62" s="260" t="s">
        <v>445</v>
      </c>
      <c r="C62" s="261">
        <v>4.789581316480724E-2</v>
      </c>
      <c r="D62" s="258">
        <v>0</v>
      </c>
      <c r="E62" s="246">
        <f t="shared" si="5"/>
        <v>0</v>
      </c>
      <c r="F62" s="235">
        <f t="shared" si="3"/>
        <v>4.789581316480724E-2</v>
      </c>
      <c r="G62" s="247">
        <f t="shared" si="4"/>
        <v>1</v>
      </c>
    </row>
    <row r="63" spans="1:7" x14ac:dyDescent="0.25">
      <c r="A63" s="259" t="s">
        <v>446</v>
      </c>
      <c r="B63" s="260" t="s">
        <v>447</v>
      </c>
      <c r="C63" s="261">
        <v>12.7</v>
      </c>
      <c r="D63" s="258">
        <v>0</v>
      </c>
      <c r="E63" s="246">
        <f t="shared" si="5"/>
        <v>0</v>
      </c>
      <c r="F63" s="235">
        <f t="shared" si="3"/>
        <v>12.7</v>
      </c>
      <c r="G63" s="247">
        <f t="shared" si="4"/>
        <v>1</v>
      </c>
    </row>
    <row r="64" spans="1:7" x14ac:dyDescent="0.25">
      <c r="A64" s="259" t="s">
        <v>448</v>
      </c>
      <c r="B64" s="260" t="s">
        <v>449</v>
      </c>
      <c r="C64" s="261">
        <v>23.584166125801694</v>
      </c>
      <c r="D64" s="258"/>
      <c r="E64" s="246">
        <f t="shared" si="5"/>
        <v>0</v>
      </c>
      <c r="F64" s="235">
        <f t="shared" si="3"/>
        <v>23.584166125801694</v>
      </c>
      <c r="G64" s="247">
        <f t="shared" si="4"/>
        <v>1</v>
      </c>
    </row>
    <row r="65" spans="1:7" x14ac:dyDescent="0.25">
      <c r="A65" s="259" t="s">
        <v>450</v>
      </c>
      <c r="B65" s="262" t="s">
        <v>451</v>
      </c>
      <c r="C65" s="261">
        <v>4</v>
      </c>
      <c r="D65" s="258">
        <v>0.21920000000000001</v>
      </c>
      <c r="E65" s="246">
        <f t="shared" si="5"/>
        <v>5.4800000000000001E-2</v>
      </c>
      <c r="F65" s="235">
        <f t="shared" si="3"/>
        <v>3.7808000000000002</v>
      </c>
      <c r="G65" s="247">
        <f t="shared" si="4"/>
        <v>0.94520000000000004</v>
      </c>
    </row>
    <row r="66" spans="1:7" ht="15.75" thickBot="1" x14ac:dyDescent="0.3">
      <c r="A66" s="259" t="s">
        <v>452</v>
      </c>
      <c r="B66" s="260" t="s">
        <v>453</v>
      </c>
      <c r="C66" s="261">
        <v>23</v>
      </c>
      <c r="D66" s="258">
        <v>0.21920000000000001</v>
      </c>
      <c r="E66" s="246">
        <f>D66/C66</f>
        <v>9.5304347826086957E-3</v>
      </c>
      <c r="F66" s="235">
        <f>C66-D66</f>
        <v>22.780799999999999</v>
      </c>
      <c r="G66" s="247">
        <f>F66/C66</f>
        <v>0.99046956521739127</v>
      </c>
    </row>
    <row r="67" spans="1:7" ht="16.5" thickTop="1" thickBot="1" x14ac:dyDescent="0.3">
      <c r="A67" s="263"/>
      <c r="B67" s="264" t="s">
        <v>256</v>
      </c>
      <c r="C67" s="256">
        <f>SUM(C31:C66)</f>
        <v>322.14351907071875</v>
      </c>
      <c r="D67" s="256">
        <f>SUM(D31:D66)</f>
        <v>51.791599999999995</v>
      </c>
      <c r="E67" s="257"/>
      <c r="F67" s="256"/>
      <c r="G67" s="265"/>
    </row>
    <row r="68" spans="1:7" ht="15.75" thickTop="1" x14ac:dyDescent="0.25">
      <c r="A68" s="266"/>
      <c r="B68" s="267"/>
      <c r="C68" s="268"/>
      <c r="D68" s="269"/>
      <c r="E68" s="270"/>
      <c r="F68" s="269"/>
      <c r="G68" s="270"/>
    </row>
    <row r="69" spans="1:7" x14ac:dyDescent="0.25">
      <c r="A69" s="215"/>
      <c r="B69" s="35" t="s">
        <v>454</v>
      </c>
      <c r="C69" s="232"/>
      <c r="D69" s="271">
        <v>9573.93</v>
      </c>
      <c r="E69" s="34"/>
      <c r="F69" s="272"/>
      <c r="G69" s="273"/>
    </row>
    <row r="70" spans="1:7" x14ac:dyDescent="0.25">
      <c r="A70" s="215"/>
      <c r="B70" s="35" t="s">
        <v>455</v>
      </c>
      <c r="C70" s="232"/>
      <c r="D70" s="274">
        <f>C29+C67-478.696-322.144</f>
        <v>7769.6428190707175</v>
      </c>
      <c r="E70" s="34"/>
      <c r="F70" s="34"/>
      <c r="G70" s="34"/>
    </row>
    <row r="71" spans="1:7" x14ac:dyDescent="0.25">
      <c r="A71" s="215"/>
      <c r="B71" s="35" t="s">
        <v>456</v>
      </c>
      <c r="C71" s="232"/>
      <c r="D71" s="274">
        <v>478.69600000000003</v>
      </c>
      <c r="E71" s="34"/>
      <c r="F71" s="34"/>
      <c r="G71" s="34"/>
    </row>
    <row r="72" spans="1:7" x14ac:dyDescent="0.25">
      <c r="A72" s="215"/>
      <c r="B72" s="35" t="s">
        <v>457</v>
      </c>
      <c r="C72" s="232"/>
      <c r="D72" s="274">
        <f>C67</f>
        <v>322.14351907071875</v>
      </c>
      <c r="E72" s="34"/>
      <c r="F72" s="34"/>
      <c r="G72" s="34"/>
    </row>
    <row r="73" spans="1:7" x14ac:dyDescent="0.25">
      <c r="A73" s="215"/>
      <c r="B73" s="35" t="s">
        <v>87</v>
      </c>
      <c r="C73" s="232"/>
      <c r="D73" s="275">
        <v>0</v>
      </c>
      <c r="E73" s="34"/>
      <c r="F73" s="34"/>
      <c r="G73" s="34"/>
    </row>
    <row r="74" spans="1:7" x14ac:dyDescent="0.25">
      <c r="A74" s="215"/>
      <c r="B74" s="35" t="s">
        <v>458</v>
      </c>
      <c r="C74" s="232"/>
      <c r="D74" s="276">
        <f>D70+D71+D72</f>
        <v>8570.4823381414353</v>
      </c>
      <c r="E74" s="34"/>
      <c r="F74" s="34"/>
      <c r="G74" s="34"/>
    </row>
    <row r="75" spans="1:7" x14ac:dyDescent="0.25">
      <c r="A75" s="215"/>
      <c r="B75" s="35" t="s">
        <v>459</v>
      </c>
      <c r="C75" s="232"/>
      <c r="D75" s="277">
        <f>D69-D74</f>
        <v>1003.447661858565</v>
      </c>
      <c r="E75" s="34"/>
      <c r="F75" s="273"/>
      <c r="G75" s="34"/>
    </row>
    <row r="76" spans="1:7" x14ac:dyDescent="0.25">
      <c r="A76" s="215"/>
      <c r="B76" s="278" t="s">
        <v>460</v>
      </c>
      <c r="C76" s="279"/>
      <c r="D76" s="280">
        <f>D75/D69</f>
        <v>0.10481042391771873</v>
      </c>
      <c r="E76" s="215"/>
      <c r="F76" s="215"/>
      <c r="G76" s="281"/>
    </row>
  </sheetData>
  <mergeCells count="10">
    <mergeCell ref="A12:B12"/>
    <mergeCell ref="A30:B30"/>
    <mergeCell ref="A1:G1"/>
    <mergeCell ref="A3:G3"/>
    <mergeCell ref="A4:G4"/>
    <mergeCell ref="A10:A11"/>
    <mergeCell ref="B10:B11"/>
    <mergeCell ref="C10:C11"/>
    <mergeCell ref="D10:E10"/>
    <mergeCell ref="F10:G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C17" sqref="C17"/>
    </sheetView>
  </sheetViews>
  <sheetFormatPr defaultRowHeight="15" x14ac:dyDescent="0.25"/>
  <cols>
    <col min="1" max="1" width="4.7109375" customWidth="1"/>
    <col min="2" max="2" width="45.5703125" customWidth="1"/>
    <col min="3" max="5" width="10.85546875" customWidth="1"/>
  </cols>
  <sheetData>
    <row r="1" spans="1:7" ht="15.75" x14ac:dyDescent="0.25">
      <c r="A1" s="32"/>
      <c r="B1" s="32"/>
      <c r="C1" s="32"/>
      <c r="D1" s="32"/>
      <c r="E1" s="32"/>
      <c r="F1" s="207"/>
      <c r="G1" s="207"/>
    </row>
    <row r="2" spans="1:7" ht="15.75" x14ac:dyDescent="0.25">
      <c r="A2" s="857" t="s">
        <v>461</v>
      </c>
      <c r="B2" s="857"/>
      <c r="C2" s="857"/>
      <c r="D2" s="857"/>
      <c r="E2" s="857"/>
      <c r="F2" s="857"/>
      <c r="G2" s="857"/>
    </row>
    <row r="3" spans="1:7" x14ac:dyDescent="0.25">
      <c r="A3" s="877" t="e">
        <f>[3]Summary!#REF!</f>
        <v>#REF!</v>
      </c>
      <c r="B3" s="877"/>
      <c r="C3" s="877"/>
      <c r="D3" s="877"/>
      <c r="E3" s="877"/>
      <c r="F3" s="877"/>
      <c r="G3" s="877"/>
    </row>
    <row r="4" spans="1:7" x14ac:dyDescent="0.25">
      <c r="A4" s="877"/>
      <c r="B4" s="877"/>
      <c r="C4" s="877"/>
      <c r="D4" s="877"/>
      <c r="E4" s="877"/>
      <c r="F4" s="877"/>
      <c r="G4" s="877"/>
    </row>
    <row r="5" spans="1:7" ht="15.75" thickBot="1" x14ac:dyDescent="0.3">
      <c r="A5" s="75"/>
      <c r="B5" s="75"/>
      <c r="C5" s="75"/>
      <c r="D5" s="75"/>
      <c r="E5" s="75"/>
      <c r="F5" s="207"/>
      <c r="G5" s="207"/>
    </row>
    <row r="6" spans="1:7" ht="16.5" thickTop="1" thickBot="1" x14ac:dyDescent="0.3">
      <c r="A6" s="878" t="s">
        <v>141</v>
      </c>
      <c r="B6" s="878" t="s">
        <v>96</v>
      </c>
      <c r="C6" s="880" t="s">
        <v>462</v>
      </c>
      <c r="D6" s="881"/>
      <c r="E6" s="881"/>
      <c r="F6" s="882"/>
      <c r="G6" s="882"/>
    </row>
    <row r="7" spans="1:7" ht="43.5" thickTop="1" x14ac:dyDescent="0.25">
      <c r="A7" s="879"/>
      <c r="B7" s="879"/>
      <c r="C7" s="598" t="s">
        <v>189</v>
      </c>
      <c r="D7" s="598" t="s">
        <v>463</v>
      </c>
      <c r="E7" s="599" t="s">
        <v>102</v>
      </c>
      <c r="F7" s="600" t="s">
        <v>464</v>
      </c>
      <c r="G7" s="600" t="s">
        <v>465</v>
      </c>
    </row>
    <row r="8" spans="1:7" ht="22.9" customHeight="1" x14ac:dyDescent="0.25">
      <c r="A8" s="593">
        <v>1</v>
      </c>
      <c r="B8" s="282" t="s">
        <v>466</v>
      </c>
      <c r="C8" s="283">
        <v>0</v>
      </c>
      <c r="D8" s="283">
        <v>7.7946000000000001E-2</v>
      </c>
      <c r="E8" s="283">
        <v>0</v>
      </c>
      <c r="F8" s="282"/>
      <c r="G8" s="604"/>
    </row>
    <row r="9" spans="1:7" ht="22.9" customHeight="1" x14ac:dyDescent="0.25">
      <c r="A9" s="593">
        <v>2</v>
      </c>
      <c r="B9" s="282" t="s">
        <v>556</v>
      </c>
      <c r="C9" s="490">
        <v>0</v>
      </c>
      <c r="D9" s="284">
        <f>2.03+14.8544+4+12.74+8.13275+3.652+1.37+2.7+0.66</f>
        <v>50.139150000000001</v>
      </c>
      <c r="E9" s="284">
        <v>0</v>
      </c>
      <c r="F9" s="282"/>
      <c r="G9" s="282"/>
    </row>
    <row r="10" spans="1:7" ht="22.9" customHeight="1" x14ac:dyDescent="0.25">
      <c r="A10" s="593">
        <f t="shared" ref="A10:A16" si="0">A9+1</f>
        <v>3</v>
      </c>
      <c r="B10" s="282" t="s">
        <v>582</v>
      </c>
      <c r="C10" s="284">
        <v>0</v>
      </c>
      <c r="D10" s="284">
        <f>3.14+2.746859+0.43+0.75+1.39</f>
        <v>8.4568589999999997</v>
      </c>
      <c r="E10" s="284">
        <v>0</v>
      </c>
      <c r="F10" s="282"/>
      <c r="G10" s="282"/>
    </row>
    <row r="11" spans="1:7" ht="22.9" customHeight="1" x14ac:dyDescent="0.25">
      <c r="A11" s="593">
        <f t="shared" si="0"/>
        <v>4</v>
      </c>
      <c r="B11" s="282" t="s">
        <v>583</v>
      </c>
      <c r="C11" s="285">
        <f>31.535-36.501</f>
        <v>-4.9659999999999975</v>
      </c>
      <c r="D11" s="285">
        <f>0.596+3.301+1.144+0.96+30.5-4.966</f>
        <v>31.534999999999997</v>
      </c>
      <c r="E11" s="285">
        <v>-4.9660000000000002</v>
      </c>
      <c r="F11" s="286"/>
      <c r="G11" s="287"/>
    </row>
    <row r="12" spans="1:7" ht="22.9" customHeight="1" x14ac:dyDescent="0.25">
      <c r="A12" s="593">
        <f t="shared" si="0"/>
        <v>5</v>
      </c>
      <c r="B12" s="282" t="s">
        <v>584</v>
      </c>
      <c r="C12" s="284">
        <v>0</v>
      </c>
      <c r="D12" s="284">
        <f>0.13+0.45098</f>
        <v>0.58098000000000005</v>
      </c>
      <c r="E12" s="284">
        <v>0</v>
      </c>
      <c r="F12" s="282"/>
      <c r="G12" s="282"/>
    </row>
    <row r="13" spans="1:7" ht="22.9" customHeight="1" x14ac:dyDescent="0.25">
      <c r="A13" s="593">
        <f t="shared" si="0"/>
        <v>6</v>
      </c>
      <c r="B13" s="282" t="s">
        <v>733</v>
      </c>
      <c r="C13" s="284">
        <v>0</v>
      </c>
      <c r="D13" s="284">
        <v>1.1830000000000001</v>
      </c>
      <c r="E13" s="284">
        <v>0</v>
      </c>
      <c r="F13" s="282"/>
      <c r="G13" s="282"/>
    </row>
    <row r="14" spans="1:7" ht="22.9" customHeight="1" x14ac:dyDescent="0.25">
      <c r="A14" s="593">
        <f t="shared" si="0"/>
        <v>7</v>
      </c>
      <c r="B14" s="282" t="s">
        <v>734</v>
      </c>
      <c r="C14" s="284">
        <v>0</v>
      </c>
      <c r="D14" s="284">
        <v>0.98099999999999998</v>
      </c>
      <c r="E14" s="284">
        <v>0</v>
      </c>
      <c r="F14" s="282"/>
      <c r="G14" s="282"/>
    </row>
    <row r="15" spans="1:7" ht="22.9" customHeight="1" x14ac:dyDescent="0.25">
      <c r="A15" s="593">
        <f t="shared" si="0"/>
        <v>8</v>
      </c>
      <c r="B15" s="282" t="s">
        <v>255</v>
      </c>
      <c r="C15" s="284">
        <v>0</v>
      </c>
      <c r="D15" s="284">
        <f>6.371+4.5</f>
        <v>10.871</v>
      </c>
      <c r="E15" s="284">
        <v>0</v>
      </c>
      <c r="F15" s="282"/>
      <c r="G15" s="282"/>
    </row>
    <row r="16" spans="1:7" ht="22.9" customHeight="1" x14ac:dyDescent="0.25">
      <c r="A16" s="593">
        <f t="shared" si="0"/>
        <v>9</v>
      </c>
      <c r="B16" s="282" t="s">
        <v>785</v>
      </c>
      <c r="C16" s="284">
        <v>-4.5</v>
      </c>
      <c r="D16" s="284">
        <f>4.5-4.5</f>
        <v>0</v>
      </c>
      <c r="E16" s="284">
        <v>-4.5</v>
      </c>
      <c r="F16" s="282"/>
      <c r="G16" s="282"/>
    </row>
    <row r="17" spans="1:7" ht="28.9" customHeight="1" thickBot="1" x14ac:dyDescent="0.3">
      <c r="A17" s="601"/>
      <c r="B17" s="594" t="s">
        <v>184</v>
      </c>
      <c r="C17" s="602">
        <f>SUM(C8:C16)</f>
        <v>-9.4659999999999975</v>
      </c>
      <c r="D17" s="602">
        <f>SUM(D8:D16)</f>
        <v>103.824935</v>
      </c>
      <c r="E17" s="602">
        <f>SUM(E8:E16)</f>
        <v>-9.4660000000000011</v>
      </c>
      <c r="F17" s="603"/>
      <c r="G17" s="603">
        <f>SUM(G8:G12)/1000000</f>
        <v>0</v>
      </c>
    </row>
    <row r="18" spans="1:7" ht="15.75" thickTop="1" x14ac:dyDescent="0.25">
      <c r="A18" s="215"/>
      <c r="B18" s="207"/>
      <c r="C18" s="207"/>
      <c r="D18" s="207">
        <v>113.290935</v>
      </c>
      <c r="E18" s="207"/>
      <c r="F18" s="207"/>
      <c r="G18" s="207"/>
    </row>
    <row r="19" spans="1:7" x14ac:dyDescent="0.25">
      <c r="A19" s="215"/>
      <c r="B19" s="33"/>
      <c r="C19" s="33"/>
      <c r="D19" s="288">
        <f>+D17-D18</f>
        <v>-9.4660000000000082</v>
      </c>
      <c r="E19" s="33"/>
      <c r="F19" s="207"/>
      <c r="G19" s="207"/>
    </row>
    <row r="20" spans="1:7" x14ac:dyDescent="0.25">
      <c r="B20" s="411"/>
    </row>
    <row r="26" spans="1:7" x14ac:dyDescent="0.25">
      <c r="D26" s="452"/>
    </row>
    <row r="27" spans="1:7" x14ac:dyDescent="0.25">
      <c r="D27" s="453"/>
    </row>
  </sheetData>
  <mergeCells count="7">
    <mergeCell ref="A2:G2"/>
    <mergeCell ref="A3:G3"/>
    <mergeCell ref="A4:G4"/>
    <mergeCell ref="A6:A7"/>
    <mergeCell ref="B6:B7"/>
    <mergeCell ref="C6:E6"/>
    <mergeCell ref="F6:G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" sqref="H2"/>
    </sheetView>
  </sheetViews>
  <sheetFormatPr defaultRowHeight="15" x14ac:dyDescent="0.25"/>
  <cols>
    <col min="3" max="3" width="11.7109375" customWidth="1"/>
    <col min="7" max="7" width="11.140625" customWidth="1"/>
    <col min="8" max="8" width="10.85546875" customWidth="1"/>
  </cols>
  <sheetData>
    <row r="1" spans="1:8" ht="15.75" x14ac:dyDescent="0.25">
      <c r="A1" s="289"/>
      <c r="B1" s="290"/>
      <c r="C1" s="291"/>
      <c r="D1" s="290"/>
      <c r="E1" s="290"/>
      <c r="F1" s="290"/>
      <c r="G1" s="290"/>
      <c r="H1" s="292" t="s">
        <v>467</v>
      </c>
    </row>
    <row r="2" spans="1:8" ht="15.75" x14ac:dyDescent="0.25">
      <c r="A2" s="289"/>
      <c r="B2" s="290"/>
      <c r="C2" s="291"/>
      <c r="D2" s="290"/>
      <c r="E2" s="290"/>
      <c r="F2" s="290"/>
      <c r="G2" s="290"/>
      <c r="H2" s="292" t="str">
        <f>'[3]Anx P'!D2</f>
        <v>MONTH - MAR, 2024</v>
      </c>
    </row>
    <row r="3" spans="1:8" x14ac:dyDescent="0.25">
      <c r="A3" s="289"/>
      <c r="B3" s="290"/>
      <c r="C3" s="291"/>
      <c r="D3" s="290"/>
      <c r="E3" s="290"/>
      <c r="F3" s="290"/>
      <c r="G3" s="290"/>
      <c r="H3" s="290"/>
    </row>
    <row r="4" spans="1:8" ht="18" x14ac:dyDescent="0.25">
      <c r="A4" s="884" t="s">
        <v>468</v>
      </c>
      <c r="B4" s="884"/>
      <c r="C4" s="884"/>
      <c r="D4" s="884"/>
      <c r="E4" s="884"/>
      <c r="F4" s="884"/>
      <c r="G4" s="884"/>
      <c r="H4" s="884"/>
    </row>
    <row r="5" spans="1:8" ht="15.75" x14ac:dyDescent="0.25">
      <c r="A5" s="857" t="str">
        <f>'[3]Anx O'!A6:E6</f>
        <v>Re-Modelling and Up Gradation of ADA Nullah and Walton Road Pkg-I</v>
      </c>
      <c r="B5" s="857"/>
      <c r="C5" s="857"/>
      <c r="D5" s="857"/>
      <c r="E5" s="857"/>
      <c r="F5" s="857"/>
      <c r="G5" s="857"/>
      <c r="H5" s="857"/>
    </row>
    <row r="6" spans="1:8" ht="18" x14ac:dyDescent="0.25">
      <c r="A6" s="884" t="s">
        <v>469</v>
      </c>
      <c r="B6" s="884"/>
      <c r="C6" s="884"/>
      <c r="D6" s="884"/>
      <c r="E6" s="884"/>
      <c r="F6" s="884"/>
      <c r="G6" s="884"/>
      <c r="H6" s="884"/>
    </row>
    <row r="7" spans="1:8" ht="15.75" thickBot="1" x14ac:dyDescent="0.3">
      <c r="A7" s="289"/>
      <c r="B7" s="290"/>
      <c r="C7" s="291"/>
      <c r="D7" s="290"/>
      <c r="E7" s="290"/>
      <c r="F7" s="290"/>
      <c r="G7" s="290"/>
      <c r="H7" s="290"/>
    </row>
    <row r="8" spans="1:8" ht="16.5" thickBot="1" x14ac:dyDescent="0.3">
      <c r="A8" s="883" t="s">
        <v>141</v>
      </c>
      <c r="B8" s="883" t="s">
        <v>274</v>
      </c>
      <c r="C8" s="883" t="s">
        <v>470</v>
      </c>
      <c r="D8" s="883" t="s">
        <v>471</v>
      </c>
      <c r="E8" s="883" t="s">
        <v>472</v>
      </c>
      <c r="F8" s="883"/>
      <c r="G8" s="883" t="s">
        <v>473</v>
      </c>
      <c r="H8" s="883" t="s">
        <v>275</v>
      </c>
    </row>
    <row r="9" spans="1:8" ht="16.5" thickBot="1" x14ac:dyDescent="0.3">
      <c r="A9" s="883"/>
      <c r="B9" s="883"/>
      <c r="C9" s="883"/>
      <c r="D9" s="883"/>
      <c r="E9" s="293" t="s">
        <v>474</v>
      </c>
      <c r="F9" s="293" t="s">
        <v>475</v>
      </c>
      <c r="G9" s="883"/>
      <c r="H9" s="883"/>
    </row>
    <row r="10" spans="1:8" x14ac:dyDescent="0.25">
      <c r="A10" s="294" t="s">
        <v>367</v>
      </c>
      <c r="B10" s="294" t="s">
        <v>367</v>
      </c>
      <c r="C10" s="294" t="s">
        <v>367</v>
      </c>
      <c r="D10" s="294" t="s">
        <v>367</v>
      </c>
      <c r="E10" s="294" t="s">
        <v>367</v>
      </c>
      <c r="F10" s="294" t="s">
        <v>367</v>
      </c>
      <c r="G10" s="294" t="s">
        <v>367</v>
      </c>
      <c r="H10" s="294" t="s">
        <v>367</v>
      </c>
    </row>
    <row r="11" spans="1:8" x14ac:dyDescent="0.25">
      <c r="A11" s="294" t="s">
        <v>367</v>
      </c>
      <c r="B11" s="294" t="s">
        <v>367</v>
      </c>
      <c r="C11" s="294" t="s">
        <v>367</v>
      </c>
      <c r="D11" s="294" t="s">
        <v>367</v>
      </c>
      <c r="E11" s="294" t="s">
        <v>367</v>
      </c>
      <c r="F11" s="294" t="s">
        <v>367</v>
      </c>
      <c r="G11" s="294" t="s">
        <v>367</v>
      </c>
      <c r="H11" s="294" t="s">
        <v>367</v>
      </c>
    </row>
    <row r="12" spans="1:8" x14ac:dyDescent="0.25">
      <c r="A12" s="294" t="s">
        <v>367</v>
      </c>
      <c r="B12" s="294" t="s">
        <v>367</v>
      </c>
      <c r="C12" s="294" t="s">
        <v>367</v>
      </c>
      <c r="D12" s="294" t="s">
        <v>367</v>
      </c>
      <c r="E12" s="294" t="s">
        <v>367</v>
      </c>
      <c r="F12" s="294" t="s">
        <v>367</v>
      </c>
      <c r="G12" s="294" t="s">
        <v>367</v>
      </c>
      <c r="H12" s="294" t="s">
        <v>367</v>
      </c>
    </row>
    <row r="13" spans="1:8" ht="15.75" thickBot="1" x14ac:dyDescent="0.3">
      <c r="A13" s="294" t="s">
        <v>367</v>
      </c>
      <c r="B13" s="294" t="s">
        <v>367</v>
      </c>
      <c r="C13" s="294" t="s">
        <v>367</v>
      </c>
      <c r="D13" s="294" t="s">
        <v>367</v>
      </c>
      <c r="E13" s="294" t="s">
        <v>367</v>
      </c>
      <c r="F13" s="294" t="s">
        <v>367</v>
      </c>
      <c r="G13" s="294" t="s">
        <v>367</v>
      </c>
      <c r="H13" s="294" t="s">
        <v>367</v>
      </c>
    </row>
    <row r="14" spans="1:8" ht="16.5" thickBot="1" x14ac:dyDescent="0.3">
      <c r="A14" s="883" t="s">
        <v>245</v>
      </c>
      <c r="B14" s="883"/>
      <c r="C14" s="883"/>
      <c r="D14" s="883"/>
      <c r="E14" s="883"/>
      <c r="F14" s="883"/>
      <c r="G14" s="295">
        <f>SUM(G10:G13)</f>
        <v>0</v>
      </c>
      <c r="H14" s="296"/>
    </row>
    <row r="15" spans="1:8" ht="15.75" x14ac:dyDescent="0.25">
      <c r="A15" s="297"/>
      <c r="B15" s="297"/>
      <c r="C15" s="297"/>
      <c r="D15" s="297"/>
      <c r="E15" s="297"/>
      <c r="F15" s="297"/>
      <c r="G15" s="297"/>
      <c r="H15" s="297"/>
    </row>
    <row r="16" spans="1:8" x14ac:dyDescent="0.25">
      <c r="A16" s="298"/>
      <c r="B16" s="299" t="s">
        <v>287</v>
      </c>
      <c r="C16" s="298"/>
      <c r="D16" s="298"/>
      <c r="E16" s="298"/>
      <c r="F16" s="298"/>
      <c r="G16" s="298"/>
      <c r="H16" s="298"/>
    </row>
    <row r="17" spans="1:8" x14ac:dyDescent="0.25">
      <c r="A17" s="298"/>
      <c r="B17" s="300" t="s">
        <v>476</v>
      </c>
      <c r="C17" s="298"/>
      <c r="D17" s="298"/>
      <c r="E17" s="298"/>
      <c r="F17" s="298" t="s">
        <v>477</v>
      </c>
      <c r="G17" s="301">
        <v>0</v>
      </c>
      <c r="H17" s="290"/>
    </row>
    <row r="18" spans="1:8" ht="15.75" thickBot="1" x14ac:dyDescent="0.3">
      <c r="A18" s="298"/>
      <c r="B18" s="302" t="s">
        <v>478</v>
      </c>
      <c r="C18" s="298"/>
      <c r="D18" s="303"/>
      <c r="E18" s="303"/>
      <c r="F18" s="298" t="s">
        <v>477</v>
      </c>
      <c r="G18" s="304">
        <f>G14*G17</f>
        <v>0</v>
      </c>
      <c r="H18" s="290"/>
    </row>
    <row r="19" spans="1:8" ht="15.75" thickBot="1" x14ac:dyDescent="0.3">
      <c r="A19" s="298"/>
      <c r="B19" s="302" t="s">
        <v>479</v>
      </c>
      <c r="C19" s="298"/>
      <c r="D19" s="303"/>
      <c r="E19" s="303"/>
      <c r="F19" s="298" t="s">
        <v>477</v>
      </c>
      <c r="G19" s="305">
        <v>0</v>
      </c>
      <c r="H19" s="290"/>
    </row>
    <row r="20" spans="1:8" ht="15.75" thickBot="1" x14ac:dyDescent="0.3">
      <c r="A20" s="298"/>
      <c r="B20" s="302" t="s">
        <v>480</v>
      </c>
      <c r="C20" s="298"/>
      <c r="D20" s="303"/>
      <c r="E20" s="303"/>
      <c r="F20" s="298" t="s">
        <v>477</v>
      </c>
      <c r="G20" s="306">
        <v>0</v>
      </c>
      <c r="H20" s="290"/>
    </row>
    <row r="21" spans="1:8" ht="15.75" thickBot="1" x14ac:dyDescent="0.3">
      <c r="A21" s="298"/>
      <c r="B21" s="307"/>
      <c r="C21" s="298"/>
      <c r="D21" s="303"/>
      <c r="E21" s="303"/>
      <c r="F21" s="298" t="s">
        <v>477</v>
      </c>
      <c r="G21" s="305">
        <f>G19-G20</f>
        <v>0</v>
      </c>
      <c r="H21" s="290"/>
    </row>
    <row r="22" spans="1:8" x14ac:dyDescent="0.25">
      <c r="A22" s="298"/>
      <c r="B22" s="290"/>
      <c r="C22" s="290"/>
      <c r="D22" s="290"/>
      <c r="E22" s="290"/>
      <c r="F22" s="290"/>
      <c r="G22" s="290"/>
      <c r="H22" s="290"/>
    </row>
    <row r="23" spans="1:8" x14ac:dyDescent="0.25">
      <c r="A23" s="298"/>
      <c r="B23" s="298"/>
      <c r="C23" s="298"/>
      <c r="D23" s="298"/>
      <c r="E23" s="298"/>
      <c r="F23" s="298"/>
      <c r="G23" s="298"/>
      <c r="H23" s="298"/>
    </row>
    <row r="24" spans="1:8" x14ac:dyDescent="0.25">
      <c r="A24" s="298"/>
      <c r="B24" s="308" t="s">
        <v>481</v>
      </c>
      <c r="C24" s="298"/>
      <c r="D24" s="298"/>
      <c r="E24" s="298"/>
      <c r="F24" s="298"/>
      <c r="G24" s="309"/>
      <c r="H24" s="298"/>
    </row>
    <row r="25" spans="1:8" x14ac:dyDescent="0.25">
      <c r="A25" s="298"/>
      <c r="B25" s="300" t="s">
        <v>482</v>
      </c>
      <c r="C25" s="298"/>
      <c r="D25" s="298"/>
      <c r="E25" s="298"/>
      <c r="F25" s="298" t="s">
        <v>477</v>
      </c>
      <c r="G25" s="301">
        <v>0</v>
      </c>
      <c r="H25" s="298"/>
    </row>
    <row r="26" spans="1:8" x14ac:dyDescent="0.25">
      <c r="A26" s="298"/>
      <c r="B26" s="302" t="str">
        <f>B18</f>
        <v xml:space="preserve">Total Cost </v>
      </c>
      <c r="C26" s="298"/>
      <c r="D26" s="303"/>
      <c r="E26" s="303"/>
      <c r="F26" s="298" t="s">
        <v>477</v>
      </c>
      <c r="G26" s="304">
        <f>G25*G14</f>
        <v>0</v>
      </c>
      <c r="H26" s="310"/>
    </row>
    <row r="27" spans="1:8" x14ac:dyDescent="0.25">
      <c r="A27" s="289"/>
      <c r="B27" s="300" t="s">
        <v>483</v>
      </c>
      <c r="C27" s="291"/>
      <c r="D27" s="290"/>
      <c r="E27" s="290"/>
      <c r="F27" s="298" t="s">
        <v>477</v>
      </c>
      <c r="G27" s="301">
        <v>0</v>
      </c>
      <c r="H27" s="290"/>
    </row>
    <row r="28" spans="1:8" ht="15.75" thickBot="1" x14ac:dyDescent="0.3">
      <c r="A28" s="289"/>
      <c r="B28" s="300" t="s">
        <v>484</v>
      </c>
      <c r="C28" s="291"/>
      <c r="D28" s="290"/>
      <c r="E28" s="290"/>
      <c r="F28" s="298" t="s">
        <v>477</v>
      </c>
      <c r="G28" s="301">
        <v>0</v>
      </c>
      <c r="H28" s="290"/>
    </row>
    <row r="29" spans="1:8" ht="15.75" thickBot="1" x14ac:dyDescent="0.3">
      <c r="A29" s="289"/>
      <c r="B29" s="302" t="s">
        <v>485</v>
      </c>
      <c r="C29" s="298"/>
      <c r="D29" s="303"/>
      <c r="E29" s="303"/>
      <c r="F29" s="298" t="s">
        <v>477</v>
      </c>
      <c r="G29" s="305">
        <f>G26-G27+G28</f>
        <v>0</v>
      </c>
      <c r="H29" s="290"/>
    </row>
  </sheetData>
  <mergeCells count="11">
    <mergeCell ref="A14:F14"/>
    <mergeCell ref="A4:H4"/>
    <mergeCell ref="A5:H5"/>
    <mergeCell ref="A6:H6"/>
    <mergeCell ref="A8:A9"/>
    <mergeCell ref="B8:B9"/>
    <mergeCell ref="C8:C9"/>
    <mergeCell ref="D8:D9"/>
    <mergeCell ref="E8:F8"/>
    <mergeCell ref="G8:G9"/>
    <mergeCell ref="H8:H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R8" sqref="R8"/>
    </sheetView>
  </sheetViews>
  <sheetFormatPr defaultRowHeight="15" x14ac:dyDescent="0.25"/>
  <cols>
    <col min="21" max="22" width="12.42578125" customWidth="1"/>
  </cols>
  <sheetData>
    <row r="1" spans="1:22" ht="15.7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78"/>
      <c r="V1" s="292" t="s">
        <v>486</v>
      </c>
    </row>
    <row r="2" spans="1:22" ht="15.75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78"/>
      <c r="V2" s="292" t="str">
        <f>'[3]Anx Q'!H2</f>
        <v>MONTH - MAR, 2024</v>
      </c>
    </row>
    <row r="3" spans="1:22" ht="15.75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78"/>
      <c r="V3" s="292"/>
    </row>
    <row r="4" spans="1:22" ht="18" x14ac:dyDescent="0.25">
      <c r="A4" s="884" t="s">
        <v>487</v>
      </c>
      <c r="B4" s="885"/>
      <c r="C4" s="885"/>
      <c r="D4" s="885"/>
      <c r="E4" s="885"/>
      <c r="F4" s="885"/>
      <c r="G4" s="885"/>
      <c r="H4" s="885"/>
      <c r="I4" s="885"/>
      <c r="J4" s="885"/>
      <c r="K4" s="885"/>
      <c r="L4" s="885"/>
      <c r="M4" s="885"/>
      <c r="N4" s="885"/>
      <c r="O4" s="885"/>
      <c r="P4" s="885"/>
      <c r="Q4" s="885"/>
      <c r="R4" s="885"/>
      <c r="S4" s="885"/>
      <c r="T4" s="885"/>
      <c r="U4" s="885"/>
      <c r="V4" s="885"/>
    </row>
    <row r="5" spans="1:22" ht="20.25" x14ac:dyDescent="0.25">
      <c r="A5" s="886" t="s">
        <v>488</v>
      </c>
      <c r="B5" s="887"/>
      <c r="C5" s="887"/>
      <c r="D5" s="887"/>
      <c r="E5" s="887"/>
      <c r="F5" s="887"/>
      <c r="G5" s="887"/>
      <c r="H5" s="887"/>
      <c r="I5" s="887"/>
      <c r="J5" s="887"/>
      <c r="K5" s="887"/>
      <c r="L5" s="887"/>
      <c r="M5" s="887"/>
      <c r="N5" s="887"/>
      <c r="O5" s="887"/>
      <c r="P5" s="887"/>
      <c r="Q5" s="887"/>
      <c r="R5" s="887"/>
      <c r="S5" s="887"/>
      <c r="T5" s="887"/>
      <c r="U5" s="887"/>
      <c r="V5" s="887"/>
    </row>
    <row r="6" spans="1:22" ht="15.75" thickBo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</row>
    <row r="7" spans="1:22" ht="65.45" customHeight="1" thickTop="1" thickBot="1" x14ac:dyDescent="0.3">
      <c r="A7" s="888" t="s">
        <v>489</v>
      </c>
      <c r="B7" s="890" t="s">
        <v>490</v>
      </c>
      <c r="C7" s="892" t="s">
        <v>491</v>
      </c>
      <c r="D7" s="892"/>
      <c r="E7" s="892" t="s">
        <v>492</v>
      </c>
      <c r="F7" s="892"/>
      <c r="G7" s="892" t="s">
        <v>493</v>
      </c>
      <c r="H7" s="892"/>
      <c r="I7" s="892" t="s">
        <v>494</v>
      </c>
      <c r="J7" s="892"/>
      <c r="K7" s="892" t="s">
        <v>495</v>
      </c>
      <c r="L7" s="892"/>
      <c r="M7" s="892" t="s">
        <v>496</v>
      </c>
      <c r="N7" s="892"/>
      <c r="O7" s="892" t="s">
        <v>497</v>
      </c>
      <c r="P7" s="892"/>
      <c r="Q7" s="893" t="s">
        <v>498</v>
      </c>
      <c r="R7" s="894"/>
      <c r="S7" s="893" t="s">
        <v>499</v>
      </c>
      <c r="T7" s="894"/>
      <c r="U7" s="892" t="s">
        <v>500</v>
      </c>
      <c r="V7" s="892" t="s">
        <v>501</v>
      </c>
    </row>
    <row r="8" spans="1:22" ht="77.45" customHeight="1" thickTop="1" thickBot="1" x14ac:dyDescent="0.3">
      <c r="A8" s="889"/>
      <c r="B8" s="891"/>
      <c r="C8" s="311" t="s">
        <v>502</v>
      </c>
      <c r="D8" s="311" t="s">
        <v>503</v>
      </c>
      <c r="E8" s="311" t="s">
        <v>502</v>
      </c>
      <c r="F8" s="311" t="s">
        <v>503</v>
      </c>
      <c r="G8" s="311" t="s">
        <v>502</v>
      </c>
      <c r="H8" s="311" t="s">
        <v>503</v>
      </c>
      <c r="I8" s="311" t="s">
        <v>502</v>
      </c>
      <c r="J8" s="311" t="s">
        <v>503</v>
      </c>
      <c r="K8" s="311" t="s">
        <v>502</v>
      </c>
      <c r="L8" s="311" t="s">
        <v>503</v>
      </c>
      <c r="M8" s="311" t="s">
        <v>502</v>
      </c>
      <c r="N8" s="311" t="s">
        <v>503</v>
      </c>
      <c r="O8" s="311" t="s">
        <v>502</v>
      </c>
      <c r="P8" s="311" t="s">
        <v>503</v>
      </c>
      <c r="Q8" s="61" t="s">
        <v>502</v>
      </c>
      <c r="R8" s="61" t="s">
        <v>503</v>
      </c>
      <c r="S8" s="61" t="s">
        <v>502</v>
      </c>
      <c r="T8" s="61" t="s">
        <v>503</v>
      </c>
      <c r="U8" s="892"/>
      <c r="V8" s="892"/>
    </row>
    <row r="9" spans="1:22" ht="15.75" thickTop="1" x14ac:dyDescent="0.25">
      <c r="A9" s="312">
        <v>1</v>
      </c>
      <c r="B9" s="313" t="s">
        <v>367</v>
      </c>
      <c r="C9" s="313" t="s">
        <v>367</v>
      </c>
      <c r="D9" s="313" t="s">
        <v>367</v>
      </c>
      <c r="E9" s="314" t="s">
        <v>367</v>
      </c>
      <c r="F9" s="314" t="s">
        <v>367</v>
      </c>
      <c r="G9" s="314" t="s">
        <v>367</v>
      </c>
      <c r="H9" s="314" t="s">
        <v>367</v>
      </c>
      <c r="I9" s="314" t="s">
        <v>367</v>
      </c>
      <c r="J9" s="314" t="s">
        <v>367</v>
      </c>
      <c r="K9" s="314" t="s">
        <v>367</v>
      </c>
      <c r="L9" s="314" t="s">
        <v>367</v>
      </c>
      <c r="M9" s="314" t="s">
        <v>367</v>
      </c>
      <c r="N9" s="314" t="s">
        <v>367</v>
      </c>
      <c r="O9" s="314" t="s">
        <v>367</v>
      </c>
      <c r="P9" s="314" t="s">
        <v>367</v>
      </c>
      <c r="Q9" s="314" t="s">
        <v>367</v>
      </c>
      <c r="R9" s="314" t="s">
        <v>367</v>
      </c>
      <c r="S9" s="314" t="s">
        <v>367</v>
      </c>
      <c r="T9" s="314" t="s">
        <v>367</v>
      </c>
      <c r="U9" s="314" t="s">
        <v>367</v>
      </c>
      <c r="V9" s="314" t="s">
        <v>367</v>
      </c>
    </row>
    <row r="10" spans="1:22" x14ac:dyDescent="0.25">
      <c r="A10" s="312">
        <v>2</v>
      </c>
      <c r="B10" s="313" t="s">
        <v>367</v>
      </c>
      <c r="C10" s="313" t="s">
        <v>367</v>
      </c>
      <c r="D10" s="313" t="s">
        <v>367</v>
      </c>
      <c r="E10" s="314" t="s">
        <v>367</v>
      </c>
      <c r="F10" s="314" t="s">
        <v>367</v>
      </c>
      <c r="G10" s="314" t="s">
        <v>367</v>
      </c>
      <c r="H10" s="314" t="s">
        <v>367</v>
      </c>
      <c r="I10" s="314" t="s">
        <v>367</v>
      </c>
      <c r="J10" s="314" t="s">
        <v>367</v>
      </c>
      <c r="K10" s="314" t="s">
        <v>367</v>
      </c>
      <c r="L10" s="314" t="s">
        <v>367</v>
      </c>
      <c r="M10" s="314" t="s">
        <v>367</v>
      </c>
      <c r="N10" s="314" t="s">
        <v>367</v>
      </c>
      <c r="O10" s="314" t="s">
        <v>367</v>
      </c>
      <c r="P10" s="314" t="s">
        <v>367</v>
      </c>
      <c r="Q10" s="314" t="s">
        <v>367</v>
      </c>
      <c r="R10" s="314" t="s">
        <v>367</v>
      </c>
      <c r="S10" s="314" t="s">
        <v>367</v>
      </c>
      <c r="T10" s="314" t="s">
        <v>367</v>
      </c>
      <c r="U10" s="314" t="s">
        <v>367</v>
      </c>
      <c r="V10" s="314" t="s">
        <v>367</v>
      </c>
    </row>
  </sheetData>
  <mergeCells count="15">
    <mergeCell ref="A4:V4"/>
    <mergeCell ref="A5:V5"/>
    <mergeCell ref="A7:A8"/>
    <mergeCell ref="B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U8"/>
    <mergeCell ref="V7:V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view="pageBreakPreview" topLeftCell="A19" zoomScaleNormal="100" zoomScaleSheetLayoutView="100" workbookViewId="0">
      <selection activeCell="D28" sqref="D28"/>
    </sheetView>
  </sheetViews>
  <sheetFormatPr defaultRowHeight="15" x14ac:dyDescent="0.25"/>
  <cols>
    <col min="1" max="1" width="3.140625" customWidth="1"/>
    <col min="2" max="2" width="2" customWidth="1"/>
    <col min="3" max="3" width="21.5703125" bestFit="1" customWidth="1"/>
    <col min="4" max="4" width="19.7109375" bestFit="1" customWidth="1"/>
    <col min="5" max="5" width="17.28515625" customWidth="1"/>
    <col min="6" max="6" width="14.140625" bestFit="1" customWidth="1"/>
    <col min="7" max="7" width="12.5703125" customWidth="1"/>
    <col min="8" max="8" width="13" customWidth="1"/>
    <col min="9" max="9" width="18" bestFit="1" customWidth="1"/>
    <col min="10" max="10" width="18.5703125" bestFit="1" customWidth="1"/>
    <col min="11" max="14" width="12.7109375" bestFit="1" customWidth="1"/>
    <col min="15" max="15" width="11" bestFit="1" customWidth="1"/>
    <col min="16" max="18" width="9.5703125" bestFit="1" customWidth="1"/>
    <col min="19" max="19" width="18" bestFit="1" customWidth="1"/>
  </cols>
  <sheetData>
    <row r="1" spans="1:10" ht="15.75" x14ac:dyDescent="0.25">
      <c r="A1" s="748" t="s">
        <v>61</v>
      </c>
      <c r="B1" s="748"/>
      <c r="C1" s="748"/>
      <c r="D1" s="748"/>
      <c r="E1" s="748"/>
      <c r="F1" s="748"/>
      <c r="G1" s="748"/>
      <c r="H1" s="748"/>
    </row>
    <row r="2" spans="1:10" ht="15.75" x14ac:dyDescent="0.25">
      <c r="A2" s="749" t="s">
        <v>815</v>
      </c>
      <c r="B2" s="749"/>
      <c r="C2" s="749"/>
      <c r="D2" s="749"/>
      <c r="E2" s="749"/>
      <c r="F2" s="749"/>
      <c r="G2" s="749"/>
      <c r="H2" s="749"/>
    </row>
    <row r="3" spans="1:10" ht="15.75" x14ac:dyDescent="0.25">
      <c r="A3" s="749" t="str">
        <f>Summary!A2</f>
        <v>Re-Modelling and Up Gradation of ADA Nullah and Walton Road Pkg-I</v>
      </c>
      <c r="B3" s="749"/>
      <c r="C3" s="749"/>
      <c r="D3" s="749"/>
      <c r="E3" s="749"/>
      <c r="F3" s="749"/>
      <c r="G3" s="749"/>
      <c r="H3" s="749"/>
    </row>
    <row r="4" spans="1:10" ht="15.75" x14ac:dyDescent="0.25">
      <c r="A4" s="749"/>
      <c r="B4" s="749"/>
      <c r="C4" s="749"/>
      <c r="D4" s="749"/>
      <c r="E4" s="749"/>
      <c r="F4" s="749"/>
      <c r="G4" s="749"/>
      <c r="H4" s="749"/>
    </row>
    <row r="5" spans="1:10" x14ac:dyDescent="0.25">
      <c r="A5" s="5">
        <v>1</v>
      </c>
      <c r="B5" s="750" t="s">
        <v>62</v>
      </c>
      <c r="C5" s="750"/>
      <c r="D5" s="33"/>
      <c r="E5" s="33"/>
      <c r="F5" s="33"/>
      <c r="G5" s="33"/>
      <c r="H5" s="33"/>
    </row>
    <row r="6" spans="1:10" x14ac:dyDescent="0.25">
      <c r="A6" s="34"/>
      <c r="B6" s="35" t="s">
        <v>63</v>
      </c>
      <c r="C6" s="35"/>
      <c r="D6" s="35"/>
      <c r="E6" s="35"/>
      <c r="F6" s="35"/>
      <c r="G6" s="33"/>
      <c r="H6" s="36">
        <v>45215</v>
      </c>
    </row>
    <row r="7" spans="1:10" x14ac:dyDescent="0.25">
      <c r="A7" s="34"/>
      <c r="B7" s="35" t="s">
        <v>64</v>
      </c>
      <c r="C7" s="35"/>
      <c r="D7" s="35"/>
      <c r="E7" s="35"/>
      <c r="F7" s="35"/>
      <c r="G7" s="33"/>
      <c r="H7" s="36">
        <f>H6+540</f>
        <v>45755</v>
      </c>
    </row>
    <row r="8" spans="1:10" x14ac:dyDescent="0.25">
      <c r="A8" s="34"/>
      <c r="B8" s="35" t="s">
        <v>814</v>
      </c>
      <c r="C8" s="35"/>
      <c r="D8" s="35"/>
      <c r="E8" s="35"/>
      <c r="F8" s="35"/>
      <c r="G8" s="33"/>
      <c r="H8" s="36">
        <v>45843</v>
      </c>
    </row>
    <row r="9" spans="1:10" x14ac:dyDescent="0.25">
      <c r="A9" s="5">
        <v>2</v>
      </c>
      <c r="B9" s="6" t="s">
        <v>65</v>
      </c>
      <c r="C9" s="35"/>
      <c r="D9" s="34"/>
      <c r="E9" s="35"/>
      <c r="F9" s="35"/>
      <c r="G9" s="33"/>
      <c r="H9" s="38" t="s">
        <v>66</v>
      </c>
    </row>
    <row r="10" spans="1:10" x14ac:dyDescent="0.25">
      <c r="A10" s="5">
        <v>3</v>
      </c>
      <c r="B10" s="750" t="s">
        <v>6</v>
      </c>
      <c r="C10" s="750"/>
      <c r="D10" s="33"/>
      <c r="E10" s="751"/>
      <c r="F10" s="751"/>
      <c r="G10" s="752" t="s">
        <v>67</v>
      </c>
      <c r="H10" s="752"/>
    </row>
    <row r="11" spans="1:10" x14ac:dyDescent="0.25">
      <c r="A11" s="34"/>
      <c r="B11" s="39" t="s">
        <v>68</v>
      </c>
      <c r="C11" s="33"/>
      <c r="D11" s="33"/>
      <c r="E11" s="40"/>
      <c r="F11" s="41"/>
      <c r="G11" s="41" t="s">
        <v>69</v>
      </c>
      <c r="H11" s="41" t="s">
        <v>70</v>
      </c>
    </row>
    <row r="12" spans="1:10" x14ac:dyDescent="0.25">
      <c r="A12" s="34"/>
      <c r="B12" s="33"/>
      <c r="C12" s="35" t="s">
        <v>71</v>
      </c>
      <c r="D12" s="35"/>
      <c r="E12" s="42"/>
      <c r="F12" s="43"/>
      <c r="G12" s="720">
        <f>+Appendix!D31</f>
        <v>9899.9989999999998</v>
      </c>
      <c r="H12" s="45">
        <f>+Appendix!F31</f>
        <v>0.99999989898989894</v>
      </c>
    </row>
    <row r="13" spans="1:10" x14ac:dyDescent="0.25">
      <c r="A13" s="34"/>
      <c r="B13" s="33"/>
      <c r="C13" s="35" t="s">
        <v>813</v>
      </c>
      <c r="D13" s="35"/>
      <c r="E13" s="46"/>
      <c r="F13" s="43"/>
      <c r="G13" s="719">
        <f>+Appendix!E31</f>
        <v>9571.3758000000016</v>
      </c>
      <c r="H13" s="45">
        <f>+Appendix!G31</f>
        <v>0.96680563636363648</v>
      </c>
    </row>
    <row r="14" spans="1:10" x14ac:dyDescent="0.25">
      <c r="A14" s="5">
        <v>4</v>
      </c>
      <c r="B14" s="750" t="s">
        <v>16</v>
      </c>
      <c r="C14" s="750"/>
      <c r="D14" s="33"/>
      <c r="E14" s="33"/>
      <c r="F14" s="47"/>
      <c r="G14" s="47"/>
      <c r="H14" s="48" t="s">
        <v>69</v>
      </c>
    </row>
    <row r="15" spans="1:10" x14ac:dyDescent="0.25">
      <c r="A15" s="34"/>
      <c r="B15" s="35" t="s">
        <v>72</v>
      </c>
      <c r="C15" s="35"/>
      <c r="D15" s="35"/>
      <c r="E15" s="35"/>
      <c r="F15" s="49"/>
      <c r="G15" s="50"/>
      <c r="H15" s="44">
        <v>9573.9259999999995</v>
      </c>
      <c r="J15" s="488"/>
    </row>
    <row r="16" spans="1:10" x14ac:dyDescent="0.25">
      <c r="A16" s="34"/>
      <c r="B16" s="35" t="s">
        <v>753</v>
      </c>
      <c r="C16" s="35"/>
      <c r="D16" s="35"/>
      <c r="E16" s="51"/>
      <c r="F16" s="52"/>
      <c r="G16" s="53"/>
      <c r="H16" s="37">
        <v>9900</v>
      </c>
      <c r="J16" s="335"/>
    </row>
    <row r="17" spans="1:21" x14ac:dyDescent="0.25">
      <c r="A17" s="34"/>
      <c r="B17" s="35" t="s">
        <v>752</v>
      </c>
      <c r="C17" s="35"/>
      <c r="D17" s="35"/>
      <c r="E17" s="54"/>
      <c r="F17" s="53"/>
      <c r="G17" s="35"/>
      <c r="H17" s="55">
        <f>'Anx-J'!U33/1000000</f>
        <v>7442.3379379999997</v>
      </c>
      <c r="K17">
        <f>4140+2346+2113+10001</f>
        <v>18600</v>
      </c>
    </row>
    <row r="18" spans="1:21" x14ac:dyDescent="0.25">
      <c r="A18" s="34"/>
      <c r="B18" s="56" t="s">
        <v>722</v>
      </c>
      <c r="C18" s="56"/>
      <c r="D18" s="56"/>
      <c r="E18" s="57"/>
      <c r="F18" s="56"/>
      <c r="G18" s="56"/>
      <c r="H18" s="55">
        <v>3877.5709999999999</v>
      </c>
    </row>
    <row r="19" spans="1:21" x14ac:dyDescent="0.25">
      <c r="A19" s="34"/>
      <c r="B19" s="56"/>
      <c r="C19" s="56"/>
      <c r="D19" s="56"/>
      <c r="E19" s="57"/>
      <c r="F19" s="56"/>
      <c r="G19" s="56"/>
      <c r="H19" s="58"/>
      <c r="I19" s="335"/>
      <c r="J19" s="410"/>
      <c r="O19" t="s">
        <v>619</v>
      </c>
    </row>
    <row r="20" spans="1:21" x14ac:dyDescent="0.25">
      <c r="A20" s="5">
        <v>5</v>
      </c>
      <c r="B20" s="750" t="s">
        <v>73</v>
      </c>
      <c r="C20" s="750"/>
      <c r="D20" s="750"/>
      <c r="E20" s="750"/>
      <c r="F20" s="750"/>
      <c r="G20" s="59"/>
      <c r="H20" s="60"/>
      <c r="I20" s="334"/>
      <c r="Q20" t="s">
        <v>689</v>
      </c>
    </row>
    <row r="21" spans="1:21" ht="15.75" thickBot="1" x14ac:dyDescent="0.3">
      <c r="A21" s="5"/>
      <c r="B21" s="74"/>
      <c r="C21" s="74"/>
      <c r="D21" s="74"/>
      <c r="E21" s="74"/>
      <c r="F21" s="74"/>
      <c r="G21" s="59"/>
      <c r="H21" s="60"/>
      <c r="I21" s="334"/>
      <c r="J21" s="524">
        <v>7406552168</v>
      </c>
      <c r="O21" t="e">
        <f>#REF!/1000000</f>
        <v>#REF!</v>
      </c>
      <c r="Q21" t="e">
        <f>#REF!/1000000</f>
        <v>#REF!</v>
      </c>
    </row>
    <row r="22" spans="1:21" ht="16.5" thickTop="1" thickBot="1" x14ac:dyDescent="0.3">
      <c r="A22" s="34"/>
      <c r="B22" s="33"/>
      <c r="C22" s="33"/>
      <c r="D22" s="745" t="s">
        <v>68</v>
      </c>
      <c r="E22" s="746"/>
      <c r="F22" s="747"/>
      <c r="G22" s="745" t="s">
        <v>74</v>
      </c>
      <c r="H22" s="747"/>
      <c r="J22" s="745" t="s">
        <v>68</v>
      </c>
      <c r="K22" s="746"/>
      <c r="L22" s="747"/>
      <c r="M22" s="745" t="s">
        <v>74</v>
      </c>
      <c r="N22" s="747"/>
      <c r="S22" s="397"/>
    </row>
    <row r="23" spans="1:21" ht="31.5" thickTop="1" thickBot="1" x14ac:dyDescent="0.3">
      <c r="A23" s="34"/>
      <c r="B23" s="33"/>
      <c r="C23" s="53"/>
      <c r="D23" s="61" t="s">
        <v>75</v>
      </c>
      <c r="E23" s="61" t="s">
        <v>76</v>
      </c>
      <c r="F23" s="61" t="s">
        <v>77</v>
      </c>
      <c r="G23" s="62" t="s">
        <v>76</v>
      </c>
      <c r="H23" s="61" t="s">
        <v>77</v>
      </c>
      <c r="I23" s="318">
        <f>9636-9617.8</f>
        <v>18.200000000000728</v>
      </c>
      <c r="J23" s="61" t="s">
        <v>75</v>
      </c>
      <c r="K23" s="61" t="s">
        <v>76</v>
      </c>
      <c r="L23" s="61" t="s">
        <v>77</v>
      </c>
      <c r="M23" s="62" t="s">
        <v>76</v>
      </c>
      <c r="N23" s="61" t="s">
        <v>77</v>
      </c>
      <c r="O23" s="61" t="s">
        <v>76</v>
      </c>
      <c r="P23" s="61" t="s">
        <v>77</v>
      </c>
      <c r="Q23" s="62" t="s">
        <v>76</v>
      </c>
      <c r="R23" s="61" t="s">
        <v>77</v>
      </c>
      <c r="S23" s="503"/>
    </row>
    <row r="24" spans="1:21" ht="15.75" thickTop="1" x14ac:dyDescent="0.25">
      <c r="A24" s="34"/>
      <c r="B24" s="33"/>
      <c r="C24" s="63" t="s">
        <v>78</v>
      </c>
      <c r="D24" s="64"/>
      <c r="E24" s="64"/>
      <c r="F24" s="64"/>
      <c r="G24" s="64"/>
      <c r="H24" s="65"/>
      <c r="I24" s="318">
        <f>8634-8585</f>
        <v>49</v>
      </c>
      <c r="J24" s="64"/>
      <c r="K24" s="64"/>
      <c r="L24" s="64"/>
      <c r="M24" s="64"/>
      <c r="N24" s="65"/>
    </row>
    <row r="25" spans="1:21" x14ac:dyDescent="0.25">
      <c r="A25" s="34"/>
      <c r="B25" s="33"/>
      <c r="C25" s="56" t="s">
        <v>79</v>
      </c>
      <c r="D25" s="44">
        <f>'Anx-B'!D52+'Anx-C'!I73</f>
        <v>37.4955</v>
      </c>
      <c r="E25" s="44">
        <f>'Anx-B'!E52+'Anx-C'!J73</f>
        <v>9571.3755752999969</v>
      </c>
      <c r="F25" s="44">
        <f>'Anx-B'!F52+'Anx-C'!K73</f>
        <v>37.495500000000007</v>
      </c>
      <c r="G25" s="44">
        <f>'Anx-B'!G52+'Anx-C'!L73</f>
        <v>8624.2705500000011</v>
      </c>
      <c r="H25" s="44">
        <f>'Anx-B'!H52+'Anx-C'!M73</f>
        <v>0</v>
      </c>
      <c r="I25" s="375" t="e">
        <f>+#REF!/1000000</f>
        <v>#REF!</v>
      </c>
      <c r="J25" s="44">
        <v>0</v>
      </c>
      <c r="K25" s="44">
        <v>9533.8800752999996</v>
      </c>
      <c r="L25" s="44">
        <v>0</v>
      </c>
      <c r="M25" s="44">
        <v>8624.2705500000011</v>
      </c>
      <c r="N25" s="44">
        <v>0</v>
      </c>
      <c r="O25" s="335">
        <f t="shared" ref="O25:R26" si="0">E25-K25</f>
        <v>37.495499999997264</v>
      </c>
      <c r="P25" s="335">
        <f t="shared" si="0"/>
        <v>37.495500000000007</v>
      </c>
      <c r="Q25" s="335">
        <f t="shared" si="0"/>
        <v>0</v>
      </c>
      <c r="R25" s="335">
        <f t="shared" si="0"/>
        <v>0</v>
      </c>
      <c r="S25" s="396">
        <f>Q25-R25</f>
        <v>0</v>
      </c>
      <c r="T25" s="396"/>
      <c r="U25" s="335"/>
    </row>
    <row r="26" spans="1:21" x14ac:dyDescent="0.25">
      <c r="A26" s="34"/>
      <c r="B26" s="33"/>
      <c r="C26" s="56" t="s">
        <v>80</v>
      </c>
      <c r="D26" s="44">
        <v>0</v>
      </c>
      <c r="E26" s="44">
        <f>'Anx-K'!D13</f>
        <v>134.41365000000002</v>
      </c>
      <c r="F26" s="44">
        <f>'Anx-K'!E13</f>
        <v>0</v>
      </c>
      <c r="G26" s="44">
        <f>'Anx-K'!F13</f>
        <v>134.41365000000002</v>
      </c>
      <c r="H26" s="44">
        <f>+'Anx-K'!G13</f>
        <v>0</v>
      </c>
      <c r="I26" s="375" t="e">
        <f>+I25-G25</f>
        <v>#REF!</v>
      </c>
      <c r="J26" s="44">
        <v>0</v>
      </c>
      <c r="K26" s="44">
        <v>134.41399999999999</v>
      </c>
      <c r="L26" s="44">
        <v>0</v>
      </c>
      <c r="M26" s="44">
        <v>134.41399999999999</v>
      </c>
      <c r="N26" s="44">
        <v>0</v>
      </c>
      <c r="O26" s="396">
        <f t="shared" si="0"/>
        <v>-3.4999999996898623E-4</v>
      </c>
      <c r="P26" s="396">
        <f t="shared" si="0"/>
        <v>0</v>
      </c>
      <c r="Q26" s="396">
        <f t="shared" si="0"/>
        <v>-3.4999999996898623E-4</v>
      </c>
      <c r="R26" s="396">
        <f t="shared" si="0"/>
        <v>0</v>
      </c>
      <c r="S26" s="396"/>
    </row>
    <row r="27" spans="1:21" x14ac:dyDescent="0.25">
      <c r="A27" s="34"/>
      <c r="B27" s="33"/>
      <c r="C27" s="404" t="s">
        <v>81</v>
      </c>
      <c r="D27" s="405">
        <f>SUM(D25:D26)</f>
        <v>37.4955</v>
      </c>
      <c r="E27" s="405">
        <f>SUM(E25:E26)</f>
        <v>9705.7892252999973</v>
      </c>
      <c r="F27" s="405">
        <f>SUM(F25:F26)</f>
        <v>37.495500000000007</v>
      </c>
      <c r="G27" s="405">
        <f>SUM(G25:G26)</f>
        <v>8758.6842000000015</v>
      </c>
      <c r="H27" s="405">
        <f>SUM(H25:H26)</f>
        <v>0</v>
      </c>
      <c r="I27" s="488">
        <f>373.62+18.2</f>
        <v>391.82</v>
      </c>
      <c r="J27" s="66">
        <v>0</v>
      </c>
      <c r="K27" s="66">
        <v>9668.2940753000003</v>
      </c>
      <c r="L27" s="66">
        <v>0</v>
      </c>
      <c r="M27" s="66">
        <v>8758.6845500000018</v>
      </c>
      <c r="N27" s="66">
        <v>0</v>
      </c>
      <c r="O27" s="335"/>
      <c r="P27" s="335"/>
      <c r="Q27" s="335"/>
      <c r="R27" s="335"/>
    </row>
    <row r="28" spans="1:21" x14ac:dyDescent="0.25">
      <c r="A28" s="34"/>
      <c r="B28" s="33"/>
      <c r="C28" s="47" t="s">
        <v>82</v>
      </c>
      <c r="D28" s="44">
        <f>'Anx-D'!C44</f>
        <v>16.458398661809042</v>
      </c>
      <c r="E28" s="44">
        <f>'Anx-D'!D44</f>
        <v>8579.6276593255334</v>
      </c>
      <c r="F28" s="44">
        <f>'Anx-D'!E44</f>
        <v>16.458599095459039</v>
      </c>
      <c r="G28" s="44">
        <f>E28</f>
        <v>8579.6276593255334</v>
      </c>
      <c r="H28" s="44">
        <f>F28</f>
        <v>16.458599095459039</v>
      </c>
      <c r="I28" s="318">
        <f>+I27+14</f>
        <v>405.82</v>
      </c>
      <c r="J28" s="44">
        <v>0</v>
      </c>
      <c r="K28" s="44">
        <v>8563.169414030077</v>
      </c>
      <c r="L28" s="44">
        <v>0</v>
      </c>
      <c r="M28" s="44">
        <v>8563.169414030077</v>
      </c>
      <c r="N28" s="44">
        <v>0</v>
      </c>
      <c r="O28" s="532">
        <f t="shared" ref="O28:R33" si="1">E28-K28</f>
        <v>16.458245295456436</v>
      </c>
      <c r="P28" s="532">
        <f t="shared" si="1"/>
        <v>16.458599095459039</v>
      </c>
      <c r="Q28" s="532">
        <f t="shared" si="1"/>
        <v>16.458245295456436</v>
      </c>
      <c r="R28" s="532">
        <f t="shared" si="1"/>
        <v>16.458599095459039</v>
      </c>
      <c r="S28" s="376">
        <f>D28-O28</f>
        <v>1.533663526060991E-4</v>
      </c>
      <c r="T28" s="376">
        <f>O28-P28</f>
        <v>-3.5380000260332167E-4</v>
      </c>
      <c r="U28" s="335"/>
    </row>
    <row r="29" spans="1:21" x14ac:dyDescent="0.25">
      <c r="A29" s="34"/>
      <c r="B29" s="33"/>
      <c r="C29" s="406" t="s">
        <v>83</v>
      </c>
      <c r="D29" s="407">
        <f>D27-D28</f>
        <v>21.037101338190958</v>
      </c>
      <c r="E29" s="407">
        <f>E27-E28</f>
        <v>1126.1615659744639</v>
      </c>
      <c r="F29" s="407">
        <f>F27-F28</f>
        <v>21.036900904540968</v>
      </c>
      <c r="G29" s="407">
        <f>G27-G28</f>
        <v>179.05654067446812</v>
      </c>
      <c r="H29" s="407">
        <f>H27-H28</f>
        <v>-16.458599095459039</v>
      </c>
      <c r="I29" s="375">
        <f>+E27*5%</f>
        <v>485.28946126499989</v>
      </c>
      <c r="J29" s="44">
        <v>0</v>
      </c>
      <c r="K29" s="44">
        <v>1105.1246612699233</v>
      </c>
      <c r="L29" s="44">
        <v>0</v>
      </c>
      <c r="M29" s="44">
        <v>195.51513596992481</v>
      </c>
      <c r="N29" s="44">
        <v>0</v>
      </c>
      <c r="O29" s="335">
        <f t="shared" si="1"/>
        <v>21.036904704540575</v>
      </c>
      <c r="P29" s="335">
        <f t="shared" si="1"/>
        <v>21.036900904540968</v>
      </c>
      <c r="Q29" s="335">
        <f t="shared" si="1"/>
        <v>-16.458595295456689</v>
      </c>
      <c r="R29" s="335">
        <f t="shared" si="1"/>
        <v>-16.458599095459039</v>
      </c>
    </row>
    <row r="30" spans="1:21" x14ac:dyDescent="0.25">
      <c r="A30" s="34"/>
      <c r="B30" s="33"/>
      <c r="C30" s="47" t="s">
        <v>84</v>
      </c>
      <c r="D30" s="44">
        <f>'Anx-D'!C74</f>
        <v>10.517999999999999</v>
      </c>
      <c r="E30" s="44">
        <f>'Anx-D'!D74</f>
        <v>219.91489999999996</v>
      </c>
      <c r="F30" s="44">
        <f>'Anx-D'!E74</f>
        <v>10.517999999999999</v>
      </c>
      <c r="G30" s="44">
        <f>+'Anx-D'!D74</f>
        <v>219.91489999999996</v>
      </c>
      <c r="H30" s="44">
        <f>+F30</f>
        <v>10.517999999999999</v>
      </c>
      <c r="I30" s="412"/>
      <c r="J30" s="44">
        <v>0</v>
      </c>
      <c r="K30" s="44">
        <v>209.39689999999999</v>
      </c>
      <c r="L30" s="44">
        <v>0</v>
      </c>
      <c r="M30" s="44">
        <v>209.39689999999999</v>
      </c>
      <c r="N30" s="44">
        <v>0</v>
      </c>
      <c r="O30" s="532">
        <f t="shared" si="1"/>
        <v>10.517999999999972</v>
      </c>
      <c r="P30" s="532">
        <f t="shared" si="1"/>
        <v>10.517999999999999</v>
      </c>
      <c r="Q30" s="532">
        <f t="shared" si="1"/>
        <v>10.517999999999972</v>
      </c>
      <c r="R30" s="532">
        <f t="shared" si="1"/>
        <v>10.517999999999999</v>
      </c>
      <c r="S30" s="396"/>
    </row>
    <row r="31" spans="1:21" x14ac:dyDescent="0.25">
      <c r="A31" s="34"/>
      <c r="B31" s="33"/>
      <c r="C31" s="47" t="s">
        <v>85</v>
      </c>
      <c r="D31" s="44">
        <f>D29-D30</f>
        <v>10.519101338190959</v>
      </c>
      <c r="E31" s="44">
        <f>E29-E30</f>
        <v>906.24666597446389</v>
      </c>
      <c r="F31" s="44">
        <f>F29-F30</f>
        <v>10.518900904540969</v>
      </c>
      <c r="G31" s="44">
        <f>G29-G30</f>
        <v>-40.858359325531836</v>
      </c>
      <c r="H31" s="44">
        <f>H29-H30</f>
        <v>-26.976599095459036</v>
      </c>
      <c r="J31" s="44">
        <v>0</v>
      </c>
      <c r="K31" s="44">
        <v>895.72776126992335</v>
      </c>
      <c r="L31" s="44">
        <v>0</v>
      </c>
      <c r="M31" s="44">
        <v>-13.881764030075175</v>
      </c>
      <c r="N31" s="44">
        <v>0</v>
      </c>
      <c r="O31" s="335">
        <f t="shared" si="1"/>
        <v>10.518904704540546</v>
      </c>
      <c r="P31" s="335">
        <f t="shared" si="1"/>
        <v>10.518900904540969</v>
      </c>
      <c r="Q31" s="335">
        <f t="shared" si="1"/>
        <v>-26.976595295456661</v>
      </c>
      <c r="R31" s="335">
        <f t="shared" si="1"/>
        <v>-26.976599095459036</v>
      </c>
    </row>
    <row r="32" spans="1:21" x14ac:dyDescent="0.25">
      <c r="A32" s="34"/>
      <c r="B32" s="33"/>
      <c r="C32" s="47" t="s">
        <v>86</v>
      </c>
      <c r="D32" s="44">
        <v>0</v>
      </c>
      <c r="E32" s="44">
        <v>0</v>
      </c>
      <c r="F32" s="44">
        <v>0</v>
      </c>
      <c r="G32" s="44">
        <f>E32</f>
        <v>0</v>
      </c>
      <c r="H32" s="44">
        <f>F32</f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335">
        <f t="shared" si="1"/>
        <v>0</v>
      </c>
      <c r="P32" s="335">
        <f t="shared" si="1"/>
        <v>0</v>
      </c>
      <c r="Q32" s="335">
        <f t="shared" si="1"/>
        <v>0</v>
      </c>
      <c r="R32" s="335">
        <f t="shared" si="1"/>
        <v>0</v>
      </c>
    </row>
    <row r="33" spans="1:19" x14ac:dyDescent="0.25">
      <c r="A33" s="34"/>
      <c r="B33" s="33"/>
      <c r="C33" s="47" t="s">
        <v>87</v>
      </c>
      <c r="D33" s="44">
        <f>'Anx-O'!C17</f>
        <v>-9.4659999999999975</v>
      </c>
      <c r="E33" s="44">
        <f>'Anx-O'!D17</f>
        <v>103.824935</v>
      </c>
      <c r="F33" s="44">
        <f>'Anx-O'!E17</f>
        <v>-9.4660000000000011</v>
      </c>
      <c r="G33" s="44">
        <f>E33</f>
        <v>103.824935</v>
      </c>
      <c r="H33" s="44">
        <f>+F33</f>
        <v>-9.4660000000000011</v>
      </c>
      <c r="J33" s="44">
        <v>0</v>
      </c>
      <c r="K33" s="44">
        <v>113.29093499999999</v>
      </c>
      <c r="L33" s="44">
        <v>0</v>
      </c>
      <c r="M33" s="44">
        <v>113.29093499999999</v>
      </c>
      <c r="N33" s="44">
        <v>79.586585999999983</v>
      </c>
      <c r="O33" s="335">
        <f t="shared" si="1"/>
        <v>-9.465999999999994</v>
      </c>
      <c r="P33" s="335">
        <f t="shared" si="1"/>
        <v>-9.4660000000000011</v>
      </c>
      <c r="Q33" s="335">
        <f t="shared" si="1"/>
        <v>-9.465999999999994</v>
      </c>
      <c r="R33" s="335">
        <f t="shared" si="1"/>
        <v>-89.052585999999991</v>
      </c>
      <c r="S33" s="396">
        <f>D33-O33</f>
        <v>0</v>
      </c>
    </row>
    <row r="34" spans="1:19" ht="28.5" x14ac:dyDescent="0.25">
      <c r="A34" s="34"/>
      <c r="B34" s="33"/>
      <c r="C34" s="478" t="s">
        <v>622</v>
      </c>
      <c r="D34" s="405">
        <f>D31-D32+D33</f>
        <v>1.0531013381909613</v>
      </c>
      <c r="E34" s="589">
        <f>E31-E32+E33</f>
        <v>1010.0716009744639</v>
      </c>
      <c r="F34" s="405">
        <f>F31-F32+F33</f>
        <v>1.0529009045409676</v>
      </c>
      <c r="G34" s="405">
        <f>G31-G32+G33</f>
        <v>62.96657567446816</v>
      </c>
      <c r="H34" s="408">
        <f>H31-H32+H33</f>
        <v>-36.442599095459038</v>
      </c>
      <c r="J34" s="66">
        <v>0</v>
      </c>
      <c r="K34" s="66">
        <v>977.27147571978151</v>
      </c>
      <c r="L34" s="66">
        <v>650.17547988244428</v>
      </c>
      <c r="M34" s="66">
        <v>357.31686351978044</v>
      </c>
      <c r="N34" s="67">
        <v>298.28202613244338</v>
      </c>
      <c r="O34" s="335">
        <f>+E34-K34</f>
        <v>32.800125254682371</v>
      </c>
      <c r="P34" s="335">
        <f>+F34-L34</f>
        <v>-649.12257897790334</v>
      </c>
      <c r="Q34" s="335"/>
      <c r="R34" s="335"/>
    </row>
    <row r="35" spans="1:19" ht="22.15" customHeight="1" x14ac:dyDescent="0.25">
      <c r="A35" s="34"/>
      <c r="B35" s="33"/>
      <c r="C35" s="68" t="s">
        <v>89</v>
      </c>
      <c r="D35" s="69">
        <f>D34/D27</f>
        <v>2.8086072680480627E-2</v>
      </c>
      <c r="E35" s="69">
        <f>E34/E27</f>
        <v>0.1040689816693648</v>
      </c>
      <c r="F35" s="69">
        <f>F34/F27</f>
        <v>2.8080727141682801E-2</v>
      </c>
      <c r="G35" s="69">
        <f>G34/G27</f>
        <v>7.1890450936075703E-3</v>
      </c>
      <c r="H35" s="69" t="e">
        <f>H34/H27</f>
        <v>#DIV/0!</v>
      </c>
      <c r="J35" s="69">
        <v>0</v>
      </c>
      <c r="K35" s="69">
        <v>0.10420184195363982</v>
      </c>
      <c r="L35" s="69">
        <v>0.13967278040957681</v>
      </c>
      <c r="M35" s="69">
        <v>4.0795722403289478E-2</v>
      </c>
      <c r="N35" s="69">
        <v>6.9317985626326351E-2</v>
      </c>
    </row>
    <row r="36" spans="1:19" ht="27.6" customHeight="1" x14ac:dyDescent="0.25">
      <c r="A36" s="34"/>
      <c r="B36" s="33"/>
      <c r="C36" s="529" t="s">
        <v>720</v>
      </c>
      <c r="D36" s="739">
        <v>5.07</v>
      </c>
      <c r="E36" s="739">
        <f>'Anx-J'!R33/1000000</f>
        <v>353.21983375437497</v>
      </c>
      <c r="F36" s="739">
        <v>5.07</v>
      </c>
      <c r="G36" s="739">
        <f>E36</f>
        <v>353.21983375437497</v>
      </c>
      <c r="H36" s="739">
        <f>F36</f>
        <v>5.07</v>
      </c>
      <c r="I36">
        <f>+D27*7.5%</f>
        <v>2.8121624999999999</v>
      </c>
      <c r="J36" s="70"/>
      <c r="K36" s="70"/>
      <c r="L36" s="70"/>
      <c r="M36" s="70"/>
      <c r="N36" s="70"/>
    </row>
    <row r="37" spans="1:19" ht="14.45" customHeight="1" x14ac:dyDescent="0.25">
      <c r="A37" s="34"/>
      <c r="B37" s="33"/>
      <c r="C37" s="68" t="s">
        <v>721</v>
      </c>
      <c r="D37" s="526">
        <f>+D34-D36</f>
        <v>-4.016898661809039</v>
      </c>
      <c r="E37" s="564">
        <f>+E34-E36</f>
        <v>656.85176722008896</v>
      </c>
      <c r="F37" s="526">
        <f>+F34-F36</f>
        <v>-4.0170990954590327</v>
      </c>
      <c r="G37" s="526">
        <f>+G34-G36</f>
        <v>-290.2532580799068</v>
      </c>
      <c r="H37" s="526">
        <f>+H34-H36</f>
        <v>-41.512599095459038</v>
      </c>
      <c r="J37" s="70"/>
      <c r="K37" s="70"/>
      <c r="L37" s="70"/>
      <c r="M37" s="70"/>
      <c r="N37" s="70"/>
    </row>
    <row r="38" spans="1:19" ht="14.45" customHeight="1" x14ac:dyDescent="0.25">
      <c r="A38" s="34"/>
      <c r="B38" s="33"/>
      <c r="C38" s="527" t="s">
        <v>89</v>
      </c>
      <c r="D38" s="528">
        <f>+D37/D27</f>
        <v>-0.10713015326663304</v>
      </c>
      <c r="E38" s="528">
        <f>+E37/E27</f>
        <v>6.7676285974547959E-2</v>
      </c>
      <c r="F38" s="528">
        <f>+F37/F27</f>
        <v>-0.10713549880543084</v>
      </c>
      <c r="G38" s="528">
        <f>+G37/G27</f>
        <v>-3.3138911216813449E-2</v>
      </c>
      <c r="H38" s="528" t="e">
        <f>+H37/H27</f>
        <v>#DIV/0!</v>
      </c>
      <c r="J38" s="561" t="e">
        <f>#REF!/1000000</f>
        <v>#REF!</v>
      </c>
      <c r="K38" s="70"/>
      <c r="L38" s="70"/>
      <c r="M38" s="70"/>
      <c r="N38" s="70"/>
    </row>
    <row r="39" spans="1:19" ht="14.45" customHeight="1" x14ac:dyDescent="0.25">
      <c r="A39" s="34"/>
      <c r="B39" s="33"/>
      <c r="C39" s="68"/>
      <c r="D39" s="522"/>
      <c r="E39" s="711"/>
      <c r="F39" s="590"/>
      <c r="G39" s="712"/>
      <c r="H39" s="522"/>
      <c r="I39">
        <f>9206.54*5%</f>
        <v>460.32700000000006</v>
      </c>
      <c r="J39" s="70">
        <f>2760*2%</f>
        <v>55.2</v>
      </c>
      <c r="K39" s="70"/>
      <c r="L39" s="70"/>
      <c r="M39" s="70"/>
      <c r="N39" s="70"/>
    </row>
    <row r="40" spans="1:19" ht="14.45" customHeight="1" x14ac:dyDescent="0.25">
      <c r="A40" s="34"/>
      <c r="B40" s="33"/>
      <c r="C40" s="68"/>
      <c r="D40" s="522"/>
      <c r="E40" s="713"/>
      <c r="F40" s="590"/>
      <c r="G40" s="713"/>
      <c r="H40" s="522"/>
      <c r="J40" s="70"/>
      <c r="K40" s="70"/>
      <c r="L40" s="70"/>
      <c r="M40" s="70"/>
      <c r="N40" s="70"/>
    </row>
    <row r="41" spans="1:19" ht="14.45" customHeight="1" x14ac:dyDescent="0.25">
      <c r="A41" s="34"/>
      <c r="B41" s="33"/>
      <c r="C41" s="68"/>
      <c r="D41" s="522"/>
      <c r="E41" s="590"/>
      <c r="F41" s="590"/>
      <c r="G41" s="522"/>
      <c r="H41" s="522"/>
      <c r="J41" s="70"/>
      <c r="K41" s="70"/>
      <c r="L41" s="70"/>
      <c r="M41" s="70"/>
      <c r="N41" s="70"/>
    </row>
    <row r="42" spans="1:19" x14ac:dyDescent="0.25">
      <c r="A42" s="5">
        <v>6</v>
      </c>
      <c r="B42" s="63" t="s">
        <v>90</v>
      </c>
      <c r="C42" s="63"/>
      <c r="D42" s="59"/>
      <c r="E42" s="59"/>
      <c r="F42" s="71"/>
      <c r="G42" s="59"/>
      <c r="H42" s="60"/>
      <c r="J42">
        <f>1700+2000</f>
        <v>3700</v>
      </c>
      <c r="L42">
        <v>7951.11</v>
      </c>
    </row>
    <row r="43" spans="1:19" ht="15.75" thickBot="1" x14ac:dyDescent="0.3">
      <c r="A43" s="5"/>
      <c r="B43" s="63"/>
      <c r="C43" s="63"/>
      <c r="D43" s="59"/>
      <c r="E43" s="59"/>
      <c r="F43" s="71"/>
      <c r="G43" s="59"/>
      <c r="H43" s="60"/>
    </row>
    <row r="44" spans="1:19" ht="16.5" thickTop="1" thickBot="1" x14ac:dyDescent="0.3">
      <c r="A44" s="34"/>
      <c r="B44" s="33"/>
      <c r="C44" s="33"/>
      <c r="D44" s="745" t="s">
        <v>68</v>
      </c>
      <c r="E44" s="746"/>
      <c r="F44" s="747"/>
      <c r="G44" s="745" t="s">
        <v>74</v>
      </c>
      <c r="H44" s="747"/>
      <c r="J44" s="412">
        <v>0.79</v>
      </c>
      <c r="L44">
        <f>+L42*5%</f>
        <v>397.55549999999999</v>
      </c>
    </row>
    <row r="45" spans="1:19" ht="28.5" customHeight="1" thickTop="1" thickBot="1" x14ac:dyDescent="0.3">
      <c r="A45" s="34"/>
      <c r="B45" s="33"/>
      <c r="C45" s="53"/>
      <c r="D45" s="705" t="s">
        <v>75</v>
      </c>
      <c r="E45" s="705" t="s">
        <v>76</v>
      </c>
      <c r="F45" s="705" t="s">
        <v>77</v>
      </c>
      <c r="G45" s="62" t="s">
        <v>76</v>
      </c>
      <c r="H45" s="705" t="s">
        <v>77</v>
      </c>
      <c r="L45">
        <f>+L42+L44</f>
        <v>8348.6654999999992</v>
      </c>
      <c r="M45">
        <f>7376+84</f>
        <v>7460</v>
      </c>
    </row>
    <row r="46" spans="1:19" ht="15.75" thickTop="1" x14ac:dyDescent="0.25">
      <c r="A46" s="34"/>
      <c r="B46" s="33"/>
      <c r="C46" s="63" t="s">
        <v>78</v>
      </c>
      <c r="D46" s="64"/>
      <c r="E46" s="64"/>
      <c r="F46" s="64"/>
      <c r="G46" s="64"/>
      <c r="H46" s="65"/>
      <c r="J46">
        <v>7937.87</v>
      </c>
      <c r="L46" t="s">
        <v>692</v>
      </c>
      <c r="M46" s="376">
        <f>M27</f>
        <v>8758.6845500000018</v>
      </c>
    </row>
    <row r="47" spans="1:19" x14ac:dyDescent="0.25">
      <c r="A47" s="34"/>
      <c r="B47" s="33"/>
      <c r="C47" s="35" t="s">
        <v>79</v>
      </c>
      <c r="D47" s="55">
        <f t="shared" ref="D47:F48" si="2">D25</f>
        <v>37.4955</v>
      </c>
      <c r="E47" s="55">
        <f t="shared" si="2"/>
        <v>9571.3755752999969</v>
      </c>
      <c r="F47" s="55">
        <f t="shared" si="2"/>
        <v>37.495500000000007</v>
      </c>
      <c r="G47" s="44">
        <f>'Anx-B'!G74+'Anx-C'!L95</f>
        <v>0</v>
      </c>
      <c r="H47" s="44">
        <f>'Anx-B'!H74+'Anx-C'!M95</f>
        <v>0</v>
      </c>
      <c r="J47">
        <f>+J46*5%</f>
        <v>396.89350000000002</v>
      </c>
      <c r="L47" t="s">
        <v>693</v>
      </c>
      <c r="M47" s="376" t="e">
        <f>#REF!/1000000</f>
        <v>#REF!</v>
      </c>
    </row>
    <row r="48" spans="1:19" x14ac:dyDescent="0.25">
      <c r="A48" s="34"/>
      <c r="B48" s="33"/>
      <c r="C48" s="35" t="s">
        <v>80</v>
      </c>
      <c r="D48" s="55">
        <f t="shared" si="2"/>
        <v>0</v>
      </c>
      <c r="E48" s="55">
        <f t="shared" si="2"/>
        <v>134.41365000000002</v>
      </c>
      <c r="F48" s="55">
        <f t="shared" si="2"/>
        <v>0</v>
      </c>
      <c r="G48" s="44">
        <f>+'Anx-K'!F29</f>
        <v>0</v>
      </c>
      <c r="H48" s="44">
        <f>+'Anx-K'!G29</f>
        <v>0</v>
      </c>
      <c r="J48">
        <f>+J46+J47</f>
        <v>8334.7634999999991</v>
      </c>
      <c r="M48" s="335" t="e">
        <f>M47-M46</f>
        <v>#REF!</v>
      </c>
    </row>
    <row r="49" spans="1:10" x14ac:dyDescent="0.25">
      <c r="A49" s="34"/>
      <c r="B49" s="33"/>
      <c r="C49" s="6" t="s">
        <v>81</v>
      </c>
      <c r="D49" s="707">
        <f>SUM(D47:D48)</f>
        <v>37.4955</v>
      </c>
      <c r="E49" s="707">
        <f>SUM(E47:E48)</f>
        <v>9705.7892252999973</v>
      </c>
      <c r="F49" s="707">
        <f>SUM(F47:F48)</f>
        <v>37.495500000000007</v>
      </c>
      <c r="G49" s="708">
        <f>SUM(G47:G48)</f>
        <v>0</v>
      </c>
      <c r="H49" s="708">
        <f>SUM(H47:H48)</f>
        <v>0</v>
      </c>
      <c r="J49" s="578">
        <f>+E25-J48</f>
        <v>1236.6120752999977</v>
      </c>
    </row>
    <row r="50" spans="1:10" x14ac:dyDescent="0.25">
      <c r="A50" s="34"/>
      <c r="B50" s="33"/>
      <c r="C50" s="33" t="s">
        <v>82</v>
      </c>
      <c r="D50" s="55">
        <f>D49*89.52/100</f>
        <v>33.565971599999997</v>
      </c>
      <c r="E50" s="55">
        <f>E49*89.52/100</f>
        <v>8688.6225144885575</v>
      </c>
      <c r="F50" s="55">
        <f>F49*89.52/100</f>
        <v>33.565971600000005</v>
      </c>
      <c r="G50" s="44">
        <v>0</v>
      </c>
      <c r="H50" s="44">
        <v>0</v>
      </c>
    </row>
    <row r="51" spans="1:10" x14ac:dyDescent="0.25">
      <c r="A51" s="34"/>
      <c r="B51" s="33"/>
      <c r="C51" s="33" t="s">
        <v>83</v>
      </c>
      <c r="D51" s="407">
        <f>D49-D50</f>
        <v>3.9295284000000024</v>
      </c>
      <c r="E51" s="407">
        <f>E49-E50</f>
        <v>1017.1667108114398</v>
      </c>
      <c r="F51" s="407">
        <f>F49-F50</f>
        <v>3.9295284000000024</v>
      </c>
      <c r="G51" s="407">
        <f>G49-G50</f>
        <v>0</v>
      </c>
      <c r="H51" s="407">
        <f>H49-H50</f>
        <v>0</v>
      </c>
    </row>
    <row r="52" spans="1:10" x14ac:dyDescent="0.25">
      <c r="A52" s="34"/>
      <c r="B52" s="33"/>
      <c r="C52" s="33" t="s">
        <v>91</v>
      </c>
      <c r="D52" s="72">
        <f>D51/D49</f>
        <v>0.10480000000000006</v>
      </c>
      <c r="E52" s="72">
        <f t="shared" ref="E52:F52" si="3">E51/E49</f>
        <v>0.1048</v>
      </c>
      <c r="F52" s="72">
        <f t="shared" si="3"/>
        <v>0.10480000000000005</v>
      </c>
      <c r="G52" s="44">
        <f>+'Anx-D'!D96</f>
        <v>0</v>
      </c>
      <c r="H52" s="44">
        <v>0</v>
      </c>
    </row>
    <row r="53" spans="1:10" x14ac:dyDescent="0.25">
      <c r="A53" s="34"/>
      <c r="B53" s="33"/>
      <c r="C53" s="33" t="s">
        <v>86</v>
      </c>
      <c r="D53" s="55">
        <f>D32</f>
        <v>0</v>
      </c>
      <c r="E53" s="55">
        <f t="shared" ref="E53:F53" si="4">E32</f>
        <v>0</v>
      </c>
      <c r="F53" s="55">
        <f t="shared" si="4"/>
        <v>0</v>
      </c>
      <c r="G53" s="44">
        <f>G51-G52</f>
        <v>0</v>
      </c>
      <c r="H53" s="44">
        <f>H51-H52</f>
        <v>0</v>
      </c>
    </row>
    <row r="54" spans="1:10" x14ac:dyDescent="0.25">
      <c r="A54" s="34"/>
      <c r="B54" s="33"/>
      <c r="C54" s="33" t="s">
        <v>87</v>
      </c>
      <c r="D54" s="55">
        <v>0</v>
      </c>
      <c r="E54" s="55">
        <v>0</v>
      </c>
      <c r="F54" s="55">
        <v>0</v>
      </c>
      <c r="G54" s="44">
        <f>E54</f>
        <v>0</v>
      </c>
      <c r="H54" s="44">
        <f>F54</f>
        <v>0</v>
      </c>
    </row>
    <row r="55" spans="1:10" x14ac:dyDescent="0.25">
      <c r="A55" s="34"/>
      <c r="B55" s="33"/>
      <c r="C55" s="68" t="s">
        <v>88</v>
      </c>
      <c r="D55" s="706">
        <f>D51-D53+D54</f>
        <v>3.9295284000000024</v>
      </c>
      <c r="E55" s="706">
        <f>E51-E53+E54</f>
        <v>1017.1667108114398</v>
      </c>
      <c r="F55" s="706">
        <f>F51-F53+F54</f>
        <v>3.9295284000000024</v>
      </c>
      <c r="G55" s="44">
        <v>0</v>
      </c>
      <c r="H55" s="44">
        <v>0</v>
      </c>
    </row>
    <row r="56" spans="1:10" x14ac:dyDescent="0.25">
      <c r="A56" s="34"/>
      <c r="B56" s="33"/>
      <c r="C56" s="68" t="s">
        <v>92</v>
      </c>
      <c r="D56" s="709">
        <f>D55/D49</f>
        <v>0.10480000000000006</v>
      </c>
      <c r="E56" s="709">
        <f>E55/E49</f>
        <v>0.1048</v>
      </c>
      <c r="F56" s="709">
        <f>F55/F49</f>
        <v>0.10480000000000005</v>
      </c>
      <c r="G56" s="708">
        <f>G53-G54+G55</f>
        <v>0</v>
      </c>
      <c r="H56" s="710">
        <f>H53-H54+H55</f>
        <v>0</v>
      </c>
    </row>
    <row r="57" spans="1:10" ht="30" x14ac:dyDescent="0.25">
      <c r="C57" s="529" t="s">
        <v>720</v>
      </c>
      <c r="D57" s="739">
        <v>5.07</v>
      </c>
      <c r="E57" s="739">
        <f>E36</f>
        <v>353.21983375437497</v>
      </c>
      <c r="F57" s="739">
        <v>5.07</v>
      </c>
      <c r="G57" s="739">
        <v>0</v>
      </c>
      <c r="H57" s="739">
        <v>0</v>
      </c>
    </row>
    <row r="58" spans="1:10" x14ac:dyDescent="0.25">
      <c r="C58" s="68" t="s">
        <v>721</v>
      </c>
      <c r="D58" s="526">
        <f>D55-D57</f>
        <v>-1.1404715999999979</v>
      </c>
      <c r="E58" s="526">
        <f t="shared" ref="E58:H58" si="5">E55-E57</f>
        <v>663.94687705706474</v>
      </c>
      <c r="F58" s="526">
        <f t="shared" si="5"/>
        <v>-1.1404715999999979</v>
      </c>
      <c r="G58" s="526">
        <f t="shared" si="5"/>
        <v>0</v>
      </c>
      <c r="H58" s="526">
        <f t="shared" si="5"/>
        <v>0</v>
      </c>
    </row>
    <row r="59" spans="1:10" x14ac:dyDescent="0.25">
      <c r="C59" s="527" t="s">
        <v>89</v>
      </c>
      <c r="D59" s="528">
        <f>+D58/D49</f>
        <v>-3.0416225947113597E-2</v>
      </c>
      <c r="E59" s="528">
        <f t="shared" ref="E59:F59" si="6">+E58/E49</f>
        <v>6.8407304305183145E-2</v>
      </c>
      <c r="F59" s="528">
        <f t="shared" si="6"/>
        <v>-3.0416225947113594E-2</v>
      </c>
      <c r="G59" s="528"/>
      <c r="H59" s="528"/>
    </row>
  </sheetData>
  <mergeCells count="16">
    <mergeCell ref="J22:L22"/>
    <mergeCell ref="M22:N22"/>
    <mergeCell ref="B14:C14"/>
    <mergeCell ref="B20:F20"/>
    <mergeCell ref="D22:F22"/>
    <mergeCell ref="G22:H22"/>
    <mergeCell ref="D44:F44"/>
    <mergeCell ref="G44:H44"/>
    <mergeCell ref="A1:H1"/>
    <mergeCell ref="A2:H2"/>
    <mergeCell ref="A3:H3"/>
    <mergeCell ref="A4:H4"/>
    <mergeCell ref="B5:C5"/>
    <mergeCell ref="B10:C10"/>
    <mergeCell ref="E10:F10"/>
    <mergeCell ref="G10:H10"/>
  </mergeCells>
  <pageMargins left="0.7" right="0.7" top="0.75" bottom="0.75" header="0.3" footer="0.3"/>
  <pageSetup scale="53" orientation="landscape" r:id="rId1"/>
  <rowBreaks count="1" manualBreakCount="1">
    <brk id="41" max="7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2" workbookViewId="0">
      <selection activeCell="A31" sqref="A31"/>
    </sheetView>
  </sheetViews>
  <sheetFormatPr defaultRowHeight="15" x14ac:dyDescent="0.25"/>
  <cols>
    <col min="1" max="1" width="11.5703125" style="399" customWidth="1"/>
    <col min="2" max="2" width="12.42578125" bestFit="1" customWidth="1"/>
    <col min="3" max="3" width="12.7109375" bestFit="1" customWidth="1"/>
    <col min="4" max="4" width="10.85546875" bestFit="1" customWidth="1"/>
    <col min="5" max="5" width="15" customWidth="1"/>
    <col min="6" max="6" width="10.85546875" customWidth="1"/>
    <col min="7" max="7" width="20.42578125" bestFit="1" customWidth="1"/>
    <col min="9" max="9" width="10.5703125" bestFit="1" customWidth="1"/>
  </cols>
  <sheetData>
    <row r="1" spans="1:10" ht="15.75" x14ac:dyDescent="0.25">
      <c r="A1" s="398"/>
      <c r="B1" s="319"/>
      <c r="C1" s="319"/>
      <c r="D1" s="319"/>
      <c r="E1" s="319"/>
      <c r="F1" s="319"/>
      <c r="G1" s="113" t="s">
        <v>510</v>
      </c>
    </row>
    <row r="2" spans="1:10" ht="20.25" x14ac:dyDescent="0.25">
      <c r="A2" s="886" t="str">
        <f>[3]Summary!A2</f>
        <v>Re-Modelling and Up Gradation of ADA Nullah and Walton Road Pkg-I</v>
      </c>
      <c r="B2" s="886"/>
      <c r="C2" s="886"/>
      <c r="D2" s="886"/>
      <c r="E2" s="886"/>
      <c r="F2" s="886"/>
      <c r="G2" s="886"/>
    </row>
    <row r="3" spans="1:10" ht="20.25" x14ac:dyDescent="0.25">
      <c r="A3" s="886"/>
      <c r="B3" s="886"/>
      <c r="C3" s="886"/>
      <c r="D3" s="886"/>
      <c r="E3" s="886"/>
      <c r="F3" s="886"/>
      <c r="G3" s="886"/>
    </row>
    <row r="4" spans="1:10" ht="20.25" x14ac:dyDescent="0.25">
      <c r="A4" s="895"/>
      <c r="B4" s="887"/>
      <c r="C4" s="887"/>
      <c r="D4" s="887"/>
      <c r="E4" s="887"/>
      <c r="F4" s="887"/>
      <c r="G4" s="887"/>
    </row>
    <row r="5" spans="1:10" x14ac:dyDescent="0.25">
      <c r="A5" s="398" t="s">
        <v>511</v>
      </c>
      <c r="B5" s="319"/>
      <c r="C5" s="321">
        <v>9573.9259999999995</v>
      </c>
      <c r="D5" s="319"/>
      <c r="E5" s="322" t="s">
        <v>512</v>
      </c>
      <c r="F5" s="319"/>
      <c r="G5" s="321"/>
    </row>
    <row r="6" spans="1:10" x14ac:dyDescent="0.25">
      <c r="A6" s="398" t="s">
        <v>812</v>
      </c>
      <c r="B6" s="319"/>
      <c r="C6" s="322">
        <v>9900</v>
      </c>
      <c r="D6" s="319"/>
      <c r="E6" s="320"/>
      <c r="F6" s="319"/>
      <c r="G6" s="322"/>
    </row>
    <row r="7" spans="1:10" ht="15.75" thickBot="1" x14ac:dyDescent="0.3">
      <c r="A7" s="53" t="s">
        <v>513</v>
      </c>
      <c r="B7" s="319"/>
      <c r="C7" s="323">
        <f>+'[3]Anx A'!H6</f>
        <v>45215</v>
      </c>
      <c r="D7" s="319"/>
      <c r="E7" s="73" t="s">
        <v>514</v>
      </c>
      <c r="F7" s="319"/>
      <c r="G7" s="323">
        <f>+'[3]Anx A'!H7</f>
        <v>45755</v>
      </c>
    </row>
    <row r="8" spans="1:10" ht="15.75" x14ac:dyDescent="0.25">
      <c r="A8" s="896" t="s">
        <v>5</v>
      </c>
      <c r="B8" s="898" t="s">
        <v>189</v>
      </c>
      <c r="C8" s="898"/>
      <c r="D8" s="898" t="s">
        <v>515</v>
      </c>
      <c r="E8" s="898"/>
      <c r="F8" s="898" t="s">
        <v>516</v>
      </c>
      <c r="G8" s="899"/>
    </row>
    <row r="9" spans="1:10" ht="16.5" thickBot="1" x14ac:dyDescent="0.3">
      <c r="A9" s="897"/>
      <c r="B9" s="324" t="s">
        <v>506</v>
      </c>
      <c r="C9" s="324" t="s">
        <v>517</v>
      </c>
      <c r="D9" s="324" t="s">
        <v>506</v>
      </c>
      <c r="E9" s="324" t="s">
        <v>517</v>
      </c>
      <c r="F9" s="324" t="s">
        <v>506</v>
      </c>
      <c r="G9" s="325" t="s">
        <v>517</v>
      </c>
    </row>
    <row r="10" spans="1:10" ht="15.75" x14ac:dyDescent="0.25">
      <c r="A10" s="326">
        <v>45200</v>
      </c>
      <c r="B10" s="327">
        <v>11.510999999999999</v>
      </c>
      <c r="C10" s="328">
        <v>11.510999999999999</v>
      </c>
      <c r="D10" s="329">
        <f>B10</f>
        <v>11.510999999999999</v>
      </c>
      <c r="E10" s="329">
        <f>C10</f>
        <v>11.510999999999999</v>
      </c>
      <c r="F10" s="330">
        <f t="shared" ref="F10:G14" si="0">D10/$C$5</f>
        <v>1.2023280731436612E-3</v>
      </c>
      <c r="G10" s="331">
        <f t="shared" si="0"/>
        <v>1.2023280731436612E-3</v>
      </c>
    </row>
    <row r="11" spans="1:10" ht="15.75" x14ac:dyDescent="0.25">
      <c r="A11" s="326">
        <v>45231</v>
      </c>
      <c r="B11" s="327">
        <v>56.435000000000002</v>
      </c>
      <c r="C11" s="328">
        <v>56.435000000000002</v>
      </c>
      <c r="D11" s="329">
        <f>D10+B11</f>
        <v>67.945999999999998</v>
      </c>
      <c r="E11" s="329">
        <f>E10+C11</f>
        <v>67.945999999999998</v>
      </c>
      <c r="F11" s="330">
        <f t="shared" si="0"/>
        <v>7.0969840376873608E-3</v>
      </c>
      <c r="G11" s="331">
        <f t="shared" si="0"/>
        <v>7.0969840376873608E-3</v>
      </c>
    </row>
    <row r="12" spans="1:10" ht="15.75" x14ac:dyDescent="0.25">
      <c r="A12" s="326">
        <v>45261</v>
      </c>
      <c r="B12" s="327">
        <v>55.058</v>
      </c>
      <c r="C12" s="328">
        <v>55.058</v>
      </c>
      <c r="D12" s="329">
        <f t="shared" ref="D12:D26" si="1">D11+B12</f>
        <v>123.00399999999999</v>
      </c>
      <c r="E12" s="329">
        <v>123.00399999999999</v>
      </c>
      <c r="F12" s="330">
        <f t="shared" si="0"/>
        <v>1.2847811859001208E-2</v>
      </c>
      <c r="G12" s="331">
        <f t="shared" si="0"/>
        <v>1.2847811859001208E-2</v>
      </c>
    </row>
    <row r="13" spans="1:10" ht="15.75" x14ac:dyDescent="0.25">
      <c r="A13" s="326">
        <v>45292</v>
      </c>
      <c r="B13" s="327">
        <v>312.70699999999999</v>
      </c>
      <c r="C13" s="328">
        <v>312.70699999999999</v>
      </c>
      <c r="D13" s="329">
        <f t="shared" si="1"/>
        <v>435.71100000000001</v>
      </c>
      <c r="E13" s="329">
        <v>455.01499999999999</v>
      </c>
      <c r="F13" s="330">
        <f t="shared" si="0"/>
        <v>4.5510170018026048E-2</v>
      </c>
      <c r="G13" s="331">
        <f t="shared" si="0"/>
        <v>4.7526479732556949E-2</v>
      </c>
    </row>
    <row r="14" spans="1:10" ht="15.75" x14ac:dyDescent="0.25">
      <c r="A14" s="326">
        <v>45323</v>
      </c>
      <c r="B14" s="327">
        <v>1132.258</v>
      </c>
      <c r="C14" s="328">
        <v>1132.258</v>
      </c>
      <c r="D14" s="329">
        <f t="shared" si="1"/>
        <v>1567.9690000000001</v>
      </c>
      <c r="E14" s="329">
        <f t="shared" ref="E14:E19" si="2">E13+C14</f>
        <v>1587.2730000000001</v>
      </c>
      <c r="F14" s="330">
        <f t="shared" si="0"/>
        <v>0.16377492368334581</v>
      </c>
      <c r="G14" s="331">
        <f t="shared" si="0"/>
        <v>0.16579123339787671</v>
      </c>
    </row>
    <row r="15" spans="1:10" ht="15.75" x14ac:dyDescent="0.25">
      <c r="A15" s="326">
        <v>45352</v>
      </c>
      <c r="B15" s="327">
        <v>766.38</v>
      </c>
      <c r="C15" s="332">
        <v>766.37599999999998</v>
      </c>
      <c r="D15" s="329">
        <f>D14+B15</f>
        <v>2334.3490000000002</v>
      </c>
      <c r="E15" s="329">
        <f t="shared" si="2"/>
        <v>2353.6490000000003</v>
      </c>
      <c r="F15" s="330">
        <f t="shared" ref="F15:G17" si="3">D15/$C$5</f>
        <v>0.24382358919423444</v>
      </c>
      <c r="G15" s="331">
        <f t="shared" si="3"/>
        <v>0.24583948110733261</v>
      </c>
    </row>
    <row r="16" spans="1:10" ht="15.75" x14ac:dyDescent="0.25">
      <c r="A16" s="326">
        <v>45383</v>
      </c>
      <c r="B16" s="327">
        <v>464.48</v>
      </c>
      <c r="C16" s="333">
        <f>19.95+444.534</f>
        <v>464.48399999999998</v>
      </c>
      <c r="D16" s="329">
        <f t="shared" si="1"/>
        <v>2798.8290000000002</v>
      </c>
      <c r="E16" s="329">
        <f t="shared" si="2"/>
        <v>2818.1330000000003</v>
      </c>
      <c r="F16" s="330">
        <f t="shared" si="3"/>
        <v>0.29233869156707504</v>
      </c>
      <c r="G16" s="331">
        <f t="shared" si="3"/>
        <v>0.29435500128160597</v>
      </c>
      <c r="J16" s="392"/>
    </row>
    <row r="17" spans="1:10" ht="15.75" x14ac:dyDescent="0.25">
      <c r="A17" s="326">
        <v>45413</v>
      </c>
      <c r="B17" s="327">
        <v>1278.54</v>
      </c>
      <c r="C17" s="333">
        <v>1278.538</v>
      </c>
      <c r="D17" s="329">
        <f t="shared" si="1"/>
        <v>4077.3690000000001</v>
      </c>
      <c r="E17" s="329">
        <f t="shared" si="2"/>
        <v>4096.6710000000003</v>
      </c>
      <c r="F17" s="330">
        <f t="shared" si="3"/>
        <v>0.42588265252938035</v>
      </c>
      <c r="G17" s="331">
        <f t="shared" ref="G17:G22" si="4">E17/$C$5</f>
        <v>0.42789875334319488</v>
      </c>
    </row>
    <row r="18" spans="1:10" ht="15.75" x14ac:dyDescent="0.25">
      <c r="A18" s="326">
        <v>45444</v>
      </c>
      <c r="B18" s="327">
        <v>566.75</v>
      </c>
      <c r="C18" s="333">
        <v>566.75099999999998</v>
      </c>
      <c r="D18" s="329">
        <f t="shared" si="1"/>
        <v>4644.1190000000006</v>
      </c>
      <c r="E18" s="329">
        <f t="shared" si="2"/>
        <v>4663.4220000000005</v>
      </c>
      <c r="F18" s="330">
        <f>D18/$C$5</f>
        <v>0.48507989303447729</v>
      </c>
      <c r="G18" s="331">
        <f t="shared" si="4"/>
        <v>0.48709609829864997</v>
      </c>
    </row>
    <row r="19" spans="1:10" ht="15.75" x14ac:dyDescent="0.25">
      <c r="A19" s="326">
        <v>45474</v>
      </c>
      <c r="B19" s="327">
        <v>820.07</v>
      </c>
      <c r="C19" s="333">
        <v>820.07100000000003</v>
      </c>
      <c r="D19" s="329">
        <f t="shared" si="1"/>
        <v>5464.1890000000003</v>
      </c>
      <c r="E19" s="329">
        <f t="shared" si="2"/>
        <v>5483.4930000000004</v>
      </c>
      <c r="F19" s="330">
        <f>D19/$C$5</f>
        <v>0.57073649827667361</v>
      </c>
      <c r="G19" s="331">
        <f t="shared" si="4"/>
        <v>0.57275280799120454</v>
      </c>
    </row>
    <row r="20" spans="1:10" ht="15.75" x14ac:dyDescent="0.25">
      <c r="A20" s="326">
        <v>45505</v>
      </c>
      <c r="B20" s="327">
        <v>408.55</v>
      </c>
      <c r="C20" s="333">
        <v>408.55</v>
      </c>
      <c r="D20" s="329">
        <f>D19+B20</f>
        <v>5872.7390000000005</v>
      </c>
      <c r="E20" s="329">
        <f>+E19+C20</f>
        <v>5892.0430000000006</v>
      </c>
      <c r="F20" s="330">
        <f t="shared" ref="F20:F25" si="5">D20/$C$5</f>
        <v>0.61340969211585727</v>
      </c>
      <c r="G20" s="331">
        <f t="shared" si="4"/>
        <v>0.6154260018303882</v>
      </c>
    </row>
    <row r="21" spans="1:10" ht="15.75" x14ac:dyDescent="0.25">
      <c r="A21" s="326">
        <v>45536</v>
      </c>
      <c r="B21" s="327">
        <v>449.82</v>
      </c>
      <c r="C21" s="333">
        <v>449.82</v>
      </c>
      <c r="D21" s="329">
        <f t="shared" si="1"/>
        <v>6322.5590000000002</v>
      </c>
      <c r="E21" s="329">
        <f>+E20+C21</f>
        <v>6341.8630000000003</v>
      </c>
      <c r="F21" s="330">
        <f t="shared" si="5"/>
        <v>0.66039355223760876</v>
      </c>
      <c r="G21" s="331">
        <f t="shared" si="4"/>
        <v>0.66240986195213969</v>
      </c>
    </row>
    <row r="22" spans="1:10" ht="15.75" x14ac:dyDescent="0.25">
      <c r="A22" s="326">
        <v>45566</v>
      </c>
      <c r="B22" s="327">
        <v>308.39</v>
      </c>
      <c r="C22" s="333">
        <v>308.39299999999997</v>
      </c>
      <c r="D22" s="329">
        <f t="shared" si="1"/>
        <v>6630.9490000000005</v>
      </c>
      <c r="E22" s="329">
        <f>+E21+C22</f>
        <v>6650.2560000000003</v>
      </c>
      <c r="F22" s="330">
        <f t="shared" si="5"/>
        <v>0.6926049982003204</v>
      </c>
      <c r="G22" s="331">
        <f t="shared" si="4"/>
        <v>0.69462162126592586</v>
      </c>
    </row>
    <row r="23" spans="1:10" ht="15.75" x14ac:dyDescent="0.25">
      <c r="A23" s="326">
        <v>45597</v>
      </c>
      <c r="B23" s="327">
        <v>260.64999999999998</v>
      </c>
      <c r="C23" s="333">
        <v>260.649</v>
      </c>
      <c r="D23" s="329">
        <f t="shared" si="1"/>
        <v>6891.5990000000002</v>
      </c>
      <c r="E23" s="329">
        <f>+E22+C23+0.5026</f>
        <v>6911.4076000000005</v>
      </c>
      <c r="F23" s="330">
        <f>D23/$C$5</f>
        <v>0.71982998406296439</v>
      </c>
      <c r="G23" s="331">
        <f>E23/$C$5</f>
        <v>0.72189899942823887</v>
      </c>
      <c r="I23">
        <f>'Anx-A'!D25</f>
        <v>37.4955</v>
      </c>
      <c r="J23">
        <f>'Anx-A'!E25</f>
        <v>9571.3755752999969</v>
      </c>
    </row>
    <row r="24" spans="1:10" ht="15.75" x14ac:dyDescent="0.25">
      <c r="A24" s="326">
        <v>45627</v>
      </c>
      <c r="B24" s="327">
        <v>205.01</v>
      </c>
      <c r="C24" s="333">
        <f>205.0105+4.7323</f>
        <v>209.74280000000002</v>
      </c>
      <c r="D24" s="329">
        <f>D23+B24</f>
        <v>7096.6090000000004</v>
      </c>
      <c r="E24" s="329">
        <f>+E23+C24-1.0356</f>
        <v>7120.1148000000003</v>
      </c>
      <c r="F24" s="330">
        <f>D24/$C$5</f>
        <v>0.74124335199582703</v>
      </c>
      <c r="G24" s="331">
        <f>E24/$C$5</f>
        <v>0.74369854122540746</v>
      </c>
      <c r="J24" s="392">
        <f>E30</f>
        <v>9533.8803000000007</v>
      </c>
    </row>
    <row r="25" spans="1:10" ht="15.75" x14ac:dyDescent="0.25">
      <c r="A25" s="326">
        <v>45658</v>
      </c>
      <c r="B25" s="327">
        <v>350.95</v>
      </c>
      <c r="C25" s="333">
        <v>350.94779999999997</v>
      </c>
      <c r="D25" s="329">
        <f t="shared" si="1"/>
        <v>7447.5590000000002</v>
      </c>
      <c r="E25" s="329">
        <f>+E24+C25+0.5026</f>
        <v>7471.5652</v>
      </c>
      <c r="F25" s="330">
        <f t="shared" si="5"/>
        <v>0.77790020520317371</v>
      </c>
      <c r="G25" s="331">
        <f>E25/$C$5</f>
        <v>0.78040766139199325</v>
      </c>
      <c r="J25" s="452">
        <f>J23-J24</f>
        <v>37.495275299996138</v>
      </c>
    </row>
    <row r="26" spans="1:10" ht="15.75" x14ac:dyDescent="0.25">
      <c r="A26" s="326">
        <v>45689</v>
      </c>
      <c r="B26" s="327">
        <v>535.59</v>
      </c>
      <c r="C26" s="333">
        <v>535.59449999999993</v>
      </c>
      <c r="D26" s="329">
        <f t="shared" si="1"/>
        <v>7983.1490000000003</v>
      </c>
      <c r="E26" s="329">
        <f>+E25+C26+0.5026</f>
        <v>8007.6623</v>
      </c>
      <c r="F26" s="330">
        <f>D26/$C$5</f>
        <v>0.83384277254701999</v>
      </c>
      <c r="G26" s="331">
        <f t="shared" ref="G26:G31" si="6">E26/$C$6</f>
        <v>0.80885477777777781</v>
      </c>
      <c r="J26" s="452">
        <f>J25-I23</f>
        <v>-2.2470000386221045E-4</v>
      </c>
    </row>
    <row r="27" spans="1:10" ht="15.75" x14ac:dyDescent="0.25">
      <c r="A27" s="326">
        <v>45717</v>
      </c>
      <c r="B27" s="327">
        <v>387.8</v>
      </c>
      <c r="C27" s="333">
        <v>387.8</v>
      </c>
      <c r="D27" s="329">
        <f>D26+B27</f>
        <v>8370.9490000000005</v>
      </c>
      <c r="E27" s="329">
        <f>+E26+C27</f>
        <v>8395.4622999999992</v>
      </c>
      <c r="F27" s="330">
        <f>D27/$C$6</f>
        <v>0.84555040404040405</v>
      </c>
      <c r="G27" s="331">
        <f t="shared" si="6"/>
        <v>0.84802649494949489</v>
      </c>
      <c r="I27" s="335">
        <f>'Anx-A'!H16</f>
        <v>9900</v>
      </c>
    </row>
    <row r="28" spans="1:10" ht="15.75" x14ac:dyDescent="0.25">
      <c r="A28" s="326">
        <v>45748</v>
      </c>
      <c r="B28" s="327">
        <v>583.20000000000005</v>
      </c>
      <c r="C28" s="333">
        <v>583.20000000000005</v>
      </c>
      <c r="D28" s="329">
        <f>D27+B28</f>
        <v>8954.1490000000013</v>
      </c>
      <c r="E28" s="329">
        <f>+E27+C28</f>
        <v>8978.6623</v>
      </c>
      <c r="F28" s="330">
        <f>D28/$C$6</f>
        <v>0.90445949494949507</v>
      </c>
      <c r="G28" s="331">
        <f t="shared" si="6"/>
        <v>0.9069355858585858</v>
      </c>
      <c r="I28" s="335">
        <f>I27-D31</f>
        <v>1.0000000002037268E-3</v>
      </c>
    </row>
    <row r="29" spans="1:10" ht="15.75" x14ac:dyDescent="0.25">
      <c r="A29" s="326">
        <v>45778</v>
      </c>
      <c r="B29" s="327">
        <v>265.56</v>
      </c>
      <c r="C29" s="333">
        <v>265.56299999999999</v>
      </c>
      <c r="D29" s="329">
        <f>D28+B29</f>
        <v>9219.7090000000007</v>
      </c>
      <c r="E29" s="329">
        <f>+E28+C29</f>
        <v>9244.2253000000001</v>
      </c>
      <c r="F29" s="330">
        <f>D29/$C$6</f>
        <v>0.93128373737373749</v>
      </c>
      <c r="G29" s="331">
        <f t="shared" si="6"/>
        <v>0.93376013131313129</v>
      </c>
    </row>
    <row r="30" spans="1:10" ht="15.75" x14ac:dyDescent="0.25">
      <c r="A30" s="326">
        <v>45809</v>
      </c>
      <c r="B30" s="327">
        <v>289.66000000000003</v>
      </c>
      <c r="C30" s="333">
        <v>289.65499999999997</v>
      </c>
      <c r="D30" s="329">
        <f>D29+B30</f>
        <v>9509.3690000000006</v>
      </c>
      <c r="E30" s="329">
        <f>+E29+C30</f>
        <v>9533.8803000000007</v>
      </c>
      <c r="F30" s="330">
        <f>D30/$C$6</f>
        <v>0.96054232323232325</v>
      </c>
      <c r="G30" s="331">
        <f t="shared" si="6"/>
        <v>0.96301821212121219</v>
      </c>
    </row>
    <row r="31" spans="1:10" ht="15.75" x14ac:dyDescent="0.25">
      <c r="A31" s="326">
        <v>45839</v>
      </c>
      <c r="B31" s="327">
        <v>390.63</v>
      </c>
      <c r="C31" s="333">
        <f>+'Anx-A'!D25</f>
        <v>37.4955</v>
      </c>
      <c r="D31" s="329">
        <f>D30+B31</f>
        <v>9899.9989999999998</v>
      </c>
      <c r="E31" s="329">
        <f>+E30+C31</f>
        <v>9571.3758000000016</v>
      </c>
      <c r="F31" s="330">
        <f>D31/$C$6</f>
        <v>0.99999989898989894</v>
      </c>
      <c r="G31" s="331">
        <f t="shared" si="6"/>
        <v>0.96680563636363648</v>
      </c>
    </row>
    <row r="32" spans="1:10" x14ac:dyDescent="0.25">
      <c r="D32">
        <v>9900</v>
      </c>
      <c r="E32" s="392"/>
    </row>
    <row r="33" spans="4:4" x14ac:dyDescent="0.25">
      <c r="D33" s="392">
        <f>+D32-D31</f>
        <v>1.0000000002037268E-3</v>
      </c>
    </row>
  </sheetData>
  <mergeCells count="7">
    <mergeCell ref="A2:G2"/>
    <mergeCell ref="A3:G3"/>
    <mergeCell ref="A4:G4"/>
    <mergeCell ref="A8:A9"/>
    <mergeCell ref="B8:C8"/>
    <mergeCell ref="D8:E8"/>
    <mergeCell ref="F8:G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D16" zoomScale="90" zoomScaleNormal="90" workbookViewId="0">
      <selection activeCell="W16" sqref="W16"/>
    </sheetView>
  </sheetViews>
  <sheetFormatPr defaultRowHeight="15" x14ac:dyDescent="0.25"/>
  <cols>
    <col min="7" max="21" width="9.5703125" bestFit="1" customWidth="1"/>
  </cols>
  <sheetData>
    <row r="1" spans="1:24" ht="18.75" x14ac:dyDescent="0.3">
      <c r="A1" s="900" t="str">
        <f>'Anx-A'!A2:H2</f>
        <v>PROJ HIGHLIGHTS AS ON JUL-25</v>
      </c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0"/>
      <c r="U1" s="900"/>
    </row>
    <row r="2" spans="1:24" ht="18.75" x14ac:dyDescent="0.3">
      <c r="A2" s="900" t="str">
        <f>'[3]Anx A'!A3:H3</f>
        <v>Re-Modelling and Up Gradation of ADA Nullah and Walton Road Pkg-I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900"/>
      <c r="O2" s="900"/>
      <c r="P2" s="900"/>
      <c r="Q2" s="900"/>
      <c r="R2" s="900"/>
      <c r="S2" s="900"/>
      <c r="T2" s="900"/>
      <c r="U2" s="900"/>
      <c r="V2">
        <f>'Anx-A'!D25</f>
        <v>37.4955</v>
      </c>
      <c r="W2" t="s">
        <v>5</v>
      </c>
    </row>
    <row r="3" spans="1:24" ht="18.75" x14ac:dyDescent="0.3">
      <c r="A3" s="900" t="s">
        <v>504</v>
      </c>
      <c r="B3" s="900"/>
      <c r="C3" s="900"/>
      <c r="D3" s="900"/>
      <c r="E3" s="900"/>
      <c r="F3" s="900"/>
      <c r="G3" s="900"/>
      <c r="H3" s="900"/>
      <c r="I3" s="900"/>
      <c r="J3" s="900"/>
      <c r="K3" s="900"/>
      <c r="L3" s="900"/>
      <c r="M3" s="900"/>
      <c r="N3" s="900"/>
      <c r="O3" s="900"/>
      <c r="P3" s="900"/>
      <c r="Q3" s="900"/>
      <c r="R3" s="900"/>
      <c r="S3" s="900"/>
      <c r="T3" s="900"/>
      <c r="U3" s="900"/>
      <c r="V3">
        <f>'Anx-A'!E25</f>
        <v>9571.3755752999969</v>
      </c>
      <c r="W3" t="s">
        <v>266</v>
      </c>
    </row>
    <row r="4" spans="1:24" x14ac:dyDescent="0.25">
      <c r="A4" s="901" t="s">
        <v>505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</row>
    <row r="5" spans="1:24" x14ac:dyDescent="0.25">
      <c r="A5" s="260" t="s">
        <v>332</v>
      </c>
      <c r="B5" s="315">
        <v>45170</v>
      </c>
      <c r="C5" s="315">
        <v>45200</v>
      </c>
      <c r="D5" s="315">
        <v>45231</v>
      </c>
      <c r="E5" s="315">
        <v>45261</v>
      </c>
      <c r="F5" s="315">
        <v>45292</v>
      </c>
      <c r="G5" s="315">
        <v>45323</v>
      </c>
      <c r="H5" s="315">
        <v>45352</v>
      </c>
      <c r="I5" s="315">
        <v>45383</v>
      </c>
      <c r="J5" s="315">
        <v>45413</v>
      </c>
      <c r="K5" s="315">
        <v>45444</v>
      </c>
      <c r="L5" s="315">
        <v>45474</v>
      </c>
      <c r="M5" s="315">
        <v>45505</v>
      </c>
      <c r="N5" s="315">
        <v>45536</v>
      </c>
      <c r="O5" s="315">
        <v>45566</v>
      </c>
      <c r="P5" s="315">
        <v>45597</v>
      </c>
      <c r="Q5" s="315">
        <v>45627</v>
      </c>
      <c r="R5" s="315">
        <v>45658</v>
      </c>
      <c r="S5" s="315">
        <v>45689</v>
      </c>
      <c r="T5" s="315">
        <v>45717</v>
      </c>
      <c r="U5" s="315">
        <v>45748</v>
      </c>
      <c r="V5" s="315">
        <v>45778</v>
      </c>
      <c r="W5" s="315">
        <v>45809</v>
      </c>
      <c r="X5" s="315">
        <v>45839</v>
      </c>
    </row>
    <row r="6" spans="1:24" x14ac:dyDescent="0.25">
      <c r="A6" s="260" t="s">
        <v>506</v>
      </c>
      <c r="B6" s="316">
        <v>0</v>
      </c>
      <c r="C6" s="316">
        <v>16.652012890000002</v>
      </c>
      <c r="D6" s="316">
        <v>95</v>
      </c>
      <c r="E6" s="316">
        <v>262</v>
      </c>
      <c r="F6" s="316">
        <v>350</v>
      </c>
      <c r="G6" s="316">
        <v>400</v>
      </c>
      <c r="H6" s="316">
        <v>430</v>
      </c>
      <c r="I6" s="316">
        <v>450</v>
      </c>
      <c r="J6" s="316">
        <v>550</v>
      </c>
      <c r="K6" s="316">
        <v>600</v>
      </c>
      <c r="L6" s="316">
        <v>630</v>
      </c>
      <c r="M6" s="316">
        <v>650</v>
      </c>
      <c r="N6" s="316">
        <v>750</v>
      </c>
      <c r="O6" s="316">
        <v>750</v>
      </c>
      <c r="P6" s="316">
        <v>750</v>
      </c>
      <c r="Q6" s="316">
        <v>850</v>
      </c>
      <c r="R6" s="316">
        <v>650</v>
      </c>
      <c r="S6" s="316">
        <v>750</v>
      </c>
      <c r="T6" s="316">
        <v>350</v>
      </c>
      <c r="U6" s="316">
        <v>290.27</v>
      </c>
      <c r="V6">
        <f>Appendix!B29</f>
        <v>265.56</v>
      </c>
      <c r="W6">
        <f>Appendix!B30</f>
        <v>289.66000000000003</v>
      </c>
      <c r="X6">
        <f>Appendix!B31</f>
        <v>390.63</v>
      </c>
    </row>
    <row r="7" spans="1:24" x14ac:dyDescent="0.25">
      <c r="A7" s="260" t="s">
        <v>507</v>
      </c>
      <c r="B7" s="316">
        <v>0</v>
      </c>
      <c r="C7" s="317">
        <f>'[3]Appx I to Anx A'!C10</f>
        <v>11.510999999999999</v>
      </c>
      <c r="D7" s="260">
        <f>'[3]Appx I to Anx A'!C11</f>
        <v>56.435000000000002</v>
      </c>
      <c r="E7" s="260">
        <f>'[3]Appx I to Anx A'!C12</f>
        <v>55.058</v>
      </c>
      <c r="F7" s="260">
        <f>'[3]Appx I to Anx A'!D12</f>
        <v>373.65201289000004</v>
      </c>
      <c r="G7" s="260">
        <v>1132.26</v>
      </c>
      <c r="H7" s="260">
        <v>766.37599999999998</v>
      </c>
      <c r="I7" s="317">
        <f>+Appendix!C16</f>
        <v>464.48399999999998</v>
      </c>
      <c r="J7" s="260">
        <v>1278.538</v>
      </c>
      <c r="K7" s="317">
        <f>Appendix!C18</f>
        <v>566.75099999999998</v>
      </c>
      <c r="L7" s="317">
        <f>+Appendix!C19</f>
        <v>820.07100000000003</v>
      </c>
      <c r="M7" s="260">
        <v>408.55</v>
      </c>
      <c r="N7" s="317">
        <f>Appendix!C21</f>
        <v>449.82</v>
      </c>
      <c r="O7" s="317">
        <f>Appendix!C22</f>
        <v>308.39299999999997</v>
      </c>
      <c r="P7" s="317">
        <f>Appendix!C23</f>
        <v>260.649</v>
      </c>
      <c r="Q7" s="317">
        <f>Appendix!C24</f>
        <v>209.74280000000002</v>
      </c>
      <c r="R7" s="317">
        <f>Appendix!C25</f>
        <v>350.94779999999997</v>
      </c>
      <c r="S7" s="260">
        <v>535.59500000000003</v>
      </c>
      <c r="T7" s="317">
        <f>Appendix!C27</f>
        <v>387.8</v>
      </c>
      <c r="U7" s="317">
        <f>Appendix!C28</f>
        <v>583.20000000000005</v>
      </c>
      <c r="V7" s="392">
        <f>Appendix!C29</f>
        <v>265.56299999999999</v>
      </c>
      <c r="W7" s="392">
        <f>Appendix!C30</f>
        <v>289.65499999999997</v>
      </c>
      <c r="X7" s="392">
        <f>Appendix!C31</f>
        <v>37.4955</v>
      </c>
    </row>
    <row r="8" spans="1:24" x14ac:dyDescent="0.25">
      <c r="A8" s="901" t="s">
        <v>508</v>
      </c>
      <c r="B8" s="901"/>
      <c r="C8" s="901"/>
      <c r="D8" s="901"/>
      <c r="E8" s="901"/>
      <c r="F8" s="901"/>
      <c r="G8" s="901"/>
      <c r="H8" s="901"/>
      <c r="I8" s="901"/>
      <c r="J8" s="901"/>
      <c r="K8" s="901"/>
      <c r="L8" s="901"/>
      <c r="M8" s="901"/>
      <c r="N8" s="901"/>
      <c r="O8" s="901"/>
      <c r="P8" s="901"/>
      <c r="Q8" s="901"/>
      <c r="R8" s="901"/>
      <c r="S8" s="901"/>
      <c r="T8" s="901"/>
      <c r="U8" s="901"/>
    </row>
    <row r="9" spans="1:24" x14ac:dyDescent="0.25">
      <c r="A9" s="260" t="s">
        <v>332</v>
      </c>
      <c r="B9" s="315">
        <v>45170</v>
      </c>
      <c r="C9" s="315">
        <v>45200</v>
      </c>
      <c r="D9" s="315">
        <v>45231</v>
      </c>
      <c r="E9" s="315">
        <v>45261</v>
      </c>
      <c r="F9" s="315">
        <v>45292</v>
      </c>
      <c r="G9" s="315">
        <v>45323</v>
      </c>
      <c r="H9" s="315">
        <v>45352</v>
      </c>
      <c r="I9" s="315">
        <v>45383</v>
      </c>
      <c r="J9" s="315">
        <v>45413</v>
      </c>
      <c r="K9" s="315">
        <v>45444</v>
      </c>
      <c r="L9" s="315">
        <v>45474</v>
      </c>
      <c r="M9" s="315">
        <v>45505</v>
      </c>
      <c r="N9" s="315">
        <v>45536</v>
      </c>
      <c r="O9" s="315">
        <v>45566</v>
      </c>
      <c r="P9" s="315">
        <v>45597</v>
      </c>
      <c r="Q9" s="315">
        <v>45627</v>
      </c>
      <c r="R9" s="315">
        <v>45658</v>
      </c>
      <c r="S9" s="315">
        <v>45689</v>
      </c>
      <c r="T9" s="315">
        <v>45717</v>
      </c>
      <c r="U9" s="315">
        <v>45748</v>
      </c>
      <c r="V9" s="315">
        <v>45778</v>
      </c>
      <c r="W9" s="315">
        <v>45809</v>
      </c>
      <c r="X9" s="315">
        <v>45839</v>
      </c>
    </row>
    <row r="10" spans="1:24" x14ac:dyDescent="0.25">
      <c r="A10" s="260" t="s">
        <v>506</v>
      </c>
      <c r="B10" s="316">
        <v>0</v>
      </c>
      <c r="C10" s="329">
        <v>16.652012890000002</v>
      </c>
      <c r="D10" s="329">
        <v>111.65201289000001</v>
      </c>
      <c r="E10" s="329">
        <v>373.65201289000004</v>
      </c>
      <c r="F10" s="329">
        <v>723.65201289000004</v>
      </c>
      <c r="G10" s="329">
        <v>1123.6520128900002</v>
      </c>
      <c r="H10" s="329">
        <v>1553.6520128900002</v>
      </c>
      <c r="I10" s="329">
        <v>2003.6520128900002</v>
      </c>
      <c r="J10" s="329">
        <v>2553.6520128900002</v>
      </c>
      <c r="K10" s="329">
        <v>3153.6520128900002</v>
      </c>
      <c r="L10" s="329">
        <v>3783.6520128900002</v>
      </c>
      <c r="M10" s="329">
        <v>4433.6520128900002</v>
      </c>
      <c r="N10" s="329">
        <v>5183.6520128900002</v>
      </c>
      <c r="O10" s="329">
        <v>5933.6520128900002</v>
      </c>
      <c r="P10" s="329">
        <v>6683.6520128900002</v>
      </c>
      <c r="Q10" s="329">
        <v>7533.6520128900002</v>
      </c>
      <c r="R10" s="329">
        <v>8183.6520128900002</v>
      </c>
      <c r="S10" s="329">
        <v>8933.6520128900011</v>
      </c>
      <c r="T10" s="329">
        <f>Appendix!D27</f>
        <v>8370.9490000000005</v>
      </c>
      <c r="U10" s="329">
        <f>Appendix!D28</f>
        <v>8954.1490000000013</v>
      </c>
      <c r="V10" s="392">
        <f>Appendix!D29</f>
        <v>9219.7090000000007</v>
      </c>
      <c r="W10" s="392">
        <f>Appendix!D30</f>
        <v>9509.3690000000006</v>
      </c>
      <c r="X10" s="392">
        <f>Appendix!D31</f>
        <v>9899.9989999999998</v>
      </c>
    </row>
    <row r="11" spans="1:24" x14ac:dyDescent="0.25">
      <c r="A11" s="260" t="s">
        <v>507</v>
      </c>
      <c r="B11" s="316">
        <v>0</v>
      </c>
      <c r="C11" s="317">
        <f>'[3]Appx I to Anx A'!C10</f>
        <v>11.510999999999999</v>
      </c>
      <c r="D11" s="317">
        <f>'[3]Appx I to Anx A'!E11</f>
        <v>67.945999999999998</v>
      </c>
      <c r="E11" s="317">
        <f>'[3]Appx I to Anx A'!E12</f>
        <v>123.00399999999999</v>
      </c>
      <c r="F11" s="317">
        <f>+'[3]Appx I to Anx A'!E13</f>
        <v>455.01499999999999</v>
      </c>
      <c r="G11" s="317">
        <f>+'[3]Appx I to Anx A'!E14</f>
        <v>1587.2730000000001</v>
      </c>
      <c r="H11" s="317">
        <f>+'[3]Appx I to Anx A'!E15</f>
        <v>2353.6490000000003</v>
      </c>
      <c r="I11" s="317">
        <f>Appendix!E16</f>
        <v>2818.1330000000003</v>
      </c>
      <c r="J11" s="317">
        <f>Appendix!E17</f>
        <v>4096.6710000000003</v>
      </c>
      <c r="K11" s="317">
        <f>Appendix!E18</f>
        <v>4663.4220000000005</v>
      </c>
      <c r="L11" s="317">
        <f>+Appendix!E19</f>
        <v>5483.4930000000004</v>
      </c>
      <c r="M11" s="260">
        <v>5892.0439999999999</v>
      </c>
      <c r="N11" s="317">
        <f>Appendix!E21</f>
        <v>6341.8630000000003</v>
      </c>
      <c r="O11" s="317">
        <f>Appendix!E22</f>
        <v>6650.2560000000003</v>
      </c>
      <c r="P11" s="317">
        <f>Appendix!E23</f>
        <v>6911.4076000000005</v>
      </c>
      <c r="Q11" s="317">
        <f>Appendix!E24</f>
        <v>7120.1148000000003</v>
      </c>
      <c r="R11" s="317">
        <f>Appendix!E25</f>
        <v>7471.5652</v>
      </c>
      <c r="S11" s="317">
        <f>Appendix!E26</f>
        <v>8007.6623</v>
      </c>
      <c r="T11" s="317">
        <f>Appendix!E27</f>
        <v>8395.4622999999992</v>
      </c>
      <c r="U11" s="317">
        <f>Appendix!E28</f>
        <v>8978.6623</v>
      </c>
      <c r="V11" s="392">
        <f>Appendix!E29</f>
        <v>9244.2253000000001</v>
      </c>
      <c r="W11" s="392">
        <f>Appendix!E30</f>
        <v>9533.8803000000007</v>
      </c>
      <c r="X11" s="392">
        <f>Appendix!D31</f>
        <v>9899.9989999999998</v>
      </c>
    </row>
    <row r="12" spans="1:24" x14ac:dyDescent="0.25">
      <c r="H12" s="318"/>
    </row>
    <row r="30" spans="4:4" x14ac:dyDescent="0.25">
      <c r="D30" t="s">
        <v>509</v>
      </c>
    </row>
  </sheetData>
  <mergeCells count="5">
    <mergeCell ref="A1:U1"/>
    <mergeCell ref="A2:U2"/>
    <mergeCell ref="A3:U3"/>
    <mergeCell ref="A4:U4"/>
    <mergeCell ref="A8: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view="pageBreakPreview" topLeftCell="A34" zoomScaleNormal="100" zoomScaleSheetLayoutView="100" workbookViewId="0">
      <selection activeCell="F48" sqref="F48"/>
    </sheetView>
  </sheetViews>
  <sheetFormatPr defaultColWidth="9.140625" defaultRowHeight="15" x14ac:dyDescent="0.25"/>
  <cols>
    <col min="1" max="1" width="9.140625" style="627"/>
    <col min="2" max="2" width="46.7109375" style="627" customWidth="1"/>
    <col min="3" max="8" width="12.28515625" style="627" customWidth="1"/>
    <col min="9" max="10" width="10.5703125" style="626" bestFit="1" customWidth="1"/>
    <col min="11" max="11" width="9.140625" style="626"/>
    <col min="12" max="12" width="10.140625" style="626" bestFit="1" customWidth="1"/>
    <col min="13" max="13" width="14.85546875" style="627" bestFit="1" customWidth="1"/>
    <col min="14" max="16384" width="9.140625" style="627"/>
  </cols>
  <sheetData>
    <row r="1" spans="1:14" ht="15.75" x14ac:dyDescent="0.25">
      <c r="A1" s="758" t="s">
        <v>93</v>
      </c>
      <c r="B1" s="758"/>
      <c r="C1" s="758"/>
      <c r="D1" s="758"/>
      <c r="E1" s="758"/>
      <c r="F1" s="758"/>
      <c r="G1" s="758"/>
      <c r="H1" s="758"/>
    </row>
    <row r="2" spans="1:14" ht="15.75" x14ac:dyDescent="0.25">
      <c r="A2" s="758" t="str">
        <f>'Anx-A'!A3:H3</f>
        <v>Re-Modelling and Up Gradation of ADA Nullah and Walton Road Pkg-I</v>
      </c>
      <c r="B2" s="758"/>
      <c r="C2" s="758"/>
      <c r="D2" s="758"/>
      <c r="E2" s="758"/>
      <c r="F2" s="758"/>
      <c r="G2" s="758"/>
      <c r="H2" s="758"/>
    </row>
    <row r="3" spans="1:14" ht="15.75" x14ac:dyDescent="0.25">
      <c r="A3" s="758" t="s">
        <v>94</v>
      </c>
      <c r="B3" s="758"/>
      <c r="C3" s="758"/>
      <c r="D3" s="758"/>
      <c r="E3" s="758"/>
      <c r="F3" s="758"/>
      <c r="G3" s="758"/>
      <c r="H3" s="758"/>
    </row>
    <row r="4" spans="1:14" x14ac:dyDescent="0.25">
      <c r="A4" s="628"/>
      <c r="B4" s="628"/>
      <c r="C4" s="629"/>
      <c r="D4" s="628"/>
      <c r="E4" s="628"/>
      <c r="F4" s="628"/>
      <c r="G4" s="628"/>
      <c r="H4" s="628"/>
    </row>
    <row r="5" spans="1:14" ht="15" customHeight="1" x14ac:dyDescent="0.25">
      <c r="A5" s="759" t="s">
        <v>95</v>
      </c>
      <c r="B5" s="759" t="s">
        <v>96</v>
      </c>
      <c r="C5" s="760" t="s">
        <v>97</v>
      </c>
      <c r="D5" s="761"/>
      <c r="E5" s="761"/>
      <c r="F5" s="761"/>
      <c r="G5" s="761"/>
      <c r="H5" s="762"/>
    </row>
    <row r="6" spans="1:14" ht="15" customHeight="1" x14ac:dyDescent="0.25">
      <c r="A6" s="759"/>
      <c r="B6" s="759"/>
      <c r="C6" s="763" t="s">
        <v>68</v>
      </c>
      <c r="D6" s="763"/>
      <c r="E6" s="763"/>
      <c r="F6" s="763"/>
      <c r="G6" s="763" t="s">
        <v>98</v>
      </c>
      <c r="H6" s="763"/>
      <c r="J6" s="626">
        <f>'Anx-A'!Q25</f>
        <v>0</v>
      </c>
      <c r="K6" s="626">
        <f>'Anx-A'!S25</f>
        <v>0</v>
      </c>
    </row>
    <row r="7" spans="1:14" ht="57" x14ac:dyDescent="0.25">
      <c r="A7" s="759"/>
      <c r="B7" s="759"/>
      <c r="C7" s="630" t="s">
        <v>99</v>
      </c>
      <c r="D7" s="631" t="s">
        <v>100</v>
      </c>
      <c r="E7" s="631" t="s">
        <v>101</v>
      </c>
      <c r="F7" s="631" t="s">
        <v>102</v>
      </c>
      <c r="G7" s="631" t="s">
        <v>98</v>
      </c>
      <c r="H7" s="631" t="s">
        <v>103</v>
      </c>
    </row>
    <row r="8" spans="1:14" ht="18" x14ac:dyDescent="0.25">
      <c r="A8" s="76" t="s">
        <v>104</v>
      </c>
      <c r="B8" s="77" t="s">
        <v>105</v>
      </c>
      <c r="C8" s="624">
        <v>0</v>
      </c>
      <c r="D8" s="623">
        <v>0</v>
      </c>
      <c r="E8" s="623">
        <v>0</v>
      </c>
      <c r="F8" s="623">
        <v>0</v>
      </c>
      <c r="G8" s="625">
        <v>0</v>
      </c>
      <c r="H8" s="625">
        <v>0</v>
      </c>
      <c r="I8" s="626">
        <v>0</v>
      </c>
      <c r="J8" s="626">
        <v>0</v>
      </c>
    </row>
    <row r="9" spans="1:14" ht="18" x14ac:dyDescent="0.25">
      <c r="A9" s="76"/>
      <c r="B9" s="78"/>
      <c r="C9" s="624"/>
      <c r="D9" s="623">
        <v>0</v>
      </c>
      <c r="E9" s="623"/>
      <c r="F9" s="623"/>
      <c r="G9" s="625"/>
      <c r="H9" s="625"/>
    </row>
    <row r="10" spans="1:14" ht="18" x14ac:dyDescent="0.25">
      <c r="A10" s="76">
        <v>1</v>
      </c>
      <c r="B10" s="78" t="s">
        <v>106</v>
      </c>
      <c r="C10" s="624">
        <v>1.75</v>
      </c>
      <c r="D10" s="623">
        <v>0</v>
      </c>
      <c r="E10" s="623">
        <v>1.75</v>
      </c>
      <c r="F10" s="623">
        <v>0</v>
      </c>
      <c r="G10" s="625">
        <v>1.75</v>
      </c>
      <c r="H10" s="625">
        <v>0</v>
      </c>
      <c r="I10" s="626">
        <v>1.75</v>
      </c>
      <c r="J10" s="626">
        <v>1.75</v>
      </c>
      <c r="K10" s="626">
        <f>G10-I10</f>
        <v>0</v>
      </c>
      <c r="L10" s="626">
        <f>H10-J10</f>
        <v>-1.75</v>
      </c>
    </row>
    <row r="11" spans="1:14" ht="18" x14ac:dyDescent="0.25">
      <c r="A11" s="76">
        <v>2</v>
      </c>
      <c r="B11" s="78" t="s">
        <v>107</v>
      </c>
      <c r="C11" s="624">
        <v>0</v>
      </c>
      <c r="D11" s="623">
        <v>0</v>
      </c>
      <c r="E11" s="623">
        <v>0</v>
      </c>
      <c r="F11" s="623">
        <v>0</v>
      </c>
      <c r="G11" s="625">
        <v>0</v>
      </c>
      <c r="H11" s="625">
        <v>0</v>
      </c>
      <c r="I11" s="626">
        <v>0</v>
      </c>
      <c r="J11" s="626">
        <v>0</v>
      </c>
      <c r="K11" s="626">
        <f t="shared" ref="K11:K47" si="0">G11-I11</f>
        <v>0</v>
      </c>
      <c r="L11" s="626">
        <f t="shared" ref="L11:L47" si="1">H11-J11</f>
        <v>0</v>
      </c>
    </row>
    <row r="12" spans="1:14" ht="18" x14ac:dyDescent="0.25">
      <c r="A12" s="76">
        <v>3</v>
      </c>
      <c r="B12" s="78" t="s">
        <v>108</v>
      </c>
      <c r="C12" s="624">
        <v>1094.5992443299999</v>
      </c>
      <c r="D12" s="623">
        <v>-2.431</v>
      </c>
      <c r="E12" s="623">
        <f>1201.481-31-2.431</f>
        <v>1168.05</v>
      </c>
      <c r="F12" s="623">
        <v>-2.431</v>
      </c>
      <c r="G12" s="625">
        <v>1069.1219999999998</v>
      </c>
      <c r="H12" s="625">
        <v>0</v>
      </c>
      <c r="I12" s="626">
        <v>1031.732</v>
      </c>
      <c r="J12" s="626">
        <v>1031.732</v>
      </c>
      <c r="K12" s="626">
        <f t="shared" si="0"/>
        <v>37.389999999999873</v>
      </c>
      <c r="L12" s="626">
        <f t="shared" si="1"/>
        <v>-1031.732</v>
      </c>
      <c r="M12" s="632">
        <f>D12-L12</f>
        <v>1029.3009999999999</v>
      </c>
      <c r="N12" s="633"/>
    </row>
    <row r="13" spans="1:14" ht="36" x14ac:dyDescent="0.25">
      <c r="A13" s="764">
        <v>4</v>
      </c>
      <c r="B13" s="78" t="s">
        <v>770</v>
      </c>
      <c r="C13" s="767">
        <v>0</v>
      </c>
      <c r="D13" s="623">
        <v>0</v>
      </c>
      <c r="E13" s="623">
        <v>110.14699999999999</v>
      </c>
      <c r="F13" s="623">
        <v>0</v>
      </c>
      <c r="G13" s="625">
        <v>103.79</v>
      </c>
      <c r="H13" s="625">
        <v>0</v>
      </c>
      <c r="I13" s="626">
        <v>103.79</v>
      </c>
      <c r="J13" s="626">
        <v>103.79</v>
      </c>
      <c r="K13" s="626">
        <f t="shared" si="0"/>
        <v>0</v>
      </c>
      <c r="L13" s="626">
        <f t="shared" si="1"/>
        <v>-103.79</v>
      </c>
      <c r="N13" s="634"/>
    </row>
    <row r="14" spans="1:14" ht="18" x14ac:dyDescent="0.25">
      <c r="A14" s="765"/>
      <c r="B14" s="78" t="s">
        <v>771</v>
      </c>
      <c r="C14" s="767"/>
      <c r="D14" s="623">
        <v>0</v>
      </c>
      <c r="E14" s="623">
        <v>9.7859999999999996</v>
      </c>
      <c r="F14" s="623">
        <v>0</v>
      </c>
      <c r="G14" s="625">
        <v>7.34</v>
      </c>
      <c r="H14" s="625">
        <v>0</v>
      </c>
      <c r="I14" s="626">
        <v>7.34</v>
      </c>
      <c r="J14" s="626">
        <v>7.34</v>
      </c>
      <c r="K14" s="626">
        <f t="shared" si="0"/>
        <v>0</v>
      </c>
      <c r="L14" s="626">
        <f t="shared" si="1"/>
        <v>-7.34</v>
      </c>
      <c r="N14" s="634"/>
    </row>
    <row r="15" spans="1:14" ht="18" x14ac:dyDescent="0.25">
      <c r="A15" s="766"/>
      <c r="B15" s="78" t="s">
        <v>772</v>
      </c>
      <c r="C15" s="767"/>
      <c r="D15" s="623">
        <v>0</v>
      </c>
      <c r="E15" s="623">
        <v>2.77</v>
      </c>
      <c r="F15" s="623">
        <v>0</v>
      </c>
      <c r="G15" s="625">
        <v>2.77</v>
      </c>
      <c r="H15" s="625">
        <v>0</v>
      </c>
      <c r="I15" s="626">
        <v>2.77</v>
      </c>
      <c r="J15" s="626">
        <v>2.77</v>
      </c>
      <c r="K15" s="626">
        <f t="shared" si="0"/>
        <v>0</v>
      </c>
      <c r="L15" s="626">
        <f t="shared" si="1"/>
        <v>-2.77</v>
      </c>
      <c r="N15" s="634"/>
    </row>
    <row r="16" spans="1:14" ht="18" x14ac:dyDescent="0.25">
      <c r="A16" s="76">
        <v>5</v>
      </c>
      <c r="B16" s="77" t="s">
        <v>715</v>
      </c>
      <c r="C16" s="624">
        <v>306.53900529999999</v>
      </c>
      <c r="D16" s="623">
        <v>0</v>
      </c>
      <c r="E16" s="623">
        <v>23.222999999999999</v>
      </c>
      <c r="F16" s="623">
        <v>0</v>
      </c>
      <c r="G16" s="625">
        <v>23.222999999999999</v>
      </c>
      <c r="H16" s="625">
        <v>0</v>
      </c>
      <c r="I16" s="626">
        <v>23.222999999999999</v>
      </c>
      <c r="J16" s="626">
        <v>23.233000000000001</v>
      </c>
      <c r="K16" s="626">
        <f t="shared" si="0"/>
        <v>0</v>
      </c>
      <c r="L16" s="626">
        <f t="shared" si="1"/>
        <v>-23.233000000000001</v>
      </c>
    </row>
    <row r="17" spans="1:12" ht="18" x14ac:dyDescent="0.25">
      <c r="A17" s="76"/>
      <c r="B17" s="77" t="s">
        <v>780</v>
      </c>
      <c r="C17" s="624"/>
      <c r="D17" s="623"/>
      <c r="E17" s="623"/>
      <c r="F17" s="623"/>
      <c r="G17" s="625"/>
      <c r="H17" s="625"/>
      <c r="K17" s="626">
        <f t="shared" si="0"/>
        <v>0</v>
      </c>
      <c r="L17" s="626">
        <f t="shared" si="1"/>
        <v>0</v>
      </c>
    </row>
    <row r="18" spans="1:12" ht="18" x14ac:dyDescent="0.25">
      <c r="A18" s="76">
        <v>6</v>
      </c>
      <c r="B18" s="78" t="s">
        <v>661</v>
      </c>
      <c r="C18" s="624">
        <v>200</v>
      </c>
      <c r="D18" s="623">
        <v>0</v>
      </c>
      <c r="E18" s="623">
        <v>179.61800000000002</v>
      </c>
      <c r="F18" s="623">
        <v>0</v>
      </c>
      <c r="G18" s="623">
        <v>171.78399999999999</v>
      </c>
      <c r="H18" s="623"/>
      <c r="I18" s="626">
        <v>171.78399999999999</v>
      </c>
      <c r="K18" s="626">
        <f t="shared" si="0"/>
        <v>0</v>
      </c>
      <c r="L18" s="626">
        <f t="shared" si="1"/>
        <v>0</v>
      </c>
    </row>
    <row r="19" spans="1:12" ht="18" x14ac:dyDescent="0.25">
      <c r="A19" s="76" t="s">
        <v>110</v>
      </c>
      <c r="B19" s="77" t="s">
        <v>111</v>
      </c>
      <c r="C19" s="624">
        <v>0</v>
      </c>
      <c r="D19" s="623"/>
      <c r="E19" s="623"/>
      <c r="F19" s="623"/>
      <c r="G19" s="625"/>
      <c r="H19" s="625"/>
      <c r="K19" s="626">
        <f t="shared" si="0"/>
        <v>0</v>
      </c>
      <c r="L19" s="626">
        <f t="shared" si="1"/>
        <v>0</v>
      </c>
    </row>
    <row r="20" spans="1:12" ht="18" x14ac:dyDescent="0.25">
      <c r="A20" s="76">
        <v>1</v>
      </c>
      <c r="B20" s="78" t="s">
        <v>112</v>
      </c>
      <c r="C20" s="624">
        <v>0</v>
      </c>
      <c r="D20" s="623"/>
      <c r="E20" s="623"/>
      <c r="F20" s="623"/>
      <c r="G20" s="625"/>
      <c r="H20" s="625"/>
      <c r="K20" s="626">
        <f t="shared" si="0"/>
        <v>0</v>
      </c>
      <c r="L20" s="626">
        <f t="shared" si="1"/>
        <v>0</v>
      </c>
    </row>
    <row r="21" spans="1:12" ht="18" x14ac:dyDescent="0.25">
      <c r="A21" s="76">
        <v>2</v>
      </c>
      <c r="B21" s="78" t="s">
        <v>113</v>
      </c>
      <c r="C21" s="624">
        <v>0</v>
      </c>
      <c r="D21" s="623"/>
      <c r="E21" s="623"/>
      <c r="F21" s="623"/>
      <c r="G21" s="625"/>
      <c r="H21" s="625"/>
      <c r="K21" s="626">
        <f t="shared" si="0"/>
        <v>0</v>
      </c>
      <c r="L21" s="626">
        <f t="shared" si="1"/>
        <v>0</v>
      </c>
    </row>
    <row r="22" spans="1:12" ht="18" x14ac:dyDescent="0.25">
      <c r="A22" s="76">
        <v>3</v>
      </c>
      <c r="B22" s="77" t="s">
        <v>114</v>
      </c>
      <c r="C22" s="624"/>
      <c r="D22" s="623">
        <v>0</v>
      </c>
      <c r="E22" s="623"/>
      <c r="F22" s="623"/>
      <c r="G22" s="625"/>
      <c r="H22" s="625"/>
      <c r="K22" s="626">
        <f t="shared" si="0"/>
        <v>0</v>
      </c>
      <c r="L22" s="626">
        <f t="shared" si="1"/>
        <v>0</v>
      </c>
    </row>
    <row r="23" spans="1:12" ht="18" x14ac:dyDescent="0.25">
      <c r="A23" s="76" t="s">
        <v>616</v>
      </c>
      <c r="B23" s="78" t="s">
        <v>662</v>
      </c>
      <c r="C23" s="624">
        <v>204.34100000000001</v>
      </c>
      <c r="D23" s="623">
        <v>0</v>
      </c>
      <c r="E23" s="623">
        <v>204.34100000000001</v>
      </c>
      <c r="F23" s="623">
        <v>0</v>
      </c>
      <c r="G23" s="625">
        <v>164.34100000000001</v>
      </c>
      <c r="H23" s="625">
        <v>0</v>
      </c>
      <c r="I23" s="626">
        <v>164.34100000000001</v>
      </c>
      <c r="J23" s="626">
        <v>164.34100000000001</v>
      </c>
      <c r="K23" s="626">
        <f t="shared" si="0"/>
        <v>0</v>
      </c>
      <c r="L23" s="626">
        <f t="shared" si="1"/>
        <v>-164.34100000000001</v>
      </c>
    </row>
    <row r="24" spans="1:12" ht="36" x14ac:dyDescent="0.25">
      <c r="A24" s="76"/>
      <c r="B24" s="78" t="s">
        <v>749</v>
      </c>
      <c r="C24" s="624"/>
      <c r="D24" s="623">
        <v>0</v>
      </c>
      <c r="E24" s="623">
        <v>0</v>
      </c>
      <c r="F24" s="623">
        <v>0</v>
      </c>
      <c r="G24" s="625">
        <v>0</v>
      </c>
      <c r="H24" s="625">
        <v>0</v>
      </c>
      <c r="I24" s="626">
        <v>0</v>
      </c>
      <c r="J24" s="626">
        <v>0</v>
      </c>
      <c r="K24" s="626">
        <f t="shared" si="0"/>
        <v>0</v>
      </c>
      <c r="L24" s="626">
        <f t="shared" si="1"/>
        <v>0</v>
      </c>
    </row>
    <row r="25" spans="1:12" ht="18" x14ac:dyDescent="0.25">
      <c r="A25" s="76" t="s">
        <v>617</v>
      </c>
      <c r="B25" s="78" t="s">
        <v>623</v>
      </c>
      <c r="C25" s="624">
        <v>247.5</v>
      </c>
      <c r="D25" s="623">
        <v>0</v>
      </c>
      <c r="E25" s="623">
        <v>249.47199999999998</v>
      </c>
      <c r="F25" s="623">
        <v>0</v>
      </c>
      <c r="G25" s="625">
        <v>128.185</v>
      </c>
      <c r="H25" s="625">
        <v>0</v>
      </c>
      <c r="I25" s="626">
        <v>128.185</v>
      </c>
      <c r="J25" s="626">
        <v>128.185</v>
      </c>
      <c r="K25" s="626">
        <f t="shared" si="0"/>
        <v>0</v>
      </c>
      <c r="L25" s="626">
        <f t="shared" si="1"/>
        <v>-128.185</v>
      </c>
    </row>
    <row r="26" spans="1:12" ht="54" x14ac:dyDescent="0.25">
      <c r="A26" s="76" t="s">
        <v>710</v>
      </c>
      <c r="B26" s="78" t="s">
        <v>803</v>
      </c>
      <c r="C26" s="624"/>
      <c r="D26" s="623">
        <v>0</v>
      </c>
      <c r="E26" s="623">
        <v>0</v>
      </c>
      <c r="F26" s="623">
        <v>0</v>
      </c>
      <c r="G26" s="625">
        <v>0</v>
      </c>
      <c r="H26" s="625">
        <v>0</v>
      </c>
      <c r="I26" s="626">
        <v>30.5</v>
      </c>
      <c r="J26" s="626">
        <v>30.5</v>
      </c>
      <c r="K26" s="626">
        <f t="shared" si="0"/>
        <v>-30.5</v>
      </c>
      <c r="L26" s="626">
        <f t="shared" si="1"/>
        <v>-30.5</v>
      </c>
    </row>
    <row r="27" spans="1:12" ht="36" x14ac:dyDescent="0.25">
      <c r="A27" s="76" t="s">
        <v>740</v>
      </c>
      <c r="B27" s="78" t="s">
        <v>741</v>
      </c>
      <c r="C27" s="624"/>
      <c r="D27" s="623">
        <v>0</v>
      </c>
      <c r="E27" s="623">
        <v>0</v>
      </c>
      <c r="F27" s="623">
        <v>0</v>
      </c>
      <c r="G27" s="625">
        <v>0</v>
      </c>
      <c r="H27" s="625">
        <v>0</v>
      </c>
      <c r="I27" s="626">
        <v>0</v>
      </c>
      <c r="J27" s="626">
        <v>0</v>
      </c>
      <c r="K27" s="626">
        <f t="shared" si="0"/>
        <v>0</v>
      </c>
      <c r="L27" s="626">
        <f t="shared" si="1"/>
        <v>0</v>
      </c>
    </row>
    <row r="28" spans="1:12" ht="18" x14ac:dyDescent="0.25">
      <c r="A28" s="76" t="s">
        <v>115</v>
      </c>
      <c r="B28" s="383" t="s">
        <v>116</v>
      </c>
      <c r="C28" s="624">
        <v>0</v>
      </c>
      <c r="D28" s="623">
        <v>0</v>
      </c>
      <c r="E28" s="623"/>
      <c r="F28" s="623"/>
      <c r="G28" s="625"/>
      <c r="H28" s="625"/>
      <c r="K28" s="626">
        <f t="shared" si="0"/>
        <v>0</v>
      </c>
      <c r="L28" s="626">
        <f t="shared" si="1"/>
        <v>0</v>
      </c>
    </row>
    <row r="29" spans="1:12" ht="18" x14ac:dyDescent="0.25">
      <c r="A29" s="76">
        <v>1</v>
      </c>
      <c r="B29" s="78" t="s">
        <v>117</v>
      </c>
      <c r="C29" s="624">
        <v>77.563098249999996</v>
      </c>
      <c r="D29" s="623"/>
      <c r="E29" s="623"/>
      <c r="F29" s="623"/>
      <c r="G29" s="625"/>
      <c r="H29" s="625"/>
      <c r="K29" s="626">
        <f t="shared" si="0"/>
        <v>0</v>
      </c>
      <c r="L29" s="626">
        <f t="shared" si="1"/>
        <v>0</v>
      </c>
    </row>
    <row r="30" spans="1:12" ht="18" x14ac:dyDescent="0.25">
      <c r="A30" s="76" t="s">
        <v>118</v>
      </c>
      <c r="B30" s="77" t="s">
        <v>119</v>
      </c>
      <c r="C30" s="624">
        <v>0</v>
      </c>
      <c r="D30" s="623"/>
      <c r="E30" s="623"/>
      <c r="F30" s="623"/>
      <c r="G30" s="625"/>
      <c r="H30" s="625"/>
      <c r="K30" s="626">
        <f t="shared" si="0"/>
        <v>0</v>
      </c>
      <c r="L30" s="626">
        <f t="shared" si="1"/>
        <v>0</v>
      </c>
    </row>
    <row r="31" spans="1:12" ht="18" x14ac:dyDescent="0.25">
      <c r="A31" s="76">
        <v>1</v>
      </c>
      <c r="B31" s="78" t="s">
        <v>742</v>
      </c>
      <c r="C31" s="624">
        <v>649.89553693000005</v>
      </c>
      <c r="D31" s="623">
        <v>0</v>
      </c>
      <c r="E31" s="623">
        <v>0</v>
      </c>
      <c r="F31" s="623">
        <v>0</v>
      </c>
      <c r="G31" s="625">
        <v>0</v>
      </c>
      <c r="H31" s="625">
        <v>0</v>
      </c>
      <c r="I31" s="626">
        <v>0</v>
      </c>
      <c r="J31" s="626">
        <v>0</v>
      </c>
      <c r="K31" s="626">
        <f t="shared" si="0"/>
        <v>0</v>
      </c>
      <c r="L31" s="626">
        <f t="shared" si="1"/>
        <v>0</v>
      </c>
    </row>
    <row r="32" spans="1:12" ht="25.5" x14ac:dyDescent="0.25">
      <c r="A32" s="76" t="s">
        <v>120</v>
      </c>
      <c r="B32" s="577" t="s">
        <v>121</v>
      </c>
      <c r="C32" s="624">
        <v>0</v>
      </c>
      <c r="D32" s="623"/>
      <c r="E32" s="623"/>
      <c r="F32" s="623"/>
      <c r="G32" s="625"/>
      <c r="H32" s="625"/>
      <c r="K32" s="626">
        <f t="shared" si="0"/>
        <v>0</v>
      </c>
      <c r="L32" s="626">
        <f t="shared" si="1"/>
        <v>0</v>
      </c>
    </row>
    <row r="33" spans="1:12" ht="18" x14ac:dyDescent="0.25">
      <c r="A33" s="76">
        <v>1</v>
      </c>
      <c r="B33" s="78" t="s">
        <v>106</v>
      </c>
      <c r="C33" s="624">
        <v>0</v>
      </c>
      <c r="D33" s="623"/>
      <c r="E33" s="623"/>
      <c r="F33" s="623"/>
      <c r="G33" s="625"/>
      <c r="H33" s="625"/>
      <c r="K33" s="626">
        <f t="shared" si="0"/>
        <v>0</v>
      </c>
      <c r="L33" s="626">
        <f t="shared" si="1"/>
        <v>0</v>
      </c>
    </row>
    <row r="34" spans="1:12" ht="18" x14ac:dyDescent="0.25">
      <c r="A34" s="76">
        <v>2</v>
      </c>
      <c r="B34" s="78" t="s">
        <v>107</v>
      </c>
      <c r="C34" s="624">
        <v>0</v>
      </c>
      <c r="D34" s="623"/>
      <c r="E34" s="623"/>
      <c r="F34" s="623"/>
      <c r="G34" s="625"/>
      <c r="H34" s="625"/>
      <c r="K34" s="626">
        <f t="shared" si="0"/>
        <v>0</v>
      </c>
      <c r="L34" s="626">
        <f t="shared" si="1"/>
        <v>0</v>
      </c>
    </row>
    <row r="35" spans="1:12" ht="18" x14ac:dyDescent="0.25">
      <c r="A35" s="76">
        <v>3</v>
      </c>
      <c r="B35" s="78" t="s">
        <v>108</v>
      </c>
      <c r="C35" s="624">
        <v>17.236560000000001</v>
      </c>
      <c r="D35" s="623"/>
      <c r="E35" s="623"/>
      <c r="F35" s="623"/>
      <c r="G35" s="625"/>
      <c r="H35" s="625"/>
      <c r="K35" s="626">
        <f t="shared" si="0"/>
        <v>0</v>
      </c>
      <c r="L35" s="626">
        <f t="shared" si="1"/>
        <v>0</v>
      </c>
    </row>
    <row r="36" spans="1:12" ht="18" x14ac:dyDescent="0.25">
      <c r="A36" s="76">
        <v>4</v>
      </c>
      <c r="B36" s="78" t="s">
        <v>109</v>
      </c>
      <c r="C36" s="624">
        <v>0</v>
      </c>
      <c r="D36" s="623"/>
      <c r="E36" s="623"/>
      <c r="F36" s="623"/>
      <c r="G36" s="625"/>
      <c r="H36" s="625"/>
      <c r="K36" s="626">
        <f t="shared" si="0"/>
        <v>0</v>
      </c>
      <c r="L36" s="626">
        <f t="shared" si="1"/>
        <v>0</v>
      </c>
    </row>
    <row r="37" spans="1:12" ht="18" x14ac:dyDescent="0.25">
      <c r="A37" s="76" t="s">
        <v>122</v>
      </c>
      <c r="B37" s="77" t="s">
        <v>123</v>
      </c>
      <c r="C37" s="624">
        <v>0</v>
      </c>
      <c r="D37" s="623">
        <v>0</v>
      </c>
      <c r="E37" s="623"/>
      <c r="F37" s="623"/>
      <c r="G37" s="625"/>
      <c r="H37" s="625"/>
      <c r="K37" s="626">
        <f t="shared" si="0"/>
        <v>0</v>
      </c>
      <c r="L37" s="626">
        <f t="shared" si="1"/>
        <v>0</v>
      </c>
    </row>
    <row r="38" spans="1:12" ht="18" x14ac:dyDescent="0.25">
      <c r="A38" s="76">
        <v>1</v>
      </c>
      <c r="B38" s="78" t="s">
        <v>124</v>
      </c>
      <c r="C38" s="624">
        <v>326.60585200000003</v>
      </c>
      <c r="D38" s="623">
        <v>0</v>
      </c>
      <c r="E38" s="623">
        <f>205.782-33</f>
        <v>172.78200000000001</v>
      </c>
      <c r="F38" s="623">
        <v>0</v>
      </c>
      <c r="G38" s="625">
        <v>93.882999999999996</v>
      </c>
      <c r="H38" s="625">
        <v>0</v>
      </c>
      <c r="I38" s="626">
        <v>93.882999999999996</v>
      </c>
      <c r="J38" s="626">
        <v>93.882999999999996</v>
      </c>
      <c r="K38" s="626">
        <f t="shared" si="0"/>
        <v>0</v>
      </c>
      <c r="L38" s="626">
        <f t="shared" si="1"/>
        <v>-93.882999999999996</v>
      </c>
    </row>
    <row r="39" spans="1:12" ht="18" x14ac:dyDescent="0.25">
      <c r="A39" s="76">
        <v>2</v>
      </c>
      <c r="B39" s="78" t="s">
        <v>125</v>
      </c>
      <c r="C39" s="624">
        <v>0</v>
      </c>
      <c r="D39" s="623"/>
      <c r="E39" s="623"/>
      <c r="F39" s="623"/>
      <c r="G39" s="625"/>
      <c r="H39" s="625"/>
      <c r="K39" s="626">
        <f t="shared" si="0"/>
        <v>0</v>
      </c>
      <c r="L39" s="626">
        <f t="shared" si="1"/>
        <v>0</v>
      </c>
    </row>
    <row r="40" spans="1:12" ht="18" x14ac:dyDescent="0.25">
      <c r="A40" s="76">
        <v>3</v>
      </c>
      <c r="B40" s="78" t="s">
        <v>126</v>
      </c>
      <c r="C40" s="624">
        <v>0</v>
      </c>
      <c r="D40" s="623"/>
      <c r="E40" s="623"/>
      <c r="F40" s="623"/>
      <c r="G40" s="625"/>
      <c r="H40" s="625"/>
      <c r="K40" s="626">
        <f t="shared" si="0"/>
        <v>0</v>
      </c>
      <c r="L40" s="626">
        <f t="shared" si="1"/>
        <v>0</v>
      </c>
    </row>
    <row r="41" spans="1:12" ht="18" x14ac:dyDescent="0.25">
      <c r="A41" s="76" t="s">
        <v>127</v>
      </c>
      <c r="B41" s="77" t="s">
        <v>128</v>
      </c>
      <c r="C41" s="624">
        <v>0</v>
      </c>
      <c r="D41" s="623"/>
      <c r="E41" s="623"/>
      <c r="F41" s="623"/>
      <c r="G41" s="625"/>
      <c r="H41" s="625"/>
      <c r="K41" s="626">
        <f t="shared" si="0"/>
        <v>0</v>
      </c>
      <c r="L41" s="626">
        <f t="shared" si="1"/>
        <v>0</v>
      </c>
    </row>
    <row r="42" spans="1:12" ht="18" x14ac:dyDescent="0.25">
      <c r="A42" s="76">
        <v>1</v>
      </c>
      <c r="B42" s="78" t="s">
        <v>125</v>
      </c>
      <c r="C42" s="624">
        <v>0</v>
      </c>
      <c r="D42" s="623"/>
      <c r="E42" s="623"/>
      <c r="F42" s="623"/>
      <c r="G42" s="625"/>
      <c r="H42" s="625"/>
      <c r="K42" s="626">
        <f t="shared" si="0"/>
        <v>0</v>
      </c>
      <c r="L42" s="626">
        <f t="shared" si="1"/>
        <v>0</v>
      </c>
    </row>
    <row r="43" spans="1:12" ht="18" x14ac:dyDescent="0.25">
      <c r="A43" s="76">
        <v>2</v>
      </c>
      <c r="B43" s="78" t="s">
        <v>126</v>
      </c>
      <c r="C43" s="624">
        <v>0</v>
      </c>
      <c r="D43" s="623"/>
      <c r="E43" s="623"/>
      <c r="F43" s="623"/>
      <c r="G43" s="625"/>
      <c r="H43" s="625"/>
      <c r="K43" s="626">
        <f t="shared" si="0"/>
        <v>0</v>
      </c>
      <c r="L43" s="626">
        <f t="shared" si="1"/>
        <v>0</v>
      </c>
    </row>
    <row r="44" spans="1:12" ht="18" x14ac:dyDescent="0.25">
      <c r="A44" s="76" t="s">
        <v>129</v>
      </c>
      <c r="B44" s="336" t="s">
        <v>130</v>
      </c>
      <c r="C44" s="624">
        <v>0</v>
      </c>
      <c r="D44" s="623"/>
      <c r="E44" s="623"/>
      <c r="F44" s="623"/>
      <c r="G44" s="625"/>
      <c r="H44" s="625"/>
      <c r="K44" s="626">
        <f t="shared" si="0"/>
        <v>0</v>
      </c>
      <c r="L44" s="626">
        <f t="shared" si="1"/>
        <v>0</v>
      </c>
    </row>
    <row r="45" spans="1:12" ht="18" x14ac:dyDescent="0.25">
      <c r="A45" s="76" t="s">
        <v>131</v>
      </c>
      <c r="B45" s="77" t="s">
        <v>132</v>
      </c>
      <c r="C45" s="624">
        <v>0</v>
      </c>
      <c r="D45" s="623"/>
      <c r="E45" s="623"/>
      <c r="F45" s="623"/>
      <c r="G45" s="625"/>
      <c r="H45" s="625"/>
      <c r="K45" s="626">
        <f t="shared" si="0"/>
        <v>0</v>
      </c>
      <c r="L45" s="626">
        <f t="shared" si="1"/>
        <v>0</v>
      </c>
    </row>
    <row r="46" spans="1:12" ht="36" x14ac:dyDescent="0.25">
      <c r="A46" s="76" t="s">
        <v>133</v>
      </c>
      <c r="B46" s="77" t="s">
        <v>134</v>
      </c>
      <c r="C46" s="624">
        <v>130</v>
      </c>
      <c r="D46" s="623"/>
      <c r="E46" s="623"/>
      <c r="F46" s="623"/>
      <c r="G46" s="625"/>
      <c r="H46" s="625"/>
      <c r="K46" s="626">
        <f t="shared" si="0"/>
        <v>0</v>
      </c>
      <c r="L46" s="626">
        <f t="shared" si="1"/>
        <v>0</v>
      </c>
    </row>
    <row r="47" spans="1:12" ht="18" x14ac:dyDescent="0.25">
      <c r="A47" s="76" t="s">
        <v>730</v>
      </c>
      <c r="B47" s="77" t="s">
        <v>135</v>
      </c>
      <c r="C47" s="624">
        <v>20.4581272</v>
      </c>
      <c r="D47" s="623">
        <v>0</v>
      </c>
      <c r="E47" s="623">
        <v>19.914999999999999</v>
      </c>
      <c r="F47" s="623">
        <v>0</v>
      </c>
      <c r="G47" s="625">
        <v>19.096</v>
      </c>
      <c r="H47" s="625">
        <v>0</v>
      </c>
      <c r="I47" s="626">
        <v>19.096</v>
      </c>
      <c r="J47" s="626">
        <v>19.096</v>
      </c>
      <c r="K47" s="626">
        <f t="shared" si="0"/>
        <v>0</v>
      </c>
      <c r="L47" s="626">
        <f t="shared" si="1"/>
        <v>-19.096</v>
      </c>
    </row>
    <row r="48" spans="1:12" ht="15.75" x14ac:dyDescent="0.25">
      <c r="A48" s="753" t="s">
        <v>136</v>
      </c>
      <c r="B48" s="753"/>
      <c r="C48" s="635">
        <f t="shared" ref="C48:H48" si="2">SUM(C8:C47)</f>
        <v>3276.48842401</v>
      </c>
      <c r="D48" s="635">
        <f>SUM(D8:D47)</f>
        <v>-2.431</v>
      </c>
      <c r="E48" s="635">
        <f>SUM(E8:E47)</f>
        <v>2141.8539999999998</v>
      </c>
      <c r="F48" s="635">
        <f t="shared" si="2"/>
        <v>-2.431</v>
      </c>
      <c r="G48" s="635">
        <f t="shared" si="2"/>
        <v>1785.2839999999994</v>
      </c>
      <c r="H48" s="635">
        <f t="shared" si="2"/>
        <v>0</v>
      </c>
    </row>
    <row r="49" spans="1:8" x14ac:dyDescent="0.25">
      <c r="A49" s="754" t="s">
        <v>137</v>
      </c>
      <c r="B49" s="755"/>
      <c r="C49" s="636">
        <f t="shared" ref="C49:H49" si="3">+C48*5%</f>
        <v>163.82442120050001</v>
      </c>
      <c r="D49" s="636">
        <f t="shared" si="3"/>
        <v>-0.12155000000000001</v>
      </c>
      <c r="E49" s="636">
        <f>+E48*5%</f>
        <v>107.09269999999999</v>
      </c>
      <c r="F49" s="636">
        <f t="shared" si="3"/>
        <v>-0.12155000000000001</v>
      </c>
      <c r="G49" s="636">
        <f t="shared" si="3"/>
        <v>89.264199999999974</v>
      </c>
      <c r="H49" s="636">
        <f t="shared" si="3"/>
        <v>0</v>
      </c>
    </row>
    <row r="50" spans="1:8" x14ac:dyDescent="0.25">
      <c r="A50" s="754" t="s">
        <v>138</v>
      </c>
      <c r="B50" s="755"/>
      <c r="C50" s="636">
        <f>+'Anx-C'!E73*5%</f>
        <v>346.50377699649994</v>
      </c>
      <c r="D50" s="636">
        <f>'Anx-C'!I73*5%</f>
        <v>1.9070499999999999</v>
      </c>
      <c r="E50" s="636">
        <f>'Anx-C'!J73*5%</f>
        <v>348.68708929999991</v>
      </c>
      <c r="F50" s="636">
        <f>'Anx-C'!K73*5%</f>
        <v>1.9070500000000004</v>
      </c>
      <c r="G50" s="636">
        <f>'Anx-C'!L73*5%</f>
        <v>321.41535000000005</v>
      </c>
      <c r="H50" s="636">
        <f>'Anx-C'!M73*5%</f>
        <v>0</v>
      </c>
    </row>
    <row r="51" spans="1:8" x14ac:dyDescent="0.25">
      <c r="A51" s="637"/>
      <c r="B51" s="638"/>
      <c r="C51" s="636"/>
      <c r="D51" s="636">
        <f>D49+D50</f>
        <v>1.7854999999999999</v>
      </c>
      <c r="E51" s="636">
        <f>E49+E50</f>
        <v>455.77978929999989</v>
      </c>
      <c r="F51" s="636">
        <f>F49+F50</f>
        <v>1.7855000000000003</v>
      </c>
      <c r="G51" s="636">
        <f>G49+G50</f>
        <v>410.67955000000001</v>
      </c>
      <c r="H51" s="636">
        <f>H49+H50</f>
        <v>0</v>
      </c>
    </row>
    <row r="52" spans="1:8" ht="15.75" x14ac:dyDescent="0.25">
      <c r="A52" s="756" t="s">
        <v>81</v>
      </c>
      <c r="B52" s="757"/>
      <c r="C52" s="639">
        <f>+C48+C49+C50</f>
        <v>3786.8166222070004</v>
      </c>
      <c r="D52" s="639">
        <f>D48+D51</f>
        <v>-0.64550000000000018</v>
      </c>
      <c r="E52" s="639">
        <f>E48+E51</f>
        <v>2597.6337892999995</v>
      </c>
      <c r="F52" s="639">
        <f>F48+F51</f>
        <v>-0.64549999999999974</v>
      </c>
      <c r="G52" s="639">
        <f>G48+G51</f>
        <v>2195.9635499999995</v>
      </c>
      <c r="H52" s="639">
        <f>H48+H51</f>
        <v>0</v>
      </c>
    </row>
    <row r="54" spans="1:8" ht="15.75" x14ac:dyDescent="0.25">
      <c r="A54" s="632" t="s">
        <v>521</v>
      </c>
      <c r="B54" s="632"/>
      <c r="C54" s="632"/>
      <c r="D54" s="632"/>
      <c r="E54" s="635">
        <v>2144.2849999999999</v>
      </c>
      <c r="F54" s="635"/>
      <c r="G54" s="635">
        <v>1785.2839999999994</v>
      </c>
      <c r="H54" s="635"/>
    </row>
    <row r="55" spans="1:8" x14ac:dyDescent="0.25">
      <c r="A55" s="627" t="s">
        <v>522</v>
      </c>
      <c r="E55" s="640">
        <f>+E48-E54</f>
        <v>-2.43100000000004</v>
      </c>
      <c r="F55" s="640">
        <f>+F48-F54</f>
        <v>-2.431</v>
      </c>
      <c r="G55" s="640">
        <f>+G48-G54</f>
        <v>0</v>
      </c>
      <c r="H55" s="640">
        <f>+H48-H54</f>
        <v>0</v>
      </c>
    </row>
    <row r="56" spans="1:8" x14ac:dyDescent="0.25">
      <c r="E56" s="640">
        <f>+E48+'Anx-C'!J73</f>
        <v>9115.595785999998</v>
      </c>
    </row>
    <row r="57" spans="1:8" x14ac:dyDescent="0.25">
      <c r="E57" s="641">
        <f>+E56*5%</f>
        <v>455.77978929999995</v>
      </c>
      <c r="F57" s="642">
        <f>+E56*5%</f>
        <v>455.77978929999995</v>
      </c>
      <c r="G57" s="640"/>
      <c r="H57" s="627">
        <f>+E56*5%</f>
        <v>455.77978929999995</v>
      </c>
    </row>
    <row r="58" spans="1:8" x14ac:dyDescent="0.25">
      <c r="H58" s="627">
        <f>134*5%</f>
        <v>6.7</v>
      </c>
    </row>
    <row r="59" spans="1:8" x14ac:dyDescent="0.25">
      <c r="G59" s="640"/>
      <c r="H59" s="627">
        <f>+H57+H58</f>
        <v>462.47978929999994</v>
      </c>
    </row>
    <row r="60" spans="1:8" x14ac:dyDescent="0.25">
      <c r="C60" s="643"/>
      <c r="G60" s="644"/>
    </row>
  </sheetData>
  <mergeCells count="14">
    <mergeCell ref="A48:B48"/>
    <mergeCell ref="A49:B49"/>
    <mergeCell ref="A50:B50"/>
    <mergeCell ref="A52:B52"/>
    <mergeCell ref="A1:H1"/>
    <mergeCell ref="A2:H2"/>
    <mergeCell ref="A3:H3"/>
    <mergeCell ref="A5:A7"/>
    <mergeCell ref="B5:B7"/>
    <mergeCell ref="C5:H5"/>
    <mergeCell ref="C6:F6"/>
    <mergeCell ref="G6:H6"/>
    <mergeCell ref="A13:A15"/>
    <mergeCell ref="C13:C15"/>
  </mergeCells>
  <pageMargins left="0" right="0" top="0" bottom="0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view="pageBreakPreview" topLeftCell="D63" zoomScaleNormal="100" zoomScaleSheetLayoutView="100" workbookViewId="0">
      <selection activeCell="J71" sqref="J71"/>
    </sheetView>
  </sheetViews>
  <sheetFormatPr defaultColWidth="9.140625" defaultRowHeight="15" x14ac:dyDescent="0.25"/>
  <cols>
    <col min="1" max="1" width="4.28515625" style="338" bestFit="1" customWidth="1"/>
    <col min="2" max="2" width="51" style="338" customWidth="1"/>
    <col min="3" max="3" width="35.140625" style="338" customWidth="1"/>
    <col min="4" max="4" width="29.7109375" style="338" customWidth="1"/>
    <col min="5" max="5" width="11.28515625" style="338" bestFit="1" customWidth="1"/>
    <col min="6" max="6" width="11.85546875" style="338" customWidth="1"/>
    <col min="7" max="7" width="9.140625" style="338" hidden="1" customWidth="1"/>
    <col min="8" max="8" width="11" style="338" bestFit="1" customWidth="1"/>
    <col min="9" max="9" width="12.28515625" style="338" customWidth="1"/>
    <col min="10" max="10" width="15.5703125" style="338" bestFit="1" customWidth="1"/>
    <col min="11" max="11" width="14.140625" style="338" customWidth="1"/>
    <col min="12" max="12" width="16.5703125" style="338" customWidth="1"/>
    <col min="13" max="13" width="13.42578125" style="338" customWidth="1"/>
    <col min="14" max="14" width="6.7109375" style="354" customWidth="1"/>
    <col min="15" max="15" width="9.5703125" style="338" customWidth="1"/>
    <col min="16" max="16" width="12.28515625" style="354" customWidth="1"/>
    <col min="17" max="17" width="9.140625" style="338" customWidth="1"/>
    <col min="18" max="18" width="12.28515625" style="338" bestFit="1" customWidth="1"/>
    <col min="19" max="19" width="10.7109375" style="338" bestFit="1" customWidth="1"/>
    <col min="20" max="16384" width="9.140625" style="338"/>
  </cols>
  <sheetData>
    <row r="1" spans="1:19" ht="15.75" x14ac:dyDescent="0.25">
      <c r="A1" s="769" t="s">
        <v>139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</row>
    <row r="2" spans="1:19" ht="15.75" x14ac:dyDescent="0.25">
      <c r="A2" s="430"/>
      <c r="B2" s="430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2">
        <v>45809</v>
      </c>
      <c r="O2" s="504">
        <f>'Anx-A'!T25</f>
        <v>0</v>
      </c>
    </row>
    <row r="3" spans="1:19" ht="15.75" x14ac:dyDescent="0.25">
      <c r="A3" s="770" t="s">
        <v>140</v>
      </c>
      <c r="B3" s="770"/>
      <c r="C3" s="770"/>
      <c r="D3" s="770"/>
      <c r="E3" s="770"/>
      <c r="F3" s="770"/>
      <c r="G3" s="770"/>
      <c r="H3" s="770"/>
      <c r="I3" s="770"/>
      <c r="J3" s="770"/>
      <c r="K3" s="770"/>
      <c r="L3" s="770"/>
      <c r="M3" s="770"/>
    </row>
    <row r="4" spans="1:19" ht="15.75" x14ac:dyDescent="0.25">
      <c r="A4" s="770" t="str">
        <f>'Anx-A'!A3:H3</f>
        <v>Re-Modelling and Up Gradation of ADA Nullah and Walton Road Pkg-I</v>
      </c>
      <c r="B4" s="770"/>
      <c r="C4" s="770"/>
      <c r="D4" s="770"/>
      <c r="E4" s="770"/>
      <c r="F4" s="770"/>
      <c r="G4" s="770"/>
      <c r="H4" s="770"/>
      <c r="I4" s="770"/>
      <c r="J4" s="770"/>
      <c r="K4" s="770"/>
      <c r="L4" s="770"/>
      <c r="M4" s="770"/>
    </row>
    <row r="5" spans="1:19" ht="15.75" x14ac:dyDescent="0.25">
      <c r="A5" s="770"/>
      <c r="B5" s="770"/>
      <c r="C5" s="770"/>
      <c r="D5" s="770"/>
      <c r="E5" s="770"/>
      <c r="F5" s="770"/>
      <c r="G5" s="770"/>
      <c r="H5" s="770"/>
      <c r="I5" s="770"/>
      <c r="J5" s="770"/>
      <c r="K5" s="770"/>
      <c r="L5" s="770"/>
      <c r="M5" s="770"/>
    </row>
    <row r="6" spans="1:19" ht="18" x14ac:dyDescent="0.25">
      <c r="A6" s="433"/>
      <c r="B6" s="433"/>
      <c r="C6" s="433"/>
      <c r="D6" s="433"/>
      <c r="E6" s="433"/>
      <c r="F6" s="433"/>
      <c r="G6" s="433"/>
      <c r="H6" s="433"/>
      <c r="I6" s="433"/>
      <c r="J6" s="433"/>
      <c r="K6" s="433"/>
      <c r="L6" s="771"/>
      <c r="M6" s="771"/>
      <c r="O6" s="338">
        <f>'Anx-A'!O25-'Anx-A'!P25</f>
        <v>-2.7426949600339867E-12</v>
      </c>
      <c r="R6" s="504">
        <f>L77</f>
        <v>0</v>
      </c>
    </row>
    <row r="7" spans="1:19" x14ac:dyDescent="0.25">
      <c r="A7" s="768" t="s">
        <v>141</v>
      </c>
      <c r="B7" s="768" t="s">
        <v>142</v>
      </c>
      <c r="C7" s="768" t="s">
        <v>143</v>
      </c>
      <c r="D7" s="768" t="s">
        <v>96</v>
      </c>
      <c r="E7" s="768" t="s">
        <v>97</v>
      </c>
      <c r="F7" s="768"/>
      <c r="G7" s="768"/>
      <c r="H7" s="768"/>
      <c r="I7" s="768"/>
      <c r="J7" s="768"/>
      <c r="K7" s="768"/>
      <c r="L7" s="768"/>
      <c r="M7" s="768"/>
      <c r="R7" s="446">
        <f>'Anx-A'!Q25-'Anx-A'!R25</f>
        <v>0</v>
      </c>
    </row>
    <row r="8" spans="1:19" x14ac:dyDescent="0.25">
      <c r="A8" s="768"/>
      <c r="B8" s="768"/>
      <c r="C8" s="768"/>
      <c r="D8" s="768"/>
      <c r="E8" s="768"/>
      <c r="F8" s="768"/>
      <c r="G8" s="427"/>
      <c r="H8" s="427"/>
      <c r="I8" s="427"/>
      <c r="J8" s="427"/>
      <c r="K8" s="427"/>
      <c r="L8" s="768" t="s">
        <v>144</v>
      </c>
      <c r="M8" s="768"/>
    </row>
    <row r="9" spans="1:19" ht="45" x14ac:dyDescent="0.25">
      <c r="A9" s="768"/>
      <c r="B9" s="768"/>
      <c r="C9" s="768"/>
      <c r="D9" s="768"/>
      <c r="E9" s="428" t="s">
        <v>145</v>
      </c>
      <c r="F9" s="428" t="s">
        <v>146</v>
      </c>
      <c r="G9" s="428"/>
      <c r="H9" s="428" t="s">
        <v>147</v>
      </c>
      <c r="I9" s="428" t="s">
        <v>100</v>
      </c>
      <c r="J9" s="428" t="s">
        <v>148</v>
      </c>
      <c r="K9" s="428" t="s">
        <v>149</v>
      </c>
      <c r="L9" s="428" t="s">
        <v>150</v>
      </c>
      <c r="M9" s="428" t="s">
        <v>151</v>
      </c>
    </row>
    <row r="10" spans="1:19" ht="15.75" x14ac:dyDescent="0.25">
      <c r="A10" s="90"/>
      <c r="B10" s="434" t="s">
        <v>152</v>
      </c>
      <c r="C10" s="434"/>
      <c r="D10" s="435"/>
      <c r="E10" s="91"/>
      <c r="F10" s="91"/>
      <c r="G10" s="91"/>
      <c r="H10" s="91"/>
      <c r="I10" s="91"/>
      <c r="J10" s="91"/>
      <c r="K10" s="91"/>
      <c r="L10" s="87"/>
      <c r="M10" s="87"/>
    </row>
    <row r="11" spans="1:19" ht="15.75" x14ac:dyDescent="0.25">
      <c r="A11" s="80">
        <v>1</v>
      </c>
      <c r="B11" s="81" t="s">
        <v>524</v>
      </c>
      <c r="C11" s="82" t="s">
        <v>153</v>
      </c>
      <c r="D11" s="82" t="s">
        <v>154</v>
      </c>
      <c r="E11" s="83">
        <v>16.709</v>
      </c>
      <c r="F11" s="84">
        <v>14.784000000000001</v>
      </c>
      <c r="G11" s="85">
        <v>1</v>
      </c>
      <c r="H11" s="86">
        <f>(E11-F11)/E11</f>
        <v>0.11520737327188935</v>
      </c>
      <c r="I11" s="83">
        <v>0</v>
      </c>
      <c r="J11" s="569">
        <f>13.612216+2.227+0.275-0.711+1.436</f>
        <v>16.839216</v>
      </c>
      <c r="K11" s="83">
        <v>0</v>
      </c>
      <c r="L11" s="87">
        <v>16.838999999999999</v>
      </c>
      <c r="M11" s="87"/>
      <c r="N11" s="444">
        <v>1</v>
      </c>
      <c r="O11" s="470">
        <f>+N11-H11</f>
        <v>0.88479262672811065</v>
      </c>
      <c r="P11" s="354">
        <f t="shared" ref="P11:P19" si="0">+J11*O11</f>
        <v>14.89921415668203</v>
      </c>
      <c r="R11" s="338">
        <v>15.403215999999999</v>
      </c>
      <c r="S11" s="496">
        <f>+J11-R11</f>
        <v>1.4360000000000017</v>
      </c>
    </row>
    <row r="12" spans="1:19" ht="15.75" x14ac:dyDescent="0.25">
      <c r="A12" s="80">
        <f t="shared" ref="A12:A42" si="1">A11+1</f>
        <v>2</v>
      </c>
      <c r="B12" s="81" t="s">
        <v>525</v>
      </c>
      <c r="C12" s="82" t="s">
        <v>155</v>
      </c>
      <c r="D12" s="82" t="s">
        <v>154</v>
      </c>
      <c r="E12" s="83">
        <v>16.702000000000002</v>
      </c>
      <c r="F12" s="84">
        <v>14.776999999999999</v>
      </c>
      <c r="G12" s="85">
        <v>1</v>
      </c>
      <c r="H12" s="86">
        <f>(E12-F12)/E12</f>
        <v>0.11525565800502947</v>
      </c>
      <c r="I12" s="83">
        <v>0</v>
      </c>
      <c r="J12" s="569">
        <f>6.907089+5.25+0.651+2.428+1.608</f>
        <v>16.844089</v>
      </c>
      <c r="K12" s="83">
        <v>0</v>
      </c>
      <c r="L12" s="87">
        <v>16.844000000000001</v>
      </c>
      <c r="M12" s="87"/>
      <c r="N12" s="444">
        <v>1</v>
      </c>
      <c r="O12" s="470">
        <f t="shared" ref="O12:O45" si="2">+N12-H12</f>
        <v>0.88474434199497054</v>
      </c>
      <c r="P12" s="354">
        <f t="shared" si="0"/>
        <v>14.902712438809722</v>
      </c>
      <c r="R12" s="338">
        <v>15.236089</v>
      </c>
      <c r="S12" s="496">
        <f t="shared" ref="S12:S36" si="3">+J12-R12</f>
        <v>1.6080000000000005</v>
      </c>
    </row>
    <row r="13" spans="1:19" ht="15.75" x14ac:dyDescent="0.25">
      <c r="A13" s="80">
        <f t="shared" si="1"/>
        <v>3</v>
      </c>
      <c r="B13" s="81" t="s">
        <v>526</v>
      </c>
      <c r="C13" s="82" t="s">
        <v>156</v>
      </c>
      <c r="D13" s="82" t="s">
        <v>154</v>
      </c>
      <c r="E13" s="83">
        <v>16.7</v>
      </c>
      <c r="F13" s="84">
        <v>14.775</v>
      </c>
      <c r="G13" s="85">
        <v>1</v>
      </c>
      <c r="H13" s="86">
        <f>(E13-F13)/E13</f>
        <v>0.11526946107784425</v>
      </c>
      <c r="I13" s="83">
        <v>0</v>
      </c>
      <c r="J13" s="569">
        <f>6.097149+1.221+0.151+3.966+0.312+1.453+0.232</f>
        <v>13.432148999999997</v>
      </c>
      <c r="K13" s="83">
        <v>0</v>
      </c>
      <c r="L13" s="87">
        <v>13.2</v>
      </c>
      <c r="M13" s="87">
        <v>0</v>
      </c>
      <c r="N13" s="444">
        <v>1</v>
      </c>
      <c r="O13" s="470">
        <f t="shared" si="2"/>
        <v>0.88473053892215581</v>
      </c>
      <c r="P13" s="354">
        <f t="shared" si="0"/>
        <v>11.883832423652693</v>
      </c>
      <c r="R13" s="338">
        <v>11.747148999999999</v>
      </c>
      <c r="S13" s="496">
        <f t="shared" si="3"/>
        <v>1.6849999999999987</v>
      </c>
    </row>
    <row r="14" spans="1:19" ht="15.75" x14ac:dyDescent="0.25">
      <c r="A14" s="80">
        <f t="shared" si="1"/>
        <v>4</v>
      </c>
      <c r="B14" s="81" t="s">
        <v>732</v>
      </c>
      <c r="C14" s="82" t="s">
        <v>731</v>
      </c>
      <c r="D14" s="82" t="s">
        <v>154</v>
      </c>
      <c r="E14" s="83">
        <v>16.7</v>
      </c>
      <c r="F14" s="84">
        <v>14.775</v>
      </c>
      <c r="G14" s="85"/>
      <c r="H14" s="86">
        <f t="shared" ref="H14:H26" si="4">(E14-F14)/E14</f>
        <v>0.11526946107784425</v>
      </c>
      <c r="I14" s="83">
        <v>0</v>
      </c>
      <c r="J14" s="569">
        <v>10.252000000000001</v>
      </c>
      <c r="K14" s="83">
        <v>0</v>
      </c>
      <c r="L14" s="87">
        <v>10.252000000000001</v>
      </c>
      <c r="M14" s="87">
        <v>0</v>
      </c>
      <c r="N14" s="444">
        <v>1</v>
      </c>
      <c r="O14" s="470">
        <f t="shared" si="2"/>
        <v>0.88473053892215581</v>
      </c>
      <c r="P14" s="354">
        <f t="shared" si="0"/>
        <v>9.0702574850299413</v>
      </c>
      <c r="S14" s="496"/>
    </row>
    <row r="15" spans="1:19" ht="15.75" x14ac:dyDescent="0.25">
      <c r="A15" s="80">
        <f t="shared" si="1"/>
        <v>5</v>
      </c>
      <c r="B15" s="81" t="s">
        <v>527</v>
      </c>
      <c r="C15" s="82" t="s">
        <v>157</v>
      </c>
      <c r="D15" s="82" t="s">
        <v>158</v>
      </c>
      <c r="E15" s="83">
        <v>12.14</v>
      </c>
      <c r="F15" s="84">
        <v>10.420999999999999</v>
      </c>
      <c r="G15" s="85"/>
      <c r="H15" s="86">
        <f t="shared" si="4"/>
        <v>0.14159802306425051</v>
      </c>
      <c r="I15" s="83">
        <v>0</v>
      </c>
      <c r="J15" s="569">
        <f>(6.901+3.421)+6.674-9.752+0.804</f>
        <v>8.0479999999999983</v>
      </c>
      <c r="K15" s="83">
        <v>0</v>
      </c>
      <c r="L15" s="87">
        <v>8.048</v>
      </c>
      <c r="M15" s="87"/>
      <c r="N15" s="444">
        <v>1</v>
      </c>
      <c r="O15" s="470">
        <f t="shared" si="2"/>
        <v>0.85840197693574949</v>
      </c>
      <c r="P15" s="354">
        <f t="shared" si="0"/>
        <v>6.9084191103789108</v>
      </c>
      <c r="R15" s="338">
        <v>8.0479999999999983</v>
      </c>
      <c r="S15" s="496">
        <f t="shared" si="3"/>
        <v>0</v>
      </c>
    </row>
    <row r="16" spans="1:19" ht="22.5" customHeight="1" x14ac:dyDescent="0.25">
      <c r="A16" s="80">
        <f t="shared" si="1"/>
        <v>6</v>
      </c>
      <c r="B16" s="81" t="s">
        <v>688</v>
      </c>
      <c r="C16" s="82" t="s">
        <v>530</v>
      </c>
      <c r="D16" s="82" t="s">
        <v>159</v>
      </c>
      <c r="E16" s="83">
        <v>5.9669999999999996</v>
      </c>
      <c r="F16" s="84">
        <v>5.8940000000000001</v>
      </c>
      <c r="G16" s="85"/>
      <c r="H16" s="86">
        <f t="shared" si="4"/>
        <v>1.2233953410423918E-2</v>
      </c>
      <c r="I16" s="83">
        <v>0</v>
      </c>
      <c r="J16" s="569">
        <f>2.727+0.345+0.349</f>
        <v>3.4210000000000003</v>
      </c>
      <c r="K16" s="83">
        <v>0</v>
      </c>
      <c r="L16" s="87">
        <v>3.4209999999999998</v>
      </c>
      <c r="M16" s="87"/>
      <c r="N16" s="444">
        <v>1</v>
      </c>
      <c r="O16" s="470">
        <f t="shared" si="2"/>
        <v>0.98776604658957612</v>
      </c>
      <c r="P16" s="354">
        <f t="shared" si="0"/>
        <v>3.3791476453829401</v>
      </c>
      <c r="R16" s="338">
        <v>3.4210000000000003</v>
      </c>
      <c r="S16" s="496">
        <f t="shared" si="3"/>
        <v>0</v>
      </c>
    </row>
    <row r="17" spans="1:19" ht="34.9" customHeight="1" x14ac:dyDescent="0.25">
      <c r="A17" s="80">
        <f t="shared" si="1"/>
        <v>7</v>
      </c>
      <c r="B17" s="81" t="s">
        <v>528</v>
      </c>
      <c r="C17" s="82" t="s">
        <v>160</v>
      </c>
      <c r="D17" s="82" t="s">
        <v>161</v>
      </c>
      <c r="E17" s="84">
        <v>5.008</v>
      </c>
      <c r="F17" s="84">
        <v>4.3550000000000004</v>
      </c>
      <c r="G17" s="85">
        <v>1</v>
      </c>
      <c r="H17" s="86">
        <f t="shared" si="4"/>
        <v>0.13039137380191684</v>
      </c>
      <c r="I17" s="83">
        <v>0</v>
      </c>
      <c r="J17" s="569">
        <f>8.446-4.397</f>
        <v>4.0489999999999995</v>
      </c>
      <c r="K17" s="83">
        <v>0</v>
      </c>
      <c r="L17" s="87">
        <v>4.0490000000000004</v>
      </c>
      <c r="M17" s="87"/>
      <c r="N17" s="444">
        <v>1</v>
      </c>
      <c r="O17" s="470">
        <f t="shared" si="2"/>
        <v>0.8696086261980831</v>
      </c>
      <c r="P17" s="354">
        <f t="shared" si="0"/>
        <v>3.5210453274760378</v>
      </c>
      <c r="R17" s="338">
        <v>4.0489999999999995</v>
      </c>
      <c r="S17" s="496">
        <f t="shared" si="3"/>
        <v>0</v>
      </c>
    </row>
    <row r="18" spans="1:19" ht="34.9" customHeight="1" x14ac:dyDescent="0.25">
      <c r="A18" s="80">
        <f t="shared" si="1"/>
        <v>8</v>
      </c>
      <c r="B18" s="81" t="s">
        <v>624</v>
      </c>
      <c r="C18" s="82" t="s">
        <v>162</v>
      </c>
      <c r="D18" s="82" t="s">
        <v>163</v>
      </c>
      <c r="E18" s="84">
        <v>17.126999999999999</v>
      </c>
      <c r="F18" s="84">
        <v>14.565</v>
      </c>
      <c r="G18" s="85">
        <v>1</v>
      </c>
      <c r="H18" s="86">
        <f t="shared" si="4"/>
        <v>0.14958836924154842</v>
      </c>
      <c r="I18" s="83">
        <v>0</v>
      </c>
      <c r="J18" s="569">
        <f>0.046+16.33351</f>
        <v>16.37951</v>
      </c>
      <c r="K18" s="83">
        <v>0</v>
      </c>
      <c r="L18" s="87">
        <v>16.334</v>
      </c>
      <c r="M18" s="87"/>
      <c r="N18" s="444">
        <v>1</v>
      </c>
      <c r="O18" s="470">
        <f t="shared" si="2"/>
        <v>0.85041163075845161</v>
      </c>
      <c r="P18" s="354">
        <f t="shared" si="0"/>
        <v>13.929325810124366</v>
      </c>
      <c r="R18" s="338">
        <v>16.33351</v>
      </c>
      <c r="S18" s="496">
        <f t="shared" si="3"/>
        <v>4.5999999999999375E-2</v>
      </c>
    </row>
    <row r="19" spans="1:19" ht="34.9" customHeight="1" x14ac:dyDescent="0.25">
      <c r="A19" s="80">
        <f t="shared" si="1"/>
        <v>9</v>
      </c>
      <c r="B19" s="81" t="s">
        <v>518</v>
      </c>
      <c r="C19" s="82" t="s">
        <v>164</v>
      </c>
      <c r="D19" s="82" t="s">
        <v>165</v>
      </c>
      <c r="E19" s="381">
        <f>19.016+16.522+15.797+16.044</f>
        <v>67.378999999999991</v>
      </c>
      <c r="F19" s="382">
        <f>14.27+14.245+13.461+13.685</f>
        <v>55.661000000000001</v>
      </c>
      <c r="G19" s="85">
        <v>1</v>
      </c>
      <c r="H19" s="86">
        <f t="shared" si="4"/>
        <v>0.17391175292004915</v>
      </c>
      <c r="I19" s="83">
        <v>0</v>
      </c>
      <c r="J19" s="569">
        <f>20.613+1.178+3.735+5.907+23.078+3.519+7.13+0.14+12.44-6.89+0.117953</f>
        <v>70.967952999999994</v>
      </c>
      <c r="K19" s="83">
        <v>0</v>
      </c>
      <c r="L19" s="87">
        <v>70.849999999999994</v>
      </c>
      <c r="M19" s="87">
        <v>0</v>
      </c>
      <c r="N19" s="444">
        <v>1</v>
      </c>
      <c r="O19" s="469">
        <f t="shared" si="2"/>
        <v>0.82608824707995088</v>
      </c>
      <c r="P19" s="354">
        <f t="shared" si="0"/>
        <v>58.625791892622338</v>
      </c>
      <c r="R19" s="338">
        <v>65.3</v>
      </c>
      <c r="S19" s="496">
        <f t="shared" si="3"/>
        <v>5.6679529999999971</v>
      </c>
    </row>
    <row r="20" spans="1:19" ht="34.9" customHeight="1" x14ac:dyDescent="0.25">
      <c r="A20" s="80">
        <f t="shared" si="1"/>
        <v>10</v>
      </c>
      <c r="B20" s="81" t="s">
        <v>624</v>
      </c>
      <c r="C20" s="82" t="s">
        <v>164</v>
      </c>
      <c r="D20" s="82" t="s">
        <v>802</v>
      </c>
      <c r="E20" s="381">
        <v>18.535</v>
      </c>
      <c r="F20" s="382">
        <v>5.0380000000000003</v>
      </c>
      <c r="G20" s="85"/>
      <c r="H20" s="86">
        <f t="shared" si="4"/>
        <v>0.72818991097922847</v>
      </c>
      <c r="I20" s="83">
        <v>0</v>
      </c>
      <c r="J20" s="569">
        <v>28.899000000000001</v>
      </c>
      <c r="K20" s="83">
        <v>0</v>
      </c>
      <c r="L20" s="87"/>
      <c r="M20" s="87"/>
      <c r="N20" s="444"/>
      <c r="O20" s="469"/>
      <c r="S20" s="496"/>
    </row>
    <row r="21" spans="1:19" ht="34.9" customHeight="1" x14ac:dyDescent="0.25">
      <c r="A21" s="80">
        <f t="shared" si="1"/>
        <v>11</v>
      </c>
      <c r="B21" s="81" t="s">
        <v>531</v>
      </c>
      <c r="C21" s="385" t="s">
        <v>532</v>
      </c>
      <c r="D21" s="385" t="s">
        <v>533</v>
      </c>
      <c r="E21" s="92">
        <f>16492184.1/1000000</f>
        <v>16.492184099999999</v>
      </c>
      <c r="F21" s="436">
        <f>14842965.69/1000000</f>
        <v>14.84296569</v>
      </c>
      <c r="G21" s="85"/>
      <c r="H21" s="86">
        <f t="shared" si="4"/>
        <v>9.9999999999999978E-2</v>
      </c>
      <c r="I21" s="83">
        <v>0</v>
      </c>
      <c r="J21" s="569">
        <f>0.52+16.306</f>
        <v>16.826000000000001</v>
      </c>
      <c r="K21" s="83">
        <v>0</v>
      </c>
      <c r="L21" s="87">
        <v>16.826000000000001</v>
      </c>
      <c r="M21" s="87"/>
      <c r="N21" s="444">
        <v>1</v>
      </c>
      <c r="O21" s="469">
        <f t="shared" si="2"/>
        <v>0.9</v>
      </c>
      <c r="P21" s="354">
        <f t="shared" ref="P21:P67" si="5">+J21*O21</f>
        <v>15.143400000000002</v>
      </c>
      <c r="R21" s="338">
        <v>16.826000000000001</v>
      </c>
      <c r="S21" s="496">
        <f t="shared" si="3"/>
        <v>0</v>
      </c>
    </row>
    <row r="22" spans="1:19" ht="15.75" x14ac:dyDescent="0.25">
      <c r="A22" s="80">
        <f t="shared" si="1"/>
        <v>12</v>
      </c>
      <c r="B22" s="81" t="s">
        <v>534</v>
      </c>
      <c r="C22" s="385" t="s">
        <v>532</v>
      </c>
      <c r="D22" s="385" t="s">
        <v>535</v>
      </c>
      <c r="E22" s="92">
        <f>16645634.082/1000000</f>
        <v>16.645634082000001</v>
      </c>
      <c r="F22" s="436">
        <f>14981070.6738/1000000</f>
        <v>14.981070673800001</v>
      </c>
      <c r="G22" s="85"/>
      <c r="H22" s="86">
        <f t="shared" si="4"/>
        <v>9.9999999999999964E-2</v>
      </c>
      <c r="I22" s="83">
        <v>0</v>
      </c>
      <c r="J22" s="569">
        <v>15.362</v>
      </c>
      <c r="K22" s="83">
        <v>0</v>
      </c>
      <c r="L22" s="87">
        <v>15.362</v>
      </c>
      <c r="M22" s="87"/>
      <c r="N22" s="444">
        <v>1</v>
      </c>
      <c r="O22" s="469">
        <f t="shared" si="2"/>
        <v>0.9</v>
      </c>
      <c r="P22" s="354">
        <f t="shared" si="5"/>
        <v>13.825800000000001</v>
      </c>
      <c r="R22" s="338">
        <v>15.362</v>
      </c>
      <c r="S22" s="496">
        <f t="shared" si="3"/>
        <v>0</v>
      </c>
    </row>
    <row r="23" spans="1:19" ht="15.75" x14ac:dyDescent="0.25">
      <c r="A23" s="80">
        <f t="shared" si="1"/>
        <v>13</v>
      </c>
      <c r="B23" s="81" t="s">
        <v>536</v>
      </c>
      <c r="C23" s="385" t="s">
        <v>537</v>
      </c>
      <c r="D23" s="385" t="s">
        <v>538</v>
      </c>
      <c r="E23" s="92">
        <f>13680683.7825279/1000000</f>
        <v>13.680683782527899</v>
      </c>
      <c r="F23" s="436">
        <f>+E23*0.8</f>
        <v>10.94454702602232</v>
      </c>
      <c r="G23" s="85"/>
      <c r="H23" s="86">
        <f t="shared" si="4"/>
        <v>0.1999999999999999</v>
      </c>
      <c r="I23" s="83">
        <v>0</v>
      </c>
      <c r="J23" s="569">
        <f>4+9.575+2.371454</f>
        <v>15.946453999999999</v>
      </c>
      <c r="K23" s="83">
        <v>0</v>
      </c>
      <c r="L23" s="87">
        <v>13.574999999999999</v>
      </c>
      <c r="M23" s="87">
        <v>0</v>
      </c>
      <c r="N23" s="444">
        <v>1</v>
      </c>
      <c r="O23" s="469">
        <f t="shared" si="2"/>
        <v>0.8</v>
      </c>
      <c r="P23" s="354">
        <f t="shared" si="5"/>
        <v>12.757163200000001</v>
      </c>
      <c r="R23" s="338">
        <v>13.574999999999999</v>
      </c>
      <c r="S23" s="496">
        <f t="shared" si="3"/>
        <v>2.371454</v>
      </c>
    </row>
    <row r="24" spans="1:19" ht="15.75" x14ac:dyDescent="0.25">
      <c r="A24" s="80">
        <f t="shared" si="1"/>
        <v>14</v>
      </c>
      <c r="B24" s="81" t="s">
        <v>539</v>
      </c>
      <c r="C24" s="385" t="s">
        <v>537</v>
      </c>
      <c r="D24" s="385" t="s">
        <v>538</v>
      </c>
      <c r="E24" s="92">
        <f>13687790.9059556/1000000</f>
        <v>13.6877909059556</v>
      </c>
      <c r="F24" s="436">
        <f>+E24*0.8</f>
        <v>10.950232724764481</v>
      </c>
      <c r="G24" s="85"/>
      <c r="H24" s="86">
        <f t="shared" si="4"/>
        <v>0.19999999999999993</v>
      </c>
      <c r="I24" s="83">
        <v>0</v>
      </c>
      <c r="J24" s="569">
        <f>19.123-4.123+2.694</f>
        <v>17.693999999999999</v>
      </c>
      <c r="K24" s="83">
        <v>0</v>
      </c>
      <c r="L24" s="87">
        <v>17.693999999999999</v>
      </c>
      <c r="M24" s="87"/>
      <c r="N24" s="444">
        <v>1</v>
      </c>
      <c r="O24" s="469">
        <f t="shared" si="2"/>
        <v>0.8</v>
      </c>
      <c r="P24" s="354">
        <f>+J24*O24</f>
        <v>14.155200000000001</v>
      </c>
      <c r="R24" s="338">
        <v>15</v>
      </c>
      <c r="S24" s="496">
        <f t="shared" si="3"/>
        <v>2.6939999999999991</v>
      </c>
    </row>
    <row r="25" spans="1:19" ht="25.15" customHeight="1" x14ac:dyDescent="0.25">
      <c r="A25" s="80">
        <f t="shared" si="1"/>
        <v>15</v>
      </c>
      <c r="B25" s="81" t="s">
        <v>625</v>
      </c>
      <c r="C25" s="385" t="s">
        <v>565</v>
      </c>
      <c r="D25" s="385" t="s">
        <v>626</v>
      </c>
      <c r="E25" s="92">
        <f>13.794+13.793</f>
        <v>27.587</v>
      </c>
      <c r="F25" s="436">
        <f>12.37+12.37</f>
        <v>24.74</v>
      </c>
      <c r="G25" s="85"/>
      <c r="H25" s="86">
        <f t="shared" si="4"/>
        <v>0.10320078297748944</v>
      </c>
      <c r="I25" s="83">
        <v>0</v>
      </c>
      <c r="J25" s="569">
        <f>14.382+3.628+0.805+6.391+0.135</f>
        <v>25.340999999999998</v>
      </c>
      <c r="K25" s="569">
        <v>0</v>
      </c>
      <c r="L25" s="87">
        <v>25.206</v>
      </c>
      <c r="M25" s="87">
        <v>0</v>
      </c>
      <c r="N25" s="444">
        <v>1</v>
      </c>
      <c r="O25" s="469">
        <f t="shared" si="2"/>
        <v>0.89679921702251053</v>
      </c>
      <c r="P25" s="354">
        <f t="shared" ref="P25:P36" si="6">+J25*O25</f>
        <v>22.725788958567438</v>
      </c>
      <c r="Q25" s="338">
        <f>9.005+9.005</f>
        <v>18.010000000000002</v>
      </c>
      <c r="R25" s="338">
        <v>18.009999999999998</v>
      </c>
      <c r="S25" s="496">
        <f t="shared" si="3"/>
        <v>7.3309999999999995</v>
      </c>
    </row>
    <row r="26" spans="1:19" ht="28.15" customHeight="1" x14ac:dyDescent="0.25">
      <c r="A26" s="80">
        <f t="shared" si="1"/>
        <v>16</v>
      </c>
      <c r="B26" s="81" t="s">
        <v>611</v>
      </c>
      <c r="C26" s="385" t="s">
        <v>537</v>
      </c>
      <c r="D26" s="385" t="s">
        <v>538</v>
      </c>
      <c r="E26" s="92">
        <v>16.103999999999999</v>
      </c>
      <c r="F26" s="436">
        <v>12.884</v>
      </c>
      <c r="G26" s="85"/>
      <c r="H26" s="86">
        <f t="shared" si="4"/>
        <v>0.19995032290114251</v>
      </c>
      <c r="I26" s="83">
        <v>0</v>
      </c>
      <c r="J26" s="569">
        <f>0.978+14.966</f>
        <v>15.943999999999999</v>
      </c>
      <c r="K26" s="83">
        <v>0</v>
      </c>
      <c r="L26" s="83">
        <v>15.944000000000001</v>
      </c>
      <c r="M26" s="83">
        <v>0</v>
      </c>
      <c r="N26" s="444">
        <v>1</v>
      </c>
      <c r="O26" s="469">
        <f t="shared" si="2"/>
        <v>0.80004967709885744</v>
      </c>
      <c r="P26" s="354">
        <f t="shared" si="6"/>
        <v>12.755992051664181</v>
      </c>
      <c r="R26" s="338">
        <v>14.965999999999999</v>
      </c>
      <c r="S26" s="496">
        <f t="shared" si="3"/>
        <v>0.97799999999999976</v>
      </c>
    </row>
    <row r="27" spans="1:19" ht="30" customHeight="1" x14ac:dyDescent="0.25">
      <c r="A27" s="80">
        <f t="shared" si="1"/>
        <v>17</v>
      </c>
      <c r="B27" s="81" t="s">
        <v>612</v>
      </c>
      <c r="C27" s="385" t="s">
        <v>537</v>
      </c>
      <c r="D27" s="385" t="s">
        <v>538</v>
      </c>
      <c r="E27" s="92">
        <v>16.064</v>
      </c>
      <c r="F27" s="436">
        <v>12.852</v>
      </c>
      <c r="G27" s="85"/>
      <c r="H27" s="86">
        <f t="shared" ref="H27:H37" si="7">(E27-F27)/E27</f>
        <v>0.19995019920318724</v>
      </c>
      <c r="I27" s="83">
        <v>0</v>
      </c>
      <c r="J27" s="569">
        <f>0.6+7.269+6.928</f>
        <v>14.797000000000001</v>
      </c>
      <c r="K27" s="83">
        <v>0</v>
      </c>
      <c r="L27" s="83">
        <v>14.797000000000001</v>
      </c>
      <c r="M27" s="83">
        <v>0</v>
      </c>
      <c r="N27" s="444">
        <v>1</v>
      </c>
      <c r="O27" s="469">
        <f t="shared" si="2"/>
        <v>0.80004980079681276</v>
      </c>
      <c r="P27" s="354">
        <f t="shared" si="6"/>
        <v>11.83833690239044</v>
      </c>
      <c r="R27" s="338">
        <v>7.8689999999999998</v>
      </c>
      <c r="S27" s="496">
        <f t="shared" si="3"/>
        <v>6.9280000000000008</v>
      </c>
    </row>
    <row r="28" spans="1:19" ht="31.15" customHeight="1" x14ac:dyDescent="0.25">
      <c r="A28" s="80">
        <f t="shared" si="1"/>
        <v>18</v>
      </c>
      <c r="B28" s="81" t="s">
        <v>627</v>
      </c>
      <c r="C28" s="385" t="s">
        <v>565</v>
      </c>
      <c r="D28" s="385" t="s">
        <v>628</v>
      </c>
      <c r="E28" s="92">
        <v>12.08</v>
      </c>
      <c r="F28" s="436">
        <v>12.025</v>
      </c>
      <c r="G28" s="85"/>
      <c r="H28" s="86">
        <f>(E28-F28)/E28</f>
        <v>4.5529801324503075E-3</v>
      </c>
      <c r="I28" s="83">
        <v>0</v>
      </c>
      <c r="J28" s="569">
        <f>2.273+10.025+1.544+1.202+0.321</f>
        <v>15.365</v>
      </c>
      <c r="K28" s="83">
        <v>0</v>
      </c>
      <c r="L28" s="83">
        <v>15.365</v>
      </c>
      <c r="M28" s="83">
        <v>0</v>
      </c>
      <c r="N28" s="444">
        <v>1</v>
      </c>
      <c r="O28" s="469">
        <f t="shared" si="2"/>
        <v>0.99544701986754969</v>
      </c>
      <c r="P28" s="354">
        <f t="shared" si="6"/>
        <v>15.295043460264901</v>
      </c>
      <c r="R28" s="338">
        <v>12.298</v>
      </c>
      <c r="S28" s="496">
        <f t="shared" si="3"/>
        <v>3.0670000000000002</v>
      </c>
    </row>
    <row r="29" spans="1:19" ht="28.9" customHeight="1" x14ac:dyDescent="0.25">
      <c r="A29" s="80">
        <f t="shared" si="1"/>
        <v>19</v>
      </c>
      <c r="B29" s="81" t="s">
        <v>630</v>
      </c>
      <c r="C29" s="385" t="s">
        <v>575</v>
      </c>
      <c r="D29" s="385" t="s">
        <v>629</v>
      </c>
      <c r="E29" s="92">
        <v>14.706</v>
      </c>
      <c r="F29" s="436">
        <v>13.724</v>
      </c>
      <c r="G29" s="85"/>
      <c r="H29" s="86">
        <f t="shared" si="7"/>
        <v>6.6775465796273581E-2</v>
      </c>
      <c r="I29" s="83">
        <v>0</v>
      </c>
      <c r="J29" s="569">
        <f>5.964+4.001+2.478+0.601+0.585</f>
        <v>13.629000000000001</v>
      </c>
      <c r="K29" s="83">
        <v>0</v>
      </c>
      <c r="L29" s="83">
        <v>13.044</v>
      </c>
      <c r="M29" s="83">
        <v>0</v>
      </c>
      <c r="N29" s="444">
        <v>1</v>
      </c>
      <c r="O29" s="480">
        <f t="shared" ref="O29:O36" si="8">+N29-H29</f>
        <v>0.93322453420372642</v>
      </c>
      <c r="P29" s="354">
        <f t="shared" si="6"/>
        <v>12.718917176662588</v>
      </c>
      <c r="R29" s="338">
        <v>9.9649999999999999</v>
      </c>
      <c r="S29" s="496">
        <f t="shared" si="3"/>
        <v>3.6640000000000015</v>
      </c>
    </row>
    <row r="30" spans="1:19" ht="28.9" customHeight="1" x14ac:dyDescent="0.25">
      <c r="A30" s="80">
        <f t="shared" si="1"/>
        <v>20</v>
      </c>
      <c r="B30" s="81" t="s">
        <v>631</v>
      </c>
      <c r="C30" s="385" t="s">
        <v>575</v>
      </c>
      <c r="D30" s="472" t="s">
        <v>632</v>
      </c>
      <c r="E30" s="481">
        <v>4.84</v>
      </c>
      <c r="F30" s="482">
        <v>4.7450000000000001</v>
      </c>
      <c r="G30" s="85"/>
      <c r="H30" s="86">
        <f t="shared" si="7"/>
        <v>1.9628099173553668E-2</v>
      </c>
      <c r="I30" s="83">
        <v>0</v>
      </c>
      <c r="J30" s="569">
        <f>1.035+1.423+0.212+0.3</f>
        <v>2.97</v>
      </c>
      <c r="K30" s="83">
        <v>0</v>
      </c>
      <c r="L30" s="83">
        <v>2.97</v>
      </c>
      <c r="M30" s="83">
        <v>0</v>
      </c>
      <c r="N30" s="444">
        <v>1</v>
      </c>
      <c r="O30" s="469">
        <f t="shared" si="8"/>
        <v>0.98037190082644632</v>
      </c>
      <c r="P30" s="354">
        <f t="shared" si="6"/>
        <v>2.9117045454545458</v>
      </c>
      <c r="R30" s="338">
        <v>2.4580000000000002</v>
      </c>
      <c r="S30" s="496">
        <f t="shared" si="3"/>
        <v>0.51200000000000001</v>
      </c>
    </row>
    <row r="31" spans="1:19" ht="28.9" customHeight="1" x14ac:dyDescent="0.25">
      <c r="A31" s="80">
        <f t="shared" si="1"/>
        <v>21</v>
      </c>
      <c r="B31" s="81" t="s">
        <v>703</v>
      </c>
      <c r="C31" s="471" t="s">
        <v>613</v>
      </c>
      <c r="D31" s="385" t="s">
        <v>618</v>
      </c>
      <c r="E31" s="92">
        <v>61.136000000000003</v>
      </c>
      <c r="F31" s="436">
        <v>59.932000000000002</v>
      </c>
      <c r="G31" s="85"/>
      <c r="H31" s="86">
        <f t="shared" si="7"/>
        <v>1.9693797435226389E-2</v>
      </c>
      <c r="I31" s="83">
        <v>0</v>
      </c>
      <c r="J31" s="569">
        <f>24.567+25.62+13.183+37.057+0.739+2.214+23.366+5.067+15.748+0.76</f>
        <v>148.32099999999997</v>
      </c>
      <c r="K31" s="83">
        <v>0</v>
      </c>
      <c r="L31" s="83">
        <v>126.746</v>
      </c>
      <c r="M31" s="83">
        <v>0</v>
      </c>
      <c r="N31" s="444">
        <v>1</v>
      </c>
      <c r="O31" s="469">
        <f t="shared" si="8"/>
        <v>0.98030620256477363</v>
      </c>
      <c r="P31" s="354">
        <f t="shared" si="6"/>
        <v>145.39999627060976</v>
      </c>
      <c r="R31" s="338">
        <v>63.37</v>
      </c>
      <c r="S31" s="496">
        <f t="shared" si="3"/>
        <v>84.950999999999965</v>
      </c>
    </row>
    <row r="32" spans="1:19" ht="28.9" customHeight="1" x14ac:dyDescent="0.25">
      <c r="A32" s="80">
        <f t="shared" si="1"/>
        <v>22</v>
      </c>
      <c r="B32" s="81" t="s">
        <v>633</v>
      </c>
      <c r="C32" s="385" t="s">
        <v>575</v>
      </c>
      <c r="D32" s="385" t="s">
        <v>629</v>
      </c>
      <c r="E32" s="92">
        <v>14.706</v>
      </c>
      <c r="F32" s="436">
        <v>13.724</v>
      </c>
      <c r="G32" s="85"/>
      <c r="H32" s="86">
        <f t="shared" si="7"/>
        <v>6.6775465796273581E-2</v>
      </c>
      <c r="I32" s="83"/>
      <c r="J32" s="83"/>
      <c r="K32" s="83">
        <v>0</v>
      </c>
      <c r="L32" s="83"/>
      <c r="M32" s="83">
        <v>0</v>
      </c>
      <c r="N32" s="444">
        <v>1</v>
      </c>
      <c r="O32" s="469">
        <f t="shared" si="8"/>
        <v>0.93322453420372642</v>
      </c>
      <c r="P32" s="354">
        <f t="shared" si="6"/>
        <v>0</v>
      </c>
      <c r="S32" s="496">
        <f t="shared" si="3"/>
        <v>0</v>
      </c>
    </row>
    <row r="33" spans="1:19" ht="28.9" customHeight="1" x14ac:dyDescent="0.25">
      <c r="A33" s="80">
        <f t="shared" si="1"/>
        <v>23</v>
      </c>
      <c r="B33" s="81" t="s">
        <v>634</v>
      </c>
      <c r="C33" s="385" t="s">
        <v>575</v>
      </c>
      <c r="D33" s="385" t="s">
        <v>629</v>
      </c>
      <c r="E33" s="92">
        <v>14.706</v>
      </c>
      <c r="F33" s="436">
        <v>13.724</v>
      </c>
      <c r="G33" s="85"/>
      <c r="H33" s="86">
        <f t="shared" si="7"/>
        <v>6.6775465796273581E-2</v>
      </c>
      <c r="I33" s="83"/>
      <c r="J33" s="83"/>
      <c r="K33" s="83">
        <v>0</v>
      </c>
      <c r="L33" s="83"/>
      <c r="M33" s="83">
        <v>0</v>
      </c>
      <c r="N33" s="444">
        <v>1</v>
      </c>
      <c r="O33" s="469">
        <f t="shared" si="8"/>
        <v>0.93322453420372642</v>
      </c>
      <c r="P33" s="354">
        <f t="shared" si="6"/>
        <v>0</v>
      </c>
      <c r="S33" s="496">
        <f t="shared" si="3"/>
        <v>0</v>
      </c>
    </row>
    <row r="34" spans="1:19" ht="28.9" customHeight="1" x14ac:dyDescent="0.25">
      <c r="A34" s="80">
        <f t="shared" si="1"/>
        <v>24</v>
      </c>
      <c r="B34" s="81" t="s">
        <v>636</v>
      </c>
      <c r="C34" s="385" t="s">
        <v>635</v>
      </c>
      <c r="D34" s="385" t="s">
        <v>581</v>
      </c>
      <c r="E34" s="92">
        <v>6.3529999999999998</v>
      </c>
      <c r="F34" s="436">
        <v>5.5609999999999999</v>
      </c>
      <c r="G34" s="85"/>
      <c r="H34" s="86">
        <f t="shared" si="7"/>
        <v>0.12466551235636705</v>
      </c>
      <c r="I34" s="83">
        <v>0</v>
      </c>
      <c r="J34" s="569">
        <f>6.117+9.788+1.845+4.975+0.822</f>
        <v>23.547000000000001</v>
      </c>
      <c r="K34" s="83">
        <v>0</v>
      </c>
      <c r="L34" s="83">
        <v>22.725000000000001</v>
      </c>
      <c r="M34" s="83">
        <v>0</v>
      </c>
      <c r="N34" s="444">
        <v>1</v>
      </c>
      <c r="O34" s="469">
        <f t="shared" si="8"/>
        <v>0.87533448764363297</v>
      </c>
      <c r="P34" s="354">
        <f t="shared" si="6"/>
        <v>20.611501180544625</v>
      </c>
      <c r="R34" s="338">
        <v>6.117</v>
      </c>
      <c r="S34" s="496">
        <f t="shared" si="3"/>
        <v>17.43</v>
      </c>
    </row>
    <row r="35" spans="1:19" ht="28.9" customHeight="1" x14ac:dyDescent="0.25">
      <c r="A35" s="80">
        <f t="shared" si="1"/>
        <v>25</v>
      </c>
      <c r="B35" s="81" t="s">
        <v>637</v>
      </c>
      <c r="C35" s="385" t="s">
        <v>613</v>
      </c>
      <c r="D35" s="385" t="s">
        <v>581</v>
      </c>
      <c r="E35" s="92">
        <v>6.3529999999999998</v>
      </c>
      <c r="F35" s="436">
        <v>5.5609999999999999</v>
      </c>
      <c r="G35" s="85"/>
      <c r="H35" s="86">
        <f t="shared" si="7"/>
        <v>0.12466551235636705</v>
      </c>
      <c r="I35" s="83">
        <v>0</v>
      </c>
      <c r="J35" s="569">
        <f>3.039+2.429+4.712+0.841+2.219</f>
        <v>13.239999999999998</v>
      </c>
      <c r="K35" s="83">
        <v>0</v>
      </c>
      <c r="L35" s="83">
        <v>13.24</v>
      </c>
      <c r="M35" s="83">
        <v>0</v>
      </c>
      <c r="N35" s="444">
        <v>1</v>
      </c>
      <c r="O35" s="469">
        <f t="shared" si="8"/>
        <v>0.87533448764363297</v>
      </c>
      <c r="P35" s="354">
        <f t="shared" si="6"/>
        <v>11.589428616401699</v>
      </c>
      <c r="R35" s="338">
        <v>5.468</v>
      </c>
      <c r="S35" s="496">
        <f t="shared" si="3"/>
        <v>7.7719999999999985</v>
      </c>
    </row>
    <row r="36" spans="1:19" ht="28.9" customHeight="1" x14ac:dyDescent="0.25">
      <c r="A36" s="80">
        <f t="shared" si="1"/>
        <v>26</v>
      </c>
      <c r="B36" s="81" t="s">
        <v>638</v>
      </c>
      <c r="C36" s="385" t="s">
        <v>639</v>
      </c>
      <c r="D36" s="385" t="s">
        <v>640</v>
      </c>
      <c r="E36" s="92">
        <v>16.437000000000001</v>
      </c>
      <c r="F36" s="436">
        <v>14.792999999999999</v>
      </c>
      <c r="G36" s="85"/>
      <c r="H36" s="86">
        <f t="shared" si="7"/>
        <v>0.10001825150574933</v>
      </c>
      <c r="I36" s="83">
        <v>0</v>
      </c>
      <c r="J36" s="569">
        <f>15.01+0.604+1.725+2.382</f>
        <v>19.721</v>
      </c>
      <c r="K36" s="83">
        <v>0</v>
      </c>
      <c r="L36" s="83">
        <v>17.338999999999999</v>
      </c>
      <c r="M36" s="83">
        <v>0</v>
      </c>
      <c r="N36" s="444">
        <v>1</v>
      </c>
      <c r="O36" s="469">
        <f t="shared" si="8"/>
        <v>0.89998174849425072</v>
      </c>
      <c r="P36" s="354">
        <f t="shared" si="6"/>
        <v>17.748540062055117</v>
      </c>
      <c r="R36" s="338">
        <v>15.613999999999999</v>
      </c>
      <c r="S36" s="496">
        <f t="shared" si="3"/>
        <v>4.1070000000000011</v>
      </c>
    </row>
    <row r="37" spans="1:19" ht="28.9" customHeight="1" x14ac:dyDescent="0.25">
      <c r="A37" s="80">
        <f t="shared" si="1"/>
        <v>27</v>
      </c>
      <c r="B37" s="81" t="s">
        <v>665</v>
      </c>
      <c r="C37" s="471" t="s">
        <v>663</v>
      </c>
      <c r="D37" s="472" t="s">
        <v>664</v>
      </c>
      <c r="E37" s="370">
        <v>45.033999999999999</v>
      </c>
      <c r="F37" s="370">
        <v>28.065000000000001</v>
      </c>
      <c r="G37" s="85"/>
      <c r="H37" s="86">
        <f t="shared" si="7"/>
        <v>0.37680419238797347</v>
      </c>
      <c r="I37" s="83"/>
      <c r="J37" s="83"/>
      <c r="K37" s="83"/>
      <c r="L37" s="83">
        <v>0</v>
      </c>
      <c r="M37" s="83">
        <v>0</v>
      </c>
      <c r="N37" s="444"/>
      <c r="O37" s="469"/>
      <c r="R37" s="338">
        <v>37.201000000000001</v>
      </c>
      <c r="S37" s="496"/>
    </row>
    <row r="38" spans="1:19" ht="28.9" customHeight="1" x14ac:dyDescent="0.25">
      <c r="A38" s="80">
        <f t="shared" si="1"/>
        <v>28</v>
      </c>
      <c r="B38" s="81" t="s">
        <v>705</v>
      </c>
      <c r="C38" s="471" t="s">
        <v>706</v>
      </c>
      <c r="D38" s="472" t="s">
        <v>707</v>
      </c>
      <c r="E38" s="92">
        <v>20.699000000000002</v>
      </c>
      <c r="F38" s="436">
        <v>13.826000000000001</v>
      </c>
      <c r="G38" s="85"/>
      <c r="H38" s="86">
        <f>(E38-F38)/E38</f>
        <v>0.3320450263297744</v>
      </c>
      <c r="I38" s="83">
        <f>39.343-32.655</f>
        <v>6.6880000000000024</v>
      </c>
      <c r="J38" s="569">
        <f>11.275+21.38+6.688</f>
        <v>39.343000000000004</v>
      </c>
      <c r="K38" s="83">
        <v>6.6879999999999997</v>
      </c>
      <c r="L38" s="83">
        <v>11.275</v>
      </c>
      <c r="M38" s="83">
        <v>0</v>
      </c>
      <c r="N38" s="444">
        <v>1</v>
      </c>
      <c r="O38" s="469">
        <f>+N38-H38</f>
        <v>0.6679549736702256</v>
      </c>
      <c r="P38" s="354">
        <f>+J38*O38</f>
        <v>26.279352529107687</v>
      </c>
      <c r="R38" s="338">
        <v>0</v>
      </c>
      <c r="S38" s="496">
        <f>+J38-R38</f>
        <v>39.343000000000004</v>
      </c>
    </row>
    <row r="39" spans="1:19" ht="28.9" customHeight="1" x14ac:dyDescent="0.25">
      <c r="A39" s="80">
        <f t="shared" si="1"/>
        <v>29</v>
      </c>
      <c r="B39" s="81" t="s">
        <v>784</v>
      </c>
      <c r="C39" s="471" t="s">
        <v>743</v>
      </c>
      <c r="D39" s="472" t="s">
        <v>744</v>
      </c>
      <c r="E39" s="92">
        <v>23.161999999999999</v>
      </c>
      <c r="F39" s="436">
        <v>14.268000000000001</v>
      </c>
      <c r="G39" s="85"/>
      <c r="H39" s="86">
        <f>(E39-F39)/E39</f>
        <v>0.38399101977376732</v>
      </c>
      <c r="I39" s="83">
        <v>0</v>
      </c>
      <c r="J39" s="569">
        <f>6.866+22.417</f>
        <v>29.283000000000001</v>
      </c>
      <c r="K39" s="83">
        <v>0</v>
      </c>
      <c r="L39" s="83">
        <v>6.8659999999999997</v>
      </c>
      <c r="M39" s="83">
        <v>0</v>
      </c>
      <c r="N39" s="444">
        <v>1</v>
      </c>
      <c r="O39" s="469">
        <f t="shared" ref="O39:O42" si="9">+N39-H39</f>
        <v>0.61600898022623274</v>
      </c>
      <c r="P39" s="354">
        <f t="shared" ref="P39:P42" si="10">+J39*O39</f>
        <v>18.038590967964772</v>
      </c>
      <c r="S39" s="496"/>
    </row>
    <row r="40" spans="1:19" ht="28.9" customHeight="1" x14ac:dyDescent="0.25">
      <c r="A40" s="80">
        <f t="shared" si="1"/>
        <v>30</v>
      </c>
      <c r="B40" s="81" t="s">
        <v>783</v>
      </c>
      <c r="C40" s="471" t="s">
        <v>745</v>
      </c>
      <c r="D40" s="472" t="s">
        <v>746</v>
      </c>
      <c r="E40" s="92"/>
      <c r="F40" s="436"/>
      <c r="G40" s="85"/>
      <c r="H40" s="86">
        <v>1</v>
      </c>
      <c r="I40" s="83">
        <v>0</v>
      </c>
      <c r="J40" s="569">
        <f>4.197+6.128+1.498+0.172</f>
        <v>11.994999999999999</v>
      </c>
      <c r="K40" s="83">
        <v>0</v>
      </c>
      <c r="L40" s="83">
        <v>6.1280000000000001</v>
      </c>
      <c r="M40" s="83">
        <v>0</v>
      </c>
      <c r="N40" s="444">
        <v>1</v>
      </c>
      <c r="O40" s="469">
        <v>1</v>
      </c>
      <c r="P40" s="354">
        <f>+J40*O40</f>
        <v>11.994999999999999</v>
      </c>
      <c r="S40" s="496"/>
    </row>
    <row r="41" spans="1:19" ht="28.9" customHeight="1" x14ac:dyDescent="0.25">
      <c r="A41" s="80">
        <f t="shared" si="1"/>
        <v>31</v>
      </c>
      <c r="B41" s="81" t="s">
        <v>776</v>
      </c>
      <c r="C41" s="471" t="s">
        <v>747</v>
      </c>
      <c r="D41" s="472" t="s">
        <v>748</v>
      </c>
      <c r="E41" s="92">
        <v>19.614000000000001</v>
      </c>
      <c r="F41" s="436">
        <v>14.907</v>
      </c>
      <c r="G41" s="85"/>
      <c r="H41" s="86">
        <f>(E41-F41)/E41</f>
        <v>0.23998164576323036</v>
      </c>
      <c r="I41" s="83">
        <v>0</v>
      </c>
      <c r="J41" s="569">
        <f>8.069+13.92</f>
        <v>21.989000000000001</v>
      </c>
      <c r="K41" s="83">
        <v>0</v>
      </c>
      <c r="L41" s="83">
        <v>13.92</v>
      </c>
      <c r="M41" s="83">
        <v>0</v>
      </c>
      <c r="N41" s="444">
        <v>1</v>
      </c>
      <c r="O41" s="469">
        <f t="shared" si="9"/>
        <v>0.76001835423676967</v>
      </c>
      <c r="P41" s="354">
        <f t="shared" si="10"/>
        <v>16.71204359131233</v>
      </c>
      <c r="S41" s="496"/>
    </row>
    <row r="42" spans="1:19" ht="28.9" customHeight="1" x14ac:dyDescent="0.25">
      <c r="A42" s="80">
        <f t="shared" si="1"/>
        <v>32</v>
      </c>
      <c r="B42" s="576" t="s">
        <v>763</v>
      </c>
      <c r="C42" s="471" t="s">
        <v>764</v>
      </c>
      <c r="D42" s="472" t="s">
        <v>765</v>
      </c>
      <c r="E42" s="92">
        <f>16.353*5</f>
        <v>81.765000000000015</v>
      </c>
      <c r="F42" s="436">
        <f>13.543*5</f>
        <v>67.715000000000003</v>
      </c>
      <c r="G42" s="85"/>
      <c r="H42" s="86">
        <f>(E42-F42)/E42</f>
        <v>0.17183391426649555</v>
      </c>
      <c r="I42" s="83">
        <f>89.57-81.892</f>
        <v>7.6779999999999973</v>
      </c>
      <c r="J42" s="569">
        <f>81.892+7.678</f>
        <v>89.57</v>
      </c>
      <c r="K42" s="83">
        <v>7.6779999999999999</v>
      </c>
      <c r="L42" s="83">
        <v>81.891999999999996</v>
      </c>
      <c r="M42" s="83">
        <v>0</v>
      </c>
      <c r="N42" s="444">
        <v>1</v>
      </c>
      <c r="O42" s="469">
        <f t="shared" si="9"/>
        <v>0.82816608573350448</v>
      </c>
      <c r="P42" s="354">
        <f t="shared" si="10"/>
        <v>74.178836299149992</v>
      </c>
      <c r="S42" s="496"/>
    </row>
    <row r="43" spans="1:19" ht="15.75" x14ac:dyDescent="0.25">
      <c r="A43" s="80"/>
      <c r="B43" s="775" t="s">
        <v>256</v>
      </c>
      <c r="C43" s="776"/>
      <c r="D43" s="777"/>
      <c r="E43" s="437">
        <f>SUM(E11:E42)</f>
        <v>654.81929287048354</v>
      </c>
      <c r="F43" s="437">
        <f>SUM(F11:G42)</f>
        <v>545.80981611458674</v>
      </c>
      <c r="G43" s="85"/>
      <c r="H43" s="86"/>
      <c r="I43" s="437">
        <f>SUM(I11:I42)</f>
        <v>14.366</v>
      </c>
      <c r="J43" s="437">
        <f>SUM(J11:J42)</f>
        <v>740.01537099999996</v>
      </c>
      <c r="K43" s="437">
        <f>SUM(K11:K42)</f>
        <v>14.366</v>
      </c>
      <c r="L43" s="437">
        <f>SUM(L11:L42)</f>
        <v>610.75099999999998</v>
      </c>
      <c r="M43" s="437">
        <f>SUM(M11:M42)</f>
        <v>0</v>
      </c>
      <c r="N43" s="444"/>
      <c r="O43" s="469"/>
      <c r="P43" s="437">
        <f>SUM(P11:P42)</f>
        <v>613.80038210230907</v>
      </c>
      <c r="S43" s="473">
        <f>SUM(S11:S38)</f>
        <v>191.59140699999995</v>
      </c>
    </row>
    <row r="44" spans="1:19" x14ac:dyDescent="0.25">
      <c r="A44" s="80"/>
      <c r="B44" s="81"/>
      <c r="C44" s="82"/>
      <c r="D44" s="82"/>
      <c r="E44" s="381"/>
      <c r="F44" s="382"/>
      <c r="G44" s="85"/>
      <c r="H44" s="86"/>
      <c r="I44" s="83"/>
      <c r="J44" s="83"/>
      <c r="K44" s="83"/>
      <c r="L44" s="87"/>
      <c r="M44" s="87"/>
      <c r="N44" s="444">
        <v>1</v>
      </c>
      <c r="O44" s="469">
        <f t="shared" si="2"/>
        <v>1</v>
      </c>
      <c r="P44" s="354">
        <f t="shared" si="5"/>
        <v>0</v>
      </c>
    </row>
    <row r="45" spans="1:19" ht="15.75" x14ac:dyDescent="0.25">
      <c r="A45" s="90">
        <v>2</v>
      </c>
      <c r="B45" s="772" t="s">
        <v>166</v>
      </c>
      <c r="C45" s="773"/>
      <c r="D45" s="774"/>
      <c r="E45" s="91"/>
      <c r="F45" s="91"/>
      <c r="G45" s="85"/>
      <c r="H45" s="86"/>
      <c r="I45" s="83"/>
      <c r="J45" s="83"/>
      <c r="K45" s="83"/>
      <c r="L45" s="87"/>
      <c r="M45" s="87">
        <f>+L45</f>
        <v>0</v>
      </c>
      <c r="N45" s="444">
        <v>1</v>
      </c>
      <c r="O45" s="469">
        <f t="shared" si="2"/>
        <v>1</v>
      </c>
      <c r="P45" s="354">
        <f t="shared" si="5"/>
        <v>0</v>
      </c>
    </row>
    <row r="46" spans="1:19" ht="30" customHeight="1" x14ac:dyDescent="0.25">
      <c r="A46" s="80">
        <v>1</v>
      </c>
      <c r="B46" s="81" t="s">
        <v>541</v>
      </c>
      <c r="C46" s="82" t="s">
        <v>168</v>
      </c>
      <c r="D46" s="82" t="s">
        <v>169</v>
      </c>
      <c r="E46" s="83">
        <v>483.18700000000001</v>
      </c>
      <c r="F46" s="92">
        <v>424.505</v>
      </c>
      <c r="G46" s="85">
        <v>1</v>
      </c>
      <c r="H46" s="86">
        <f>(E46-F46)/E46</f>
        <v>0.12144780385233878</v>
      </c>
      <c r="I46" s="83">
        <v>0</v>
      </c>
      <c r="J46" s="569">
        <f>71.516+57.364+4+3.384-22.508+4.844+3.65+19.735+5.324+0.411+2.165</f>
        <v>149.88499999999999</v>
      </c>
      <c r="K46" s="83">
        <v>0</v>
      </c>
      <c r="L46" s="83">
        <v>147.309</v>
      </c>
      <c r="M46" s="87">
        <v>0</v>
      </c>
      <c r="N46" s="444">
        <v>1</v>
      </c>
      <c r="O46" s="469">
        <f>+N46-H46</f>
        <v>0.87855219614766122</v>
      </c>
      <c r="P46" s="354">
        <f>+J46*O46</f>
        <v>131.68179591959219</v>
      </c>
      <c r="R46" s="338">
        <v>118.59999999999998</v>
      </c>
      <c r="S46" s="496">
        <f>+J46-R46</f>
        <v>31.285000000000011</v>
      </c>
    </row>
    <row r="47" spans="1:19" ht="30" customHeight="1" x14ac:dyDescent="0.25">
      <c r="A47" s="80">
        <f>A46+1</f>
        <v>2</v>
      </c>
      <c r="B47" s="81" t="s">
        <v>542</v>
      </c>
      <c r="C47" s="82" t="s">
        <v>170</v>
      </c>
      <c r="D47" s="385" t="s">
        <v>543</v>
      </c>
      <c r="E47" s="83">
        <v>527.49454541</v>
      </c>
      <c r="F47" s="93">
        <v>443.09541814439996</v>
      </c>
      <c r="G47" s="85">
        <v>1</v>
      </c>
      <c r="H47" s="86">
        <f>(E47-F47)/E47</f>
        <v>0.16000000000000009</v>
      </c>
      <c r="I47" s="83">
        <v>0</v>
      </c>
      <c r="J47" s="569">
        <f>841.372-480.503+30.423+52.347+21.423+21.331+15.957+8.924</f>
        <v>511.27399999999994</v>
      </c>
      <c r="K47" s="83">
        <v>0</v>
      </c>
      <c r="L47" s="83">
        <v>511.274</v>
      </c>
      <c r="M47" s="87">
        <v>0</v>
      </c>
      <c r="N47" s="444">
        <v>1</v>
      </c>
      <c r="O47" s="469">
        <f>+N47-H47</f>
        <v>0.83999999999999986</v>
      </c>
      <c r="P47" s="354">
        <f t="shared" si="5"/>
        <v>429.47015999999991</v>
      </c>
      <c r="R47" s="338">
        <v>486.39299999999997</v>
      </c>
      <c r="S47" s="496">
        <f t="shared" ref="S47:S69" si="11">+J47-R47</f>
        <v>24.880999999999972</v>
      </c>
    </row>
    <row r="48" spans="1:19" ht="30" customHeight="1" x14ac:dyDescent="0.25">
      <c r="A48" s="80">
        <f>A47+1</f>
        <v>3</v>
      </c>
      <c r="B48" s="81" t="s">
        <v>167</v>
      </c>
      <c r="C48" s="82" t="s">
        <v>171</v>
      </c>
      <c r="D48" s="82" t="s">
        <v>172</v>
      </c>
      <c r="E48" s="88"/>
      <c r="F48" s="89"/>
      <c r="G48" s="85">
        <v>1</v>
      </c>
      <c r="H48" s="86"/>
      <c r="I48" s="83">
        <v>0</v>
      </c>
      <c r="J48" s="83">
        <f>0.98+0.98-1.96</f>
        <v>0</v>
      </c>
      <c r="K48" s="83">
        <v>0</v>
      </c>
      <c r="L48" s="83">
        <f>0.98+0.98-1.96</f>
        <v>0</v>
      </c>
      <c r="M48" s="87">
        <v>0</v>
      </c>
      <c r="N48" s="444">
        <v>1</v>
      </c>
      <c r="O48" s="469">
        <f t="shared" ref="O48:O67" si="12">+N48-H48</f>
        <v>1</v>
      </c>
      <c r="P48" s="354">
        <f t="shared" si="5"/>
        <v>0</v>
      </c>
      <c r="R48" s="338">
        <v>0</v>
      </c>
      <c r="S48" s="496">
        <f t="shared" si="11"/>
        <v>0</v>
      </c>
    </row>
    <row r="49" spans="1:19" ht="30" customHeight="1" x14ac:dyDescent="0.25">
      <c r="A49" s="80">
        <f>A48+1</f>
        <v>4</v>
      </c>
      <c r="B49" s="81" t="s">
        <v>540</v>
      </c>
      <c r="C49" s="82" t="s">
        <v>173</v>
      </c>
      <c r="D49" s="82" t="s">
        <v>174</v>
      </c>
      <c r="E49" s="83">
        <v>336.92599999999999</v>
      </c>
      <c r="F49" s="83">
        <f>E49*84%</f>
        <v>283.01783999999998</v>
      </c>
      <c r="G49" s="85"/>
      <c r="H49" s="86">
        <f>(E49-F49)/E49</f>
        <v>0.16000000000000003</v>
      </c>
      <c r="I49" s="83">
        <v>0</v>
      </c>
      <c r="J49" s="569">
        <f>198.085+22.649+42.346+44.521+2.217+3.352+0.059+3.929+2.998</f>
        <v>320.15599999999995</v>
      </c>
      <c r="K49" s="83">
        <v>0</v>
      </c>
      <c r="L49" s="83">
        <v>320.15600000000001</v>
      </c>
      <c r="M49" s="87">
        <v>0</v>
      </c>
      <c r="N49" s="444">
        <v>1</v>
      </c>
      <c r="O49" s="469">
        <f t="shared" si="12"/>
        <v>0.84</v>
      </c>
      <c r="P49" s="354">
        <f t="shared" si="5"/>
        <v>268.93103999999994</v>
      </c>
      <c r="R49" s="338">
        <v>313.22899999999998</v>
      </c>
      <c r="S49" s="496">
        <f t="shared" si="11"/>
        <v>6.9269999999999641</v>
      </c>
    </row>
    <row r="50" spans="1:19" ht="23.25" customHeight="1" x14ac:dyDescent="0.25">
      <c r="A50" s="80">
        <f>A49+1</f>
        <v>5</v>
      </c>
      <c r="B50" s="81" t="s">
        <v>544</v>
      </c>
      <c r="C50" s="385" t="s">
        <v>175</v>
      </c>
      <c r="D50" s="385" t="s">
        <v>176</v>
      </c>
      <c r="E50" s="386">
        <f>427558742/1000000</f>
        <v>427.558742</v>
      </c>
      <c r="F50" s="93">
        <f>E50*84%</f>
        <v>359.14934327999998</v>
      </c>
      <c r="G50" s="85"/>
      <c r="H50" s="86">
        <f>(E50-F50)/E50</f>
        <v>0.16000000000000003</v>
      </c>
      <c r="I50" s="83">
        <v>0</v>
      </c>
      <c r="J50" s="569">
        <f>84.46+153.54-65.442+1.095+19.665-19.278+1.995+0.215</f>
        <v>176.25</v>
      </c>
      <c r="K50" s="83">
        <v>0</v>
      </c>
      <c r="L50" s="83">
        <v>176.035</v>
      </c>
      <c r="M50" s="87">
        <v>0</v>
      </c>
      <c r="N50" s="444">
        <v>1</v>
      </c>
      <c r="O50" s="469">
        <f t="shared" si="12"/>
        <v>0.84</v>
      </c>
      <c r="P50" s="354">
        <f t="shared" si="5"/>
        <v>148.04999999999998</v>
      </c>
      <c r="R50" s="338">
        <v>176.035</v>
      </c>
      <c r="S50" s="496">
        <f t="shared" si="11"/>
        <v>0.21500000000000341</v>
      </c>
    </row>
    <row r="51" spans="1:19" ht="23.25" customHeight="1" x14ac:dyDescent="0.25">
      <c r="A51" s="80">
        <f>A50+1</f>
        <v>6</v>
      </c>
      <c r="B51" s="81" t="s">
        <v>546</v>
      </c>
      <c r="C51" s="82" t="s">
        <v>175</v>
      </c>
      <c r="D51" s="82" t="s">
        <v>177</v>
      </c>
      <c r="E51" s="438">
        <f>1116309904/1000000</f>
        <v>1116.309904</v>
      </c>
      <c r="F51" s="438">
        <f>E51*0.89</f>
        <v>993.51581455999997</v>
      </c>
      <c r="G51" s="85"/>
      <c r="H51" s="86">
        <f>(E51-F51)/E51</f>
        <v>0.11</v>
      </c>
      <c r="I51" s="83">
        <v>0</v>
      </c>
      <c r="J51" s="569">
        <f>406.302+9.143+129.027+63.553+115.145+357.062+138.71+145.229+43.043+77.996+41.3+34.01+71.3+4.338-50</f>
        <v>1586.1579999999999</v>
      </c>
      <c r="K51" s="83">
        <v>0</v>
      </c>
      <c r="L51" s="83">
        <v>1560.52</v>
      </c>
      <c r="M51" s="87">
        <v>0</v>
      </c>
      <c r="N51" s="444">
        <v>1</v>
      </c>
      <c r="O51" s="469">
        <f t="shared" si="12"/>
        <v>0.89</v>
      </c>
      <c r="P51" s="354">
        <f t="shared" si="5"/>
        <v>1411.6806199999999</v>
      </c>
      <c r="R51" s="338">
        <v>1485.21</v>
      </c>
      <c r="S51" s="496">
        <f t="shared" si="11"/>
        <v>100.94799999999987</v>
      </c>
    </row>
    <row r="52" spans="1:19" ht="23.25" customHeight="1" x14ac:dyDescent="0.25">
      <c r="A52" s="80">
        <f t="shared" ref="A52:A72" si="13">A51+1</f>
        <v>7</v>
      </c>
      <c r="B52" s="81"/>
      <c r="C52" s="82" t="s">
        <v>519</v>
      </c>
      <c r="D52" s="82" t="s">
        <v>178</v>
      </c>
      <c r="E52" s="400"/>
      <c r="F52" s="400"/>
      <c r="G52" s="85"/>
      <c r="H52" s="86"/>
      <c r="I52" s="83">
        <v>0</v>
      </c>
      <c r="J52" s="83">
        <f>0.424+11.003-11.427</f>
        <v>0</v>
      </c>
      <c r="K52" s="83">
        <v>0</v>
      </c>
      <c r="L52" s="83">
        <f>0.424+11.003-11.427</f>
        <v>0</v>
      </c>
      <c r="M52" s="87">
        <v>0</v>
      </c>
      <c r="N52" s="444">
        <v>1</v>
      </c>
      <c r="O52" s="469">
        <f t="shared" si="12"/>
        <v>1</v>
      </c>
      <c r="P52" s="354">
        <f t="shared" si="5"/>
        <v>0</v>
      </c>
      <c r="R52" s="338">
        <v>0</v>
      </c>
      <c r="S52" s="496">
        <f t="shared" si="11"/>
        <v>0</v>
      </c>
    </row>
    <row r="53" spans="1:19" ht="23.25" customHeight="1" x14ac:dyDescent="0.25">
      <c r="A53" s="80">
        <f>A52+1</f>
        <v>8</v>
      </c>
      <c r="B53" s="81" t="s">
        <v>545</v>
      </c>
      <c r="C53" s="82" t="s">
        <v>179</v>
      </c>
      <c r="D53" s="94" t="s">
        <v>180</v>
      </c>
      <c r="E53" s="400">
        <f>119699574/1000000</f>
        <v>119.699574</v>
      </c>
      <c r="F53" s="93">
        <f>E53*0.9</f>
        <v>107.7296166</v>
      </c>
      <c r="G53" s="95"/>
      <c r="H53" s="86">
        <f t="shared" ref="H53:H59" si="14">(E53-F53)/E53</f>
        <v>9.9999999999999992E-2</v>
      </c>
      <c r="I53" s="83">
        <v>0</v>
      </c>
      <c r="J53" s="605">
        <f>80+52.762+2.218+27.266+24.264-26.54+0.59+0.52+0.173+6.986</f>
        <v>168.239</v>
      </c>
      <c r="K53" s="83">
        <v>0</v>
      </c>
      <c r="L53" s="400">
        <v>161.08000000000001</v>
      </c>
      <c r="M53" s="87">
        <v>0</v>
      </c>
      <c r="N53" s="444">
        <v>1</v>
      </c>
      <c r="O53" s="469">
        <f t="shared" si="12"/>
        <v>0.9</v>
      </c>
      <c r="P53" s="354">
        <f t="shared" si="5"/>
        <v>151.4151</v>
      </c>
      <c r="R53" s="338">
        <v>186.51</v>
      </c>
      <c r="S53" s="496">
        <f t="shared" si="11"/>
        <v>-18.270999999999987</v>
      </c>
    </row>
    <row r="54" spans="1:19" ht="23.25" customHeight="1" x14ac:dyDescent="0.25">
      <c r="A54" s="80">
        <f t="shared" si="13"/>
        <v>9</v>
      </c>
      <c r="B54" s="81" t="s">
        <v>641</v>
      </c>
      <c r="C54" s="82" t="s">
        <v>181</v>
      </c>
      <c r="D54" s="82" t="s">
        <v>182</v>
      </c>
      <c r="E54" s="400">
        <v>277.64999999999998</v>
      </c>
      <c r="F54" s="93">
        <f>E54*90%</f>
        <v>249.88499999999999</v>
      </c>
      <c r="G54" s="95"/>
      <c r="H54" s="439">
        <f t="shared" si="14"/>
        <v>9.9999999999999964E-2</v>
      </c>
      <c r="I54" s="83">
        <v>0</v>
      </c>
      <c r="J54" s="605">
        <f>59.368+37.062+63.17+58.516+34.287-42.403+7.465+1.798+1.567+6.124+7.886+3.722+12.306+0.63387</f>
        <v>251.50187000000005</v>
      </c>
      <c r="K54" s="83">
        <v>0</v>
      </c>
      <c r="L54" s="400">
        <f>219.263+15</f>
        <v>234.26300000000001</v>
      </c>
      <c r="M54" s="87">
        <v>0</v>
      </c>
      <c r="N54" s="444">
        <v>1</v>
      </c>
      <c r="O54" s="469">
        <f t="shared" si="12"/>
        <v>0.9</v>
      </c>
      <c r="P54" s="354">
        <f t="shared" si="5"/>
        <v>226.35168300000007</v>
      </c>
      <c r="R54" s="338">
        <v>217.46500000000003</v>
      </c>
      <c r="S54" s="496">
        <f t="shared" si="11"/>
        <v>34.036870000000022</v>
      </c>
    </row>
    <row r="55" spans="1:19" ht="23.25" customHeight="1" x14ac:dyDescent="0.25">
      <c r="A55" s="80">
        <f t="shared" si="13"/>
        <v>10</v>
      </c>
      <c r="B55" s="81" t="s">
        <v>642</v>
      </c>
      <c r="C55" s="82" t="s">
        <v>183</v>
      </c>
      <c r="D55" s="82" t="s">
        <v>182</v>
      </c>
      <c r="E55" s="440">
        <f>319929941.19/1000000</f>
        <v>319.92994119000002</v>
      </c>
      <c r="F55" s="400">
        <f>287936947.071/1000000</f>
        <v>287.93694707099996</v>
      </c>
      <c r="G55" s="95"/>
      <c r="H55" s="439">
        <f t="shared" si="14"/>
        <v>0.10000000000000017</v>
      </c>
      <c r="I55" s="83">
        <v>0</v>
      </c>
      <c r="J55" s="605">
        <f>38.947+56.302+255.63+12.042+13.362+12.374+3.253+4.139+0.753545</f>
        <v>396.80254500000001</v>
      </c>
      <c r="K55" s="83">
        <v>0</v>
      </c>
      <c r="L55" s="400">
        <v>396.04899999999998</v>
      </c>
      <c r="M55" s="87">
        <v>0</v>
      </c>
      <c r="N55" s="444">
        <v>1</v>
      </c>
      <c r="O55" s="469">
        <f t="shared" si="12"/>
        <v>0.8999999999999998</v>
      </c>
      <c r="P55" s="354">
        <f t="shared" si="5"/>
        <v>357.12229049999991</v>
      </c>
      <c r="R55" s="338">
        <v>388.65700000000004</v>
      </c>
      <c r="S55" s="496">
        <f t="shared" si="11"/>
        <v>8.1455449999999701</v>
      </c>
    </row>
    <row r="56" spans="1:19" ht="23.25" customHeight="1" x14ac:dyDescent="0.25">
      <c r="A56" s="80">
        <f t="shared" si="13"/>
        <v>11</v>
      </c>
      <c r="B56" s="81" t="s">
        <v>704</v>
      </c>
      <c r="C56" s="82" t="s">
        <v>175</v>
      </c>
      <c r="D56" s="82" t="s">
        <v>182</v>
      </c>
      <c r="E56" s="441">
        <f>510064531.11/1000000</f>
        <v>510.06453111000002</v>
      </c>
      <c r="F56" s="400">
        <f>459058077.999/1000000</f>
        <v>459.05807799900003</v>
      </c>
      <c r="G56" s="95"/>
      <c r="H56" s="439">
        <f t="shared" si="14"/>
        <v>9.9999999999999964E-2</v>
      </c>
      <c r="I56" s="83">
        <v>0</v>
      </c>
      <c r="J56" s="605">
        <f>270+80.513+1+211.956+9.713+3.229+43.385+2.944+2.324+0.788</f>
        <v>625.85199999999998</v>
      </c>
      <c r="K56" s="83">
        <v>0</v>
      </c>
      <c r="L56" s="400">
        <f>625.064-32+1.415-0.07+0.003</f>
        <v>594.41199999999992</v>
      </c>
      <c r="M56" s="87">
        <v>0</v>
      </c>
      <c r="N56" s="444">
        <v>1</v>
      </c>
      <c r="O56" s="469">
        <f t="shared" si="12"/>
        <v>0.9</v>
      </c>
      <c r="P56" s="354">
        <f t="shared" si="5"/>
        <v>563.26679999999999</v>
      </c>
      <c r="Q56" s="504" t="e">
        <f>#REF!</f>
        <v>#REF!</v>
      </c>
      <c r="R56" s="338">
        <v>619.79600000000005</v>
      </c>
      <c r="S56" s="496">
        <f t="shared" si="11"/>
        <v>6.0559999999999263</v>
      </c>
    </row>
    <row r="57" spans="1:19" ht="23.25" customHeight="1" x14ac:dyDescent="0.25">
      <c r="A57" s="80">
        <f t="shared" si="13"/>
        <v>12</v>
      </c>
      <c r="B57" s="81" t="s">
        <v>644</v>
      </c>
      <c r="C57" s="82" t="s">
        <v>520</v>
      </c>
      <c r="D57" s="82" t="s">
        <v>182</v>
      </c>
      <c r="E57" s="400">
        <f>309935240/1000000</f>
        <v>309.93524000000002</v>
      </c>
      <c r="F57" s="93">
        <f>E57*0.9</f>
        <v>278.94171600000004</v>
      </c>
      <c r="G57" s="95"/>
      <c r="H57" s="439">
        <f t="shared" si="14"/>
        <v>9.9999999999999922E-2</v>
      </c>
      <c r="I57" s="83">
        <v>0</v>
      </c>
      <c r="J57" s="605">
        <f>115.997+56.515+46.379+41.421+4.819-6.181+14.89+5.45+2.843+1.104</f>
        <v>283.23700000000002</v>
      </c>
      <c r="K57" s="83">
        <v>0</v>
      </c>
      <c r="L57" s="400">
        <v>279.29000000000002</v>
      </c>
      <c r="M57" s="87">
        <v>0</v>
      </c>
      <c r="N57" s="444">
        <v>1</v>
      </c>
      <c r="O57" s="469">
        <f t="shared" si="12"/>
        <v>0.90000000000000013</v>
      </c>
      <c r="P57" s="354">
        <f t="shared" si="5"/>
        <v>254.91330000000005</v>
      </c>
      <c r="R57" s="338">
        <v>265.13100000000003</v>
      </c>
      <c r="S57" s="496">
        <f t="shared" si="11"/>
        <v>18.105999999999995</v>
      </c>
    </row>
    <row r="58" spans="1:19" ht="23.25" customHeight="1" x14ac:dyDescent="0.25">
      <c r="A58" s="80">
        <f t="shared" si="13"/>
        <v>13</v>
      </c>
      <c r="B58" s="81" t="s">
        <v>766</v>
      </c>
      <c r="C58" s="82" t="s">
        <v>179</v>
      </c>
      <c r="D58" s="82" t="s">
        <v>182</v>
      </c>
      <c r="E58" s="400">
        <f>510064531.11/1000000</f>
        <v>510.06453111000002</v>
      </c>
      <c r="F58" s="440">
        <f>459058077.999/1000000</f>
        <v>459.05807799900003</v>
      </c>
      <c r="G58" s="95"/>
      <c r="H58" s="439">
        <f t="shared" si="14"/>
        <v>9.9999999999999964E-2</v>
      </c>
      <c r="I58" s="83">
        <f>514.928-513.13</f>
        <v>1.7980000000000018</v>
      </c>
      <c r="J58" s="605">
        <f>78.945+58.081+227.754-2.221+0.111-0.005+9.867+19.028+6.09+78.73+36.526-8.478+7.93+0.772+1.798</f>
        <v>514.928</v>
      </c>
      <c r="K58" s="83">
        <v>1.798</v>
      </c>
      <c r="L58" s="400">
        <f>476.38-20</f>
        <v>456.38</v>
      </c>
      <c r="M58" s="87">
        <v>0</v>
      </c>
      <c r="N58" s="444">
        <v>1</v>
      </c>
      <c r="O58" s="469">
        <f t="shared" si="12"/>
        <v>0.9</v>
      </c>
      <c r="P58" s="354">
        <f t="shared" si="5"/>
        <v>463.43520000000001</v>
      </c>
      <c r="R58" s="338">
        <v>391.56</v>
      </c>
      <c r="S58" s="496">
        <f t="shared" si="11"/>
        <v>123.36799999999999</v>
      </c>
    </row>
    <row r="59" spans="1:19" ht="35.25" customHeight="1" x14ac:dyDescent="0.25">
      <c r="A59" s="80">
        <f t="shared" si="13"/>
        <v>14</v>
      </c>
      <c r="B59" s="81" t="s">
        <v>643</v>
      </c>
      <c r="C59" s="82" t="s">
        <v>520</v>
      </c>
      <c r="D59" s="82" t="s">
        <v>172</v>
      </c>
      <c r="E59" s="484">
        <v>342.39699999999999</v>
      </c>
      <c r="F59" s="440">
        <v>287.61399999999998</v>
      </c>
      <c r="G59" s="95"/>
      <c r="H59" s="439">
        <f t="shared" si="14"/>
        <v>0.15999848129510486</v>
      </c>
      <c r="I59" s="83">
        <v>0</v>
      </c>
      <c r="J59" s="569">
        <f>53.931+34.96+6.181+5.94+28.758+0.858+9.276+47.814+0.557+5.678</f>
        <v>193.95299999999997</v>
      </c>
      <c r="K59" s="83">
        <v>0</v>
      </c>
      <c r="L59" s="83">
        <v>160.904</v>
      </c>
      <c r="M59" s="87">
        <v>0</v>
      </c>
      <c r="N59" s="444">
        <v>1</v>
      </c>
      <c r="O59" s="469">
        <f t="shared" si="12"/>
        <v>0.84000151870489514</v>
      </c>
      <c r="P59" s="354">
        <f t="shared" si="5"/>
        <v>162.92081455737051</v>
      </c>
      <c r="R59" s="338">
        <v>95.071999999999989</v>
      </c>
      <c r="S59" s="496">
        <f t="shared" si="11"/>
        <v>98.880999999999986</v>
      </c>
    </row>
    <row r="60" spans="1:19" ht="23.25" customHeight="1" x14ac:dyDescent="0.25">
      <c r="A60" s="80">
        <f t="shared" si="13"/>
        <v>15</v>
      </c>
      <c r="B60" s="81" t="s">
        <v>546</v>
      </c>
      <c r="C60" s="82" t="s">
        <v>179</v>
      </c>
      <c r="D60" s="82" t="s">
        <v>172</v>
      </c>
      <c r="E60" s="484">
        <v>119.699</v>
      </c>
      <c r="F60" s="440">
        <v>107.729</v>
      </c>
      <c r="G60" s="95"/>
      <c r="H60" s="439">
        <f t="shared" ref="H60:H69" si="15">(E60-F60)/E60</f>
        <v>0.1000008354288674</v>
      </c>
      <c r="I60" s="83">
        <v>0</v>
      </c>
      <c r="J60" s="569">
        <f>13.073+52.511+8.905+10+17.774+10.868+17.219-44.45+22.847+7.032</f>
        <v>115.77899999999998</v>
      </c>
      <c r="K60" s="83">
        <v>0</v>
      </c>
      <c r="L60" s="83">
        <v>105.15</v>
      </c>
      <c r="M60" s="83">
        <v>0</v>
      </c>
      <c r="N60" s="444">
        <v>1</v>
      </c>
      <c r="O60" s="469">
        <f t="shared" si="12"/>
        <v>0.8999991645711326</v>
      </c>
      <c r="P60" s="354">
        <f t="shared" si="5"/>
        <v>104.20100327488115</v>
      </c>
      <c r="R60" s="338">
        <v>113.131</v>
      </c>
      <c r="S60" s="496">
        <f t="shared" si="11"/>
        <v>2.6479999999999819</v>
      </c>
    </row>
    <row r="61" spans="1:19" ht="23.25" customHeight="1" x14ac:dyDescent="0.25">
      <c r="A61" s="80">
        <f t="shared" si="13"/>
        <v>16</v>
      </c>
      <c r="B61" s="81" t="s">
        <v>716</v>
      </c>
      <c r="C61" s="82" t="s">
        <v>717</v>
      </c>
      <c r="D61" s="82" t="s">
        <v>172</v>
      </c>
      <c r="E61" s="484">
        <v>166.82</v>
      </c>
      <c r="F61" s="440">
        <v>140.13</v>
      </c>
      <c r="G61" s="95"/>
      <c r="H61" s="439">
        <f t="shared" si="15"/>
        <v>0.15999280661791151</v>
      </c>
      <c r="I61" s="83">
        <v>0</v>
      </c>
      <c r="J61" s="569">
        <f>21.655+43.76+11.295+3.39</f>
        <v>80.099999999999994</v>
      </c>
      <c r="K61" s="83">
        <v>0</v>
      </c>
      <c r="L61" s="83">
        <f>76.71-3-2</f>
        <v>71.709999999999994</v>
      </c>
      <c r="M61" s="83">
        <v>0</v>
      </c>
      <c r="N61" s="444">
        <v>1</v>
      </c>
      <c r="O61" s="469">
        <f t="shared" si="12"/>
        <v>0.84000719338208851</v>
      </c>
      <c r="P61" s="354">
        <f t="shared" si="5"/>
        <v>67.28457618990528</v>
      </c>
      <c r="S61" s="496"/>
    </row>
    <row r="62" spans="1:19" ht="23.25" customHeight="1" x14ac:dyDescent="0.25">
      <c r="A62" s="80">
        <f t="shared" si="13"/>
        <v>17</v>
      </c>
      <c r="B62" s="81" t="s">
        <v>658</v>
      </c>
      <c r="C62" s="82" t="s">
        <v>181</v>
      </c>
      <c r="D62" s="82" t="s">
        <v>172</v>
      </c>
      <c r="E62" s="442">
        <f>510064531.11/1000000</f>
        <v>510.06453111000002</v>
      </c>
      <c r="F62" s="443">
        <v>428.45460000000003</v>
      </c>
      <c r="G62" s="95"/>
      <c r="H62" s="439">
        <f t="shared" si="15"/>
        <v>0.15999922780829484</v>
      </c>
      <c r="I62" s="83">
        <v>0</v>
      </c>
      <c r="J62" s="569">
        <f>12.996+37.004+9.89+36.603+8.115+0.202+6.93+4.93+17.579+32.648+4.179+2.664</f>
        <v>173.73999999999998</v>
      </c>
      <c r="K62" s="83">
        <v>0</v>
      </c>
      <c r="L62" s="400">
        <v>165.89</v>
      </c>
      <c r="M62" s="83">
        <v>0</v>
      </c>
      <c r="N62" s="444">
        <v>1</v>
      </c>
      <c r="O62" s="469">
        <f t="shared" si="12"/>
        <v>0.8400007721917051</v>
      </c>
      <c r="P62" s="354">
        <f t="shared" si="5"/>
        <v>145.94173416058683</v>
      </c>
      <c r="R62" s="338">
        <v>104.60799999999999</v>
      </c>
      <c r="S62" s="496">
        <f t="shared" si="11"/>
        <v>69.131999999999991</v>
      </c>
    </row>
    <row r="63" spans="1:19" ht="23.25" customHeight="1" x14ac:dyDescent="0.25">
      <c r="A63" s="80">
        <f t="shared" si="13"/>
        <v>18</v>
      </c>
      <c r="B63" s="81" t="s">
        <v>659</v>
      </c>
      <c r="C63" s="82" t="s">
        <v>183</v>
      </c>
      <c r="D63" s="82" t="s">
        <v>172</v>
      </c>
      <c r="E63" s="484">
        <v>210.714</v>
      </c>
      <c r="F63" s="440">
        <v>177</v>
      </c>
      <c r="G63" s="95"/>
      <c r="H63" s="439">
        <f>(E63-F63)/E63</f>
        <v>0.15999886101540475</v>
      </c>
      <c r="I63" s="83">
        <v>0</v>
      </c>
      <c r="J63" s="569">
        <f>10.693+40.222+10.24+2.771+17.694+1.25+23.165+29.915-2.124+5.049</f>
        <v>138.875</v>
      </c>
      <c r="K63" s="83">
        <v>0</v>
      </c>
      <c r="L63" s="83">
        <f>106.035-2-3+20</f>
        <v>121.035</v>
      </c>
      <c r="M63" s="83">
        <v>0</v>
      </c>
      <c r="N63" s="444">
        <v>1</v>
      </c>
      <c r="O63" s="469">
        <f t="shared" si="12"/>
        <v>0.84000113898459527</v>
      </c>
      <c r="P63" s="354">
        <f t="shared" si="5"/>
        <v>116.65515817648567</v>
      </c>
      <c r="R63" s="338">
        <v>81.62</v>
      </c>
      <c r="S63" s="496">
        <f t="shared" si="11"/>
        <v>57.254999999999995</v>
      </c>
    </row>
    <row r="64" spans="1:19" ht="23.25" customHeight="1" x14ac:dyDescent="0.25">
      <c r="A64" s="80">
        <f t="shared" si="13"/>
        <v>19</v>
      </c>
      <c r="B64" s="81" t="s">
        <v>660</v>
      </c>
      <c r="C64" s="82" t="s">
        <v>175</v>
      </c>
      <c r="D64" s="82" t="s">
        <v>172</v>
      </c>
      <c r="E64" s="484">
        <v>200.839</v>
      </c>
      <c r="F64" s="440">
        <v>168.70500000000001</v>
      </c>
      <c r="G64" s="95"/>
      <c r="H64" s="439">
        <f t="shared" si="15"/>
        <v>0.15999880501297051</v>
      </c>
      <c r="I64" s="83">
        <v>0</v>
      </c>
      <c r="J64" s="569">
        <f>16.071+93.605+10.8+139.73-176.952+6.253+2.063+3.68+4+14.869-2.472</f>
        <v>111.64700000000003</v>
      </c>
      <c r="K64" s="83">
        <v>0</v>
      </c>
      <c r="L64" s="83">
        <f>99.25-2</f>
        <v>97.25</v>
      </c>
      <c r="M64" s="83">
        <v>0</v>
      </c>
      <c r="N64" s="444">
        <v>1</v>
      </c>
      <c r="O64" s="469">
        <f t="shared" si="12"/>
        <v>0.84000119498702952</v>
      </c>
      <c r="P64" s="354">
        <f>+J64*O64</f>
        <v>93.783613416716918</v>
      </c>
      <c r="R64" s="338">
        <v>89.507000000000019</v>
      </c>
      <c r="S64" s="496">
        <f t="shared" si="11"/>
        <v>22.140000000000015</v>
      </c>
    </row>
    <row r="65" spans="1:19" ht="30.75" customHeight="1" x14ac:dyDescent="0.25">
      <c r="A65" s="80">
        <f t="shared" si="13"/>
        <v>20</v>
      </c>
      <c r="B65" s="81" t="s">
        <v>774</v>
      </c>
      <c r="C65" s="82" t="s">
        <v>520</v>
      </c>
      <c r="D65" s="82" t="s">
        <v>579</v>
      </c>
      <c r="E65" s="484">
        <f>18.359+17.336</f>
        <v>35.695</v>
      </c>
      <c r="F65" s="440">
        <f>14.32+13.522</f>
        <v>27.841999999999999</v>
      </c>
      <c r="G65" s="95"/>
      <c r="H65" s="439">
        <f t="shared" si="15"/>
        <v>0.22000280151281695</v>
      </c>
      <c r="I65" s="83">
        <v>0</v>
      </c>
      <c r="J65" s="569">
        <f>16.05+10.05+1.657-11.944+6.776</f>
        <v>22.588999999999999</v>
      </c>
      <c r="K65" s="83">
        <v>0</v>
      </c>
      <c r="L65" s="83">
        <v>15.813000000000001</v>
      </c>
      <c r="M65" s="83">
        <v>0</v>
      </c>
      <c r="N65" s="444">
        <v>1</v>
      </c>
      <c r="O65" s="469">
        <f t="shared" si="12"/>
        <v>0.77999719848718307</v>
      </c>
      <c r="P65" s="354">
        <f t="shared" si="5"/>
        <v>17.619356716626978</v>
      </c>
      <c r="R65" s="338">
        <v>26.1</v>
      </c>
      <c r="S65" s="496">
        <f t="shared" si="11"/>
        <v>-3.5110000000000028</v>
      </c>
    </row>
    <row r="66" spans="1:19" ht="30.75" customHeight="1" x14ac:dyDescent="0.25">
      <c r="A66" s="80">
        <f t="shared" si="13"/>
        <v>21</v>
      </c>
      <c r="B66" s="81" t="s">
        <v>773</v>
      </c>
      <c r="C66" s="82" t="s">
        <v>520</v>
      </c>
      <c r="D66" s="82" t="s">
        <v>775</v>
      </c>
      <c r="E66" s="484">
        <v>8.9570000000000007</v>
      </c>
      <c r="F66" s="440">
        <v>6.718</v>
      </c>
      <c r="G66" s="95"/>
      <c r="H66" s="439">
        <f>(E66-F66)/E66</f>
        <v>0.24997208886904104</v>
      </c>
      <c r="I66" s="83">
        <v>0</v>
      </c>
      <c r="J66" s="569">
        <f>1.493+11.943</f>
        <v>13.436</v>
      </c>
      <c r="K66" s="83">
        <v>0</v>
      </c>
      <c r="L66" s="83">
        <v>11.943</v>
      </c>
      <c r="M66" s="83">
        <v>0</v>
      </c>
      <c r="N66" s="444">
        <v>1</v>
      </c>
      <c r="O66" s="469">
        <f t="shared" si="12"/>
        <v>0.7500279111309589</v>
      </c>
      <c r="P66" s="354">
        <f t="shared" si="5"/>
        <v>10.077375013955564</v>
      </c>
      <c r="S66" s="496"/>
    </row>
    <row r="67" spans="1:19" ht="23.25" customHeight="1" x14ac:dyDescent="0.25">
      <c r="A67" s="80">
        <f t="shared" si="13"/>
        <v>22</v>
      </c>
      <c r="B67" s="81" t="s">
        <v>645</v>
      </c>
      <c r="C67" s="82" t="s">
        <v>580</v>
      </c>
      <c r="D67" s="82" t="s">
        <v>581</v>
      </c>
      <c r="E67" s="484">
        <v>201.62100000000001</v>
      </c>
      <c r="F67" s="492">
        <v>161.87</v>
      </c>
      <c r="G67" s="95"/>
      <c r="H67" s="439">
        <f t="shared" si="15"/>
        <v>0.19715704217318633</v>
      </c>
      <c r="I67" s="83">
        <f>132.258-131.269</f>
        <v>0.98900000000000432</v>
      </c>
      <c r="J67" s="569">
        <f>8.101+2.47-4.115+18.559+8.195+3.1+5.113+43.73+14.702+31.414+0.989</f>
        <v>132.25800000000001</v>
      </c>
      <c r="K67" s="83">
        <v>0.98899999999999999</v>
      </c>
      <c r="L67" s="83">
        <v>90.423000000000002</v>
      </c>
      <c r="M67" s="83">
        <v>0</v>
      </c>
      <c r="N67" s="444">
        <v>1</v>
      </c>
      <c r="O67" s="469">
        <f t="shared" si="12"/>
        <v>0.8028429578268137</v>
      </c>
      <c r="P67" s="354">
        <f t="shared" si="5"/>
        <v>106.18240391625874</v>
      </c>
      <c r="R67" s="338">
        <v>25.015000000000001</v>
      </c>
      <c r="S67" s="496">
        <f t="shared" si="11"/>
        <v>107.24300000000001</v>
      </c>
    </row>
    <row r="68" spans="1:19" ht="23.25" customHeight="1" x14ac:dyDescent="0.25">
      <c r="A68" s="80">
        <f t="shared" si="13"/>
        <v>23</v>
      </c>
      <c r="B68" s="81" t="s">
        <v>666</v>
      </c>
      <c r="C68" s="82" t="s">
        <v>667</v>
      </c>
      <c r="D68" s="82" t="s">
        <v>172</v>
      </c>
      <c r="E68" s="484">
        <v>75.912999999999997</v>
      </c>
      <c r="F68" s="492">
        <v>63.77</v>
      </c>
      <c r="G68" s="95"/>
      <c r="H68" s="439">
        <f t="shared" si="15"/>
        <v>0.15995942723907625</v>
      </c>
      <c r="I68" s="83">
        <v>0</v>
      </c>
      <c r="J68" s="569">
        <f>3.129+22.711+15.508+0.075</f>
        <v>41.423000000000002</v>
      </c>
      <c r="K68" s="83">
        <v>0</v>
      </c>
      <c r="L68" s="83">
        <f>41.348-4</f>
        <v>37.347999999999999</v>
      </c>
      <c r="M68" s="83">
        <v>0</v>
      </c>
      <c r="N68" s="444">
        <v>1</v>
      </c>
      <c r="O68" s="469">
        <f t="shared" ref="O68:O71" si="16">+N68-H68</f>
        <v>0.8400405727609237</v>
      </c>
      <c r="P68" s="354">
        <f t="shared" ref="P68:P72" si="17">+J68*O68</f>
        <v>34.797000645475741</v>
      </c>
      <c r="R68" s="338">
        <v>22.710999999999999</v>
      </c>
      <c r="S68" s="496">
        <f t="shared" si="11"/>
        <v>18.712000000000003</v>
      </c>
    </row>
    <row r="69" spans="1:19" ht="23.25" customHeight="1" x14ac:dyDescent="0.25">
      <c r="A69" s="80">
        <f t="shared" si="13"/>
        <v>24</v>
      </c>
      <c r="B69" s="81" t="s">
        <v>539</v>
      </c>
      <c r="C69" s="82" t="s">
        <v>668</v>
      </c>
      <c r="D69" s="82" t="s">
        <v>581</v>
      </c>
      <c r="E69" s="400">
        <v>104.7</v>
      </c>
      <c r="F69" s="492">
        <v>83.76</v>
      </c>
      <c r="G69" s="95"/>
      <c r="H69" s="439">
        <f t="shared" si="15"/>
        <v>0.19999999999999998</v>
      </c>
      <c r="I69" s="83">
        <v>0</v>
      </c>
      <c r="J69" s="569">
        <f>1.777+28.063+23.521+14.157+33.634</f>
        <v>101.152</v>
      </c>
      <c r="K69" s="83">
        <v>0</v>
      </c>
      <c r="L69" s="400">
        <v>50.52</v>
      </c>
      <c r="M69" s="400">
        <v>0</v>
      </c>
      <c r="N69" s="444">
        <v>1</v>
      </c>
      <c r="O69" s="469">
        <f t="shared" si="16"/>
        <v>0.8</v>
      </c>
      <c r="P69" s="354">
        <f t="shared" si="17"/>
        <v>80.921600000000012</v>
      </c>
      <c r="R69" s="338">
        <v>28.062999999999999</v>
      </c>
      <c r="S69" s="496">
        <f t="shared" si="11"/>
        <v>73.088999999999999</v>
      </c>
    </row>
    <row r="70" spans="1:19" ht="32.450000000000003" customHeight="1" x14ac:dyDescent="0.25">
      <c r="A70" s="80">
        <f t="shared" si="13"/>
        <v>25</v>
      </c>
      <c r="B70" s="81" t="s">
        <v>777</v>
      </c>
      <c r="C70" s="82" t="s">
        <v>778</v>
      </c>
      <c r="D70" s="82" t="s">
        <v>779</v>
      </c>
      <c r="E70" s="400"/>
      <c r="F70" s="492"/>
      <c r="G70" s="95"/>
      <c r="H70" s="439">
        <v>0.15</v>
      </c>
      <c r="I70" s="83">
        <f>65.008-44.02</f>
        <v>20.987999999999992</v>
      </c>
      <c r="J70" s="569">
        <f>9.557+34.463+20.988+5.513-0.276+0.014-0.001</f>
        <v>70.25800000000001</v>
      </c>
      <c r="K70" s="83">
        <f>20.988</f>
        <v>20.988</v>
      </c>
      <c r="L70" s="83">
        <v>35.78</v>
      </c>
      <c r="M70" s="83">
        <v>0</v>
      </c>
      <c r="N70" s="444">
        <v>1</v>
      </c>
      <c r="O70" s="469">
        <f t="shared" si="16"/>
        <v>0.85</v>
      </c>
      <c r="P70" s="354">
        <f>+J70*O70</f>
        <v>59.719300000000004</v>
      </c>
    </row>
    <row r="71" spans="1:19" ht="23.25" customHeight="1" x14ac:dyDescent="0.25">
      <c r="A71" s="80">
        <f t="shared" si="13"/>
        <v>26</v>
      </c>
      <c r="B71" s="81" t="s">
        <v>767</v>
      </c>
      <c r="C71" s="82" t="s">
        <v>768</v>
      </c>
      <c r="D71" s="82" t="s">
        <v>769</v>
      </c>
      <c r="E71" s="400">
        <v>13.836</v>
      </c>
      <c r="F71" s="492">
        <v>12.037000000000001</v>
      </c>
      <c r="G71" s="95"/>
      <c r="H71" s="439">
        <f>(E71-F71)/E71</f>
        <v>0.13002312807169697</v>
      </c>
      <c r="I71" s="83">
        <v>0</v>
      </c>
      <c r="J71" s="569">
        <f>1.907+11.929+0.085</f>
        <v>13.921000000000001</v>
      </c>
      <c r="K71" s="83">
        <v>0</v>
      </c>
      <c r="L71" s="400">
        <v>13.836</v>
      </c>
      <c r="M71" s="87">
        <v>0</v>
      </c>
      <c r="N71" s="444">
        <v>1</v>
      </c>
      <c r="O71" s="469">
        <f t="shared" si="16"/>
        <v>0.86997687192830297</v>
      </c>
      <c r="P71" s="354">
        <f t="shared" si="17"/>
        <v>12.110948034113907</v>
      </c>
    </row>
    <row r="72" spans="1:19" ht="26.45" customHeight="1" x14ac:dyDescent="0.25">
      <c r="A72" s="80">
        <f t="shared" si="13"/>
        <v>27</v>
      </c>
      <c r="B72" s="81" t="s">
        <v>750</v>
      </c>
      <c r="C72" s="82"/>
      <c r="D72" s="82" t="s">
        <v>780</v>
      </c>
      <c r="E72" s="400"/>
      <c r="F72" s="440"/>
      <c r="G72" s="95"/>
      <c r="H72" s="439">
        <v>1</v>
      </c>
      <c r="I72" s="83">
        <v>0</v>
      </c>
      <c r="J72" s="605">
        <v>40.311999999999998</v>
      </c>
      <c r="K72" s="83">
        <v>0</v>
      </c>
      <c r="L72" s="400">
        <v>3.1859999999999999</v>
      </c>
      <c r="M72" s="87">
        <v>0</v>
      </c>
      <c r="N72" s="444">
        <v>1</v>
      </c>
      <c r="O72" s="469">
        <v>0.85</v>
      </c>
      <c r="P72" s="354">
        <f t="shared" si="17"/>
        <v>34.2652</v>
      </c>
    </row>
    <row r="73" spans="1:19" x14ac:dyDescent="0.25">
      <c r="A73" s="768" t="s">
        <v>184</v>
      </c>
      <c r="B73" s="768"/>
      <c r="C73" s="768"/>
      <c r="D73" s="427"/>
      <c r="E73" s="96">
        <f>SUM(E46:E72)</f>
        <v>6930.0755399299987</v>
      </c>
      <c r="F73" s="96">
        <f>SUM(F46:G72)</f>
        <v>6014.5224516533999</v>
      </c>
      <c r="G73" s="96"/>
      <c r="H73" s="96"/>
      <c r="I73" s="413">
        <f>SUM(I43:I72)</f>
        <v>38.140999999999998</v>
      </c>
      <c r="J73" s="575">
        <f>SUM(J43:J72)</f>
        <v>6973.7417859999978</v>
      </c>
      <c r="K73" s="413">
        <f>SUM(K43:K72)</f>
        <v>38.141000000000005</v>
      </c>
      <c r="L73" s="413">
        <f>SUM(L43:L72)</f>
        <v>6428.3070000000007</v>
      </c>
      <c r="M73" s="97">
        <f>SUM(M43:M72)</f>
        <v>0</v>
      </c>
      <c r="P73" s="483">
        <f>SUM(P43:P72)</f>
        <v>6066.5984556242784</v>
      </c>
      <c r="R73" s="413">
        <f>SUM(R43:R72)</f>
        <v>5234.4130000000023</v>
      </c>
      <c r="S73" s="413">
        <f>SUM(S43:S72)</f>
        <v>972.8778219999997</v>
      </c>
    </row>
    <row r="74" spans="1:19" x14ac:dyDescent="0.25">
      <c r="A74" s="225"/>
      <c r="B74" s="225"/>
      <c r="C74" s="225"/>
      <c r="D74" s="225"/>
      <c r="E74" s="394"/>
      <c r="F74" s="394"/>
      <c r="G74" s="394"/>
      <c r="H74" s="394"/>
      <c r="I74" s="395"/>
      <c r="J74" s="575">
        <v>6930.350786</v>
      </c>
      <c r="K74" s="413"/>
      <c r="L74" s="413">
        <v>6428.3070000000007</v>
      </c>
      <c r="M74" s="97"/>
      <c r="P74" s="354">
        <v>5801</v>
      </c>
    </row>
    <row r="75" spans="1:19" x14ac:dyDescent="0.25">
      <c r="E75" s="391"/>
      <c r="F75" s="470"/>
      <c r="I75" s="391"/>
      <c r="J75" s="391">
        <f>+J73-J74</f>
        <v>43.390999999997803</v>
      </c>
      <c r="K75" s="391">
        <f t="shared" ref="K75:M75" si="18">+K73-K74</f>
        <v>38.141000000000005</v>
      </c>
      <c r="L75" s="391">
        <f t="shared" si="18"/>
        <v>0</v>
      </c>
      <c r="M75" s="391">
        <f t="shared" si="18"/>
        <v>0</v>
      </c>
      <c r="P75" s="354">
        <f>+P73-P74</f>
        <v>265.59845562427836</v>
      </c>
    </row>
    <row r="76" spans="1:19" x14ac:dyDescent="0.25">
      <c r="F76" s="444"/>
      <c r="J76" s="354"/>
      <c r="K76" s="354"/>
      <c r="L76" s="504"/>
      <c r="M76" s="354"/>
      <c r="P76" s="354">
        <f>+'Anx-E'!M68</f>
        <v>6059.9139203729346</v>
      </c>
      <c r="S76" s="391"/>
    </row>
    <row r="77" spans="1:19" x14ac:dyDescent="0.25">
      <c r="E77" s="354"/>
      <c r="F77" s="354"/>
      <c r="I77" s="355"/>
      <c r="J77" s="446">
        <f>'Anx-A'!P25-'Anx-A'!O25</f>
        <v>2.7426949600339867E-12</v>
      </c>
      <c r="K77" s="504">
        <f>'Anx-A'!D25-'Anx-A'!F25</f>
        <v>0</v>
      </c>
      <c r="L77" s="445"/>
      <c r="M77" s="446"/>
    </row>
    <row r="78" spans="1:19" x14ac:dyDescent="0.25">
      <c r="F78" s="444"/>
      <c r="I78" s="446"/>
      <c r="J78" s="391"/>
      <c r="M78" s="477"/>
    </row>
    <row r="79" spans="1:19" x14ac:dyDescent="0.25">
      <c r="J79" s="391"/>
      <c r="L79" s="446"/>
      <c r="M79" s="446"/>
    </row>
    <row r="80" spans="1:19" x14ac:dyDescent="0.25">
      <c r="L80" s="445"/>
      <c r="M80" s="355"/>
    </row>
    <row r="81" spans="9:12" x14ac:dyDescent="0.25">
      <c r="L81" s="446"/>
    </row>
    <row r="84" spans="9:12" x14ac:dyDescent="0.25">
      <c r="I84" s="447"/>
    </row>
  </sheetData>
  <mergeCells count="15">
    <mergeCell ref="E8:F8"/>
    <mergeCell ref="L8:M8"/>
    <mergeCell ref="A73:C73"/>
    <mergeCell ref="A1:M1"/>
    <mergeCell ref="A3:M3"/>
    <mergeCell ref="A4:M4"/>
    <mergeCell ref="A5:M5"/>
    <mergeCell ref="L6:M6"/>
    <mergeCell ref="A7:A9"/>
    <mergeCell ref="B7:B9"/>
    <mergeCell ref="C7:C9"/>
    <mergeCell ref="D7:D9"/>
    <mergeCell ref="E7:M7"/>
    <mergeCell ref="B45:D45"/>
    <mergeCell ref="B43:D43"/>
  </mergeCells>
  <pageMargins left="0" right="0" top="0" bottom="0" header="0.3" footer="0.3"/>
  <pageSetup scale="55" orientation="landscape" r:id="rId1"/>
  <rowBreaks count="1" manualBreakCount="1">
    <brk id="4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view="pageBreakPreview" topLeftCell="A13" zoomScaleNormal="100" zoomScaleSheetLayoutView="100" workbookViewId="0">
      <selection activeCell="E24" sqref="E24"/>
    </sheetView>
  </sheetViews>
  <sheetFormatPr defaultColWidth="9.140625" defaultRowHeight="15" x14ac:dyDescent="0.25"/>
  <cols>
    <col min="1" max="1" width="11.5703125" style="338" bestFit="1" customWidth="1"/>
    <col min="2" max="2" width="34.28515625" style="338" customWidth="1"/>
    <col min="3" max="5" width="13.5703125" style="338" customWidth="1"/>
    <col min="6" max="7" width="9.5703125" style="338" bestFit="1" customWidth="1"/>
    <col min="8" max="16384" width="9.140625" style="338"/>
  </cols>
  <sheetData>
    <row r="1" spans="1:10" x14ac:dyDescent="0.25">
      <c r="A1" s="782" t="s">
        <v>185</v>
      </c>
      <c r="B1" s="782"/>
      <c r="C1" s="782"/>
      <c r="D1" s="782"/>
      <c r="E1" s="782"/>
    </row>
    <row r="2" spans="1:10" x14ac:dyDescent="0.25">
      <c r="A2" s="565"/>
      <c r="B2" s="565"/>
      <c r="C2" s="565"/>
      <c r="D2" s="565"/>
      <c r="E2" s="565"/>
    </row>
    <row r="3" spans="1:10" ht="15.75" x14ac:dyDescent="0.25">
      <c r="A3" s="783" t="s">
        <v>186</v>
      </c>
      <c r="B3" s="783"/>
      <c r="C3" s="783"/>
      <c r="D3" s="783"/>
      <c r="E3" s="783"/>
    </row>
    <row r="4" spans="1:10" ht="15.75" x14ac:dyDescent="0.25">
      <c r="A4" s="784" t="str">
        <f>'Anx-A'!A3:H3</f>
        <v>Re-Modelling and Up Gradation of ADA Nullah and Walton Road Pkg-I</v>
      </c>
      <c r="B4" s="784"/>
      <c r="C4" s="784"/>
      <c r="D4" s="784"/>
      <c r="E4" s="784"/>
    </row>
    <row r="5" spans="1:10" ht="15.75" thickBot="1" x14ac:dyDescent="0.3">
      <c r="A5" s="785"/>
      <c r="B5" s="785"/>
      <c r="C5" s="785"/>
      <c r="D5" s="785"/>
      <c r="E5" s="785"/>
    </row>
    <row r="6" spans="1:10" ht="16.5" thickTop="1" thickBot="1" x14ac:dyDescent="0.3">
      <c r="A6" s="786" t="s">
        <v>141</v>
      </c>
      <c r="B6" s="787" t="s">
        <v>187</v>
      </c>
      <c r="C6" s="788" t="s">
        <v>188</v>
      </c>
      <c r="D6" s="788"/>
      <c r="E6" s="788"/>
    </row>
    <row r="7" spans="1:10" ht="27" thickTop="1" thickBot="1" x14ac:dyDescent="0.3">
      <c r="A7" s="786"/>
      <c r="B7" s="787"/>
      <c r="C7" s="566" t="s">
        <v>189</v>
      </c>
      <c r="D7" s="566" t="s">
        <v>76</v>
      </c>
      <c r="E7" s="566" t="s">
        <v>77</v>
      </c>
    </row>
    <row r="8" spans="1:10" ht="15.75" thickTop="1" x14ac:dyDescent="0.25">
      <c r="A8" s="778" t="s">
        <v>190</v>
      </c>
      <c r="B8" s="779"/>
      <c r="C8" s="339"/>
      <c r="D8" s="339"/>
      <c r="E8" s="339"/>
    </row>
    <row r="9" spans="1:10" x14ac:dyDescent="0.25">
      <c r="A9" s="340">
        <v>1</v>
      </c>
      <c r="B9" s="341" t="s">
        <v>191</v>
      </c>
      <c r="C9" s="99"/>
      <c r="D9" s="99"/>
      <c r="E9" s="99"/>
    </row>
    <row r="10" spans="1:10" x14ac:dyDescent="0.25">
      <c r="A10" s="340"/>
      <c r="B10" s="104" t="s">
        <v>192</v>
      </c>
      <c r="C10" s="109">
        <v>0</v>
      </c>
      <c r="D10" s="109">
        <v>0.26400000000000001</v>
      </c>
      <c r="E10" s="109">
        <v>0</v>
      </c>
      <c r="G10" s="504"/>
    </row>
    <row r="11" spans="1:10" x14ac:dyDescent="0.25">
      <c r="A11" s="340"/>
      <c r="B11" s="104" t="s">
        <v>193</v>
      </c>
      <c r="C11" s="147">
        <v>0</v>
      </c>
      <c r="D11" s="147">
        <v>2.7</v>
      </c>
      <c r="E11" s="109">
        <v>0</v>
      </c>
      <c r="F11" s="354"/>
      <c r="G11" s="354"/>
      <c r="H11" s="355"/>
      <c r="I11" s="355"/>
      <c r="J11" s="355"/>
    </row>
    <row r="12" spans="1:10" x14ac:dyDescent="0.25">
      <c r="A12" s="340"/>
      <c r="B12" s="104" t="s">
        <v>194</v>
      </c>
      <c r="C12" s="109">
        <f>'Anx-G'!O92/1000000</f>
        <v>-46.712010093649994</v>
      </c>
      <c r="D12" s="109">
        <f>'Anx-G'!R92/1000000</f>
        <v>1610.1822123996001</v>
      </c>
      <c r="E12" s="109">
        <f>+'Anx-G'!T92/1000000</f>
        <v>-46.71200966</v>
      </c>
      <c r="F12" s="354"/>
      <c r="G12" s="354"/>
      <c r="H12" s="355"/>
      <c r="I12" s="355"/>
      <c r="J12" s="355"/>
    </row>
    <row r="13" spans="1:10" ht="25.5" x14ac:dyDescent="0.25">
      <c r="A13" s="340"/>
      <c r="B13" s="104" t="s">
        <v>195</v>
      </c>
      <c r="C13" s="109">
        <v>0</v>
      </c>
      <c r="D13" s="109">
        <f>3.622+4.16162</f>
        <v>7.78362</v>
      </c>
      <c r="E13" s="109">
        <v>0</v>
      </c>
      <c r="F13" s="354"/>
      <c r="G13" s="354"/>
      <c r="H13" s="355"/>
      <c r="I13" s="355"/>
      <c r="J13" s="355"/>
    </row>
    <row r="14" spans="1:10" x14ac:dyDescent="0.25">
      <c r="A14" s="340">
        <v>2</v>
      </c>
      <c r="B14" s="341" t="s">
        <v>146</v>
      </c>
      <c r="C14" s="342"/>
      <c r="D14" s="342"/>
      <c r="E14" s="109">
        <f>+C14</f>
        <v>0</v>
      </c>
      <c r="F14" s="354"/>
      <c r="G14" s="354"/>
      <c r="H14" s="355"/>
      <c r="I14" s="355"/>
      <c r="J14" s="355"/>
    </row>
    <row r="15" spans="1:10" x14ac:dyDescent="0.25">
      <c r="A15" s="567"/>
      <c r="B15" s="104" t="s">
        <v>196</v>
      </c>
      <c r="C15" s="99">
        <f>'Anx-E'!L68</f>
        <v>27.162131582271194</v>
      </c>
      <c r="D15" s="99">
        <f>'Anx-E'!Q68</f>
        <v>5297.3860564059441</v>
      </c>
      <c r="E15" s="109">
        <f>'Anx-E'!V68</f>
        <v>27.162306382271197</v>
      </c>
      <c r="F15" s="354"/>
      <c r="G15" s="354"/>
      <c r="H15" s="355"/>
      <c r="I15" s="355"/>
      <c r="J15" s="355"/>
    </row>
    <row r="16" spans="1:10" x14ac:dyDescent="0.25">
      <c r="A16" s="567"/>
      <c r="B16" s="104" t="s">
        <v>197</v>
      </c>
      <c r="C16" s="99">
        <f>'Anx-E'!I68</f>
        <v>1.5538976877729516</v>
      </c>
      <c r="D16" s="99">
        <f>'Anx-E'!N68</f>
        <v>302.5899460186468</v>
      </c>
      <c r="E16" s="109">
        <f>'Anx-E'!S68</f>
        <v>1.5539076877729519</v>
      </c>
      <c r="F16" s="354"/>
      <c r="G16" s="354"/>
      <c r="H16" s="355"/>
      <c r="I16" s="355"/>
      <c r="J16" s="355"/>
    </row>
    <row r="17" spans="1:12" x14ac:dyDescent="0.25">
      <c r="A17" s="567"/>
      <c r="B17" s="104" t="s">
        <v>198</v>
      </c>
      <c r="C17" s="99">
        <f>'Anx-E'!J68</f>
        <v>2.3619244854148866</v>
      </c>
      <c r="D17" s="99">
        <f>'Anx-E'!O68</f>
        <v>459.937917948343</v>
      </c>
      <c r="E17" s="109">
        <f>'Anx-E'!T68</f>
        <v>2.3619396854148871</v>
      </c>
      <c r="F17" s="354"/>
      <c r="G17" s="504">
        <f>'Anx-A'!T28</f>
        <v>-3.5380000260332167E-4</v>
      </c>
      <c r="H17" s="355"/>
      <c r="I17" s="355"/>
      <c r="J17" s="355"/>
    </row>
    <row r="18" spans="1:12" ht="16.899999999999999" customHeight="1" x14ac:dyDescent="0.25">
      <c r="A18" s="339"/>
      <c r="B18" s="104" t="s">
        <v>573</v>
      </c>
      <c r="C18" s="102">
        <v>0</v>
      </c>
      <c r="D18" s="102">
        <f>27.4+17.6+6.89+10.384+32.848+0.006174</f>
        <v>95.128174000000001</v>
      </c>
      <c r="E18" s="102">
        <v>0</v>
      </c>
      <c r="F18" s="354"/>
      <c r="G18" s="354"/>
      <c r="H18" s="355"/>
      <c r="I18" s="355"/>
      <c r="J18" s="355"/>
    </row>
    <row r="19" spans="1:12" x14ac:dyDescent="0.25">
      <c r="A19" s="343">
        <v>3</v>
      </c>
      <c r="B19" s="344" t="s">
        <v>199</v>
      </c>
      <c r="C19" s="103"/>
      <c r="D19" s="103"/>
      <c r="E19" s="109">
        <f>+C19</f>
        <v>0</v>
      </c>
      <c r="F19" s="354"/>
      <c r="G19" s="354"/>
      <c r="H19" s="355"/>
      <c r="I19" s="355"/>
      <c r="J19" s="355"/>
    </row>
    <row r="20" spans="1:12" x14ac:dyDescent="0.25">
      <c r="A20" s="567"/>
      <c r="B20" s="104" t="s">
        <v>200</v>
      </c>
      <c r="C20" s="99">
        <v>0</v>
      </c>
      <c r="D20" s="99">
        <f>6.031+1.8+5.482+4.531+4.997+2.551+3.25+1.32+1.2+6.3</f>
        <v>37.461999999999996</v>
      </c>
      <c r="E20" s="109">
        <v>0</v>
      </c>
      <c r="F20" s="354"/>
      <c r="G20" s="354"/>
      <c r="H20" s="355"/>
      <c r="I20" s="355"/>
      <c r="J20" s="355"/>
    </row>
    <row r="21" spans="1:12" x14ac:dyDescent="0.25">
      <c r="A21" s="567"/>
      <c r="B21" s="104" t="s">
        <v>686</v>
      </c>
      <c r="C21" s="498">
        <v>0.35</v>
      </c>
      <c r="D21" s="109">
        <f>0.25+3.648+0.638+0.752+0.45+0.389+0.456+0.34+0.56+0.34+0.25+0.36+0.275+0.27+0.17+0.27+0.35</f>
        <v>9.7679999999999989</v>
      </c>
      <c r="E21" s="109">
        <v>0.35</v>
      </c>
      <c r="F21" s="354"/>
      <c r="G21" s="354"/>
      <c r="H21" s="355"/>
      <c r="I21" s="355"/>
      <c r="J21" s="355"/>
    </row>
    <row r="22" spans="1:12" ht="16.149999999999999" customHeight="1" x14ac:dyDescent="0.25">
      <c r="A22" s="567"/>
      <c r="B22" s="104" t="s">
        <v>201</v>
      </c>
      <c r="C22" s="109"/>
      <c r="D22" s="109">
        <v>3.8220000000000001</v>
      </c>
      <c r="E22" s="109">
        <v>0</v>
      </c>
      <c r="F22" s="354"/>
      <c r="G22" s="354"/>
      <c r="H22" s="355"/>
      <c r="I22" s="355"/>
      <c r="J22" s="355"/>
    </row>
    <row r="23" spans="1:12" x14ac:dyDescent="0.25">
      <c r="A23" s="567"/>
      <c r="B23" s="104" t="s">
        <v>708</v>
      </c>
      <c r="C23" s="133">
        <v>0</v>
      </c>
      <c r="D23" s="99">
        <f>7.89-7.89</f>
        <v>0</v>
      </c>
      <c r="E23" s="109">
        <f>+D23</f>
        <v>0</v>
      </c>
      <c r="F23" s="354"/>
      <c r="G23" s="354"/>
      <c r="H23" s="355"/>
      <c r="I23" s="355"/>
      <c r="J23" s="355"/>
    </row>
    <row r="24" spans="1:12" x14ac:dyDescent="0.25">
      <c r="A24" s="132"/>
      <c r="B24" s="568" t="s">
        <v>202</v>
      </c>
      <c r="C24" s="109">
        <f>2.34</f>
        <v>2.34</v>
      </c>
      <c r="D24" s="109">
        <f>5.23+12.337+6.396+6.38+5.389-0.25+4.89+4.65+2.103+11.071+6.939+6.909+3.216+2.77+1.623+2.35+2.78+2.34</f>
        <v>87.12299999999999</v>
      </c>
      <c r="E24" s="109">
        <v>2.34</v>
      </c>
      <c r="F24" s="354"/>
      <c r="G24" s="354"/>
      <c r="H24" s="355"/>
      <c r="I24" s="355"/>
      <c r="J24" s="355"/>
    </row>
    <row r="25" spans="1:12" x14ac:dyDescent="0.25">
      <c r="A25" s="132"/>
      <c r="B25" s="568" t="s">
        <v>203</v>
      </c>
      <c r="C25" s="105">
        <v>0</v>
      </c>
      <c r="D25" s="99">
        <f>+C25</f>
        <v>0</v>
      </c>
      <c r="E25" s="109">
        <f>+C25</f>
        <v>0</v>
      </c>
      <c r="F25" s="354"/>
      <c r="G25" s="354"/>
      <c r="H25" s="355"/>
      <c r="I25" s="355"/>
      <c r="J25" s="355"/>
    </row>
    <row r="26" spans="1:12" x14ac:dyDescent="0.25">
      <c r="A26" s="343">
        <v>4</v>
      </c>
      <c r="B26" s="341" t="s">
        <v>811</v>
      </c>
      <c r="C26" s="106"/>
      <c r="D26" s="99"/>
      <c r="E26" s="109">
        <v>0</v>
      </c>
      <c r="F26" s="354"/>
      <c r="G26" s="354"/>
      <c r="H26" s="355"/>
      <c r="I26" s="355"/>
      <c r="J26" s="355"/>
    </row>
    <row r="27" spans="1:12" ht="25.5" x14ac:dyDescent="0.25">
      <c r="A27" s="567"/>
      <c r="B27" s="104" t="s">
        <v>205</v>
      </c>
      <c r="C27" s="107">
        <v>0</v>
      </c>
      <c r="D27" s="107">
        <f>+C27</f>
        <v>0</v>
      </c>
      <c r="E27" s="107">
        <f>+C27</f>
        <v>0</v>
      </c>
      <c r="F27" s="354"/>
      <c r="G27" s="354"/>
      <c r="H27" s="355"/>
      <c r="I27" s="355"/>
      <c r="J27" s="355"/>
    </row>
    <row r="28" spans="1:12" x14ac:dyDescent="0.25">
      <c r="A28" s="132"/>
      <c r="B28" s="568" t="s">
        <v>206</v>
      </c>
      <c r="C28" s="109">
        <f>0.784+1.11+0.013</f>
        <v>1.907</v>
      </c>
      <c r="D28" s="109">
        <f>1.8+3.846+3.26+2.2+0.786+1.5+2.17+2.9+0.875+2.5+4.4+0.625901+3.9+0.87+0.29+1.8+0.96+1.256+1.5+1.907</f>
        <v>39.345900999999998</v>
      </c>
      <c r="E28" s="109">
        <v>1.907</v>
      </c>
      <c r="F28" s="354"/>
      <c r="G28" s="354"/>
      <c r="H28" s="355"/>
      <c r="I28" s="355"/>
      <c r="J28" s="355"/>
      <c r="L28" s="504"/>
    </row>
    <row r="29" spans="1:12" x14ac:dyDescent="0.25">
      <c r="A29" s="108"/>
      <c r="B29" s="568" t="s">
        <v>810</v>
      </c>
      <c r="C29" s="109">
        <v>0</v>
      </c>
      <c r="D29" s="109">
        <v>6.4039999999999999</v>
      </c>
      <c r="E29" s="109">
        <v>0</v>
      </c>
      <c r="F29" s="354"/>
      <c r="G29" s="354"/>
      <c r="H29" s="355"/>
      <c r="I29" s="355"/>
      <c r="J29" s="355"/>
    </row>
    <row r="30" spans="1:12" x14ac:dyDescent="0.25">
      <c r="A30" s="343">
        <v>5</v>
      </c>
      <c r="B30" s="341" t="s">
        <v>207</v>
      </c>
      <c r="C30" s="99"/>
      <c r="D30" s="99"/>
      <c r="E30" s="109">
        <v>0</v>
      </c>
      <c r="F30" s="354"/>
      <c r="G30" s="354"/>
      <c r="H30" s="355"/>
      <c r="I30" s="355"/>
      <c r="J30" s="355"/>
    </row>
    <row r="31" spans="1:12" ht="25.5" x14ac:dyDescent="0.25">
      <c r="A31" s="567"/>
      <c r="B31" s="104" t="s">
        <v>818</v>
      </c>
      <c r="C31" s="99">
        <v>17.600000000000001</v>
      </c>
      <c r="D31" s="99">
        <f>17.6+2.936</f>
        <v>20.536000000000001</v>
      </c>
      <c r="E31" s="99">
        <v>17.600000000000001</v>
      </c>
      <c r="F31" s="354"/>
      <c r="G31" s="354"/>
      <c r="H31" s="355"/>
      <c r="I31" s="355"/>
      <c r="J31" s="355"/>
    </row>
    <row r="32" spans="1:12" x14ac:dyDescent="0.25">
      <c r="A32" s="567"/>
      <c r="B32" s="568" t="s">
        <v>796</v>
      </c>
      <c r="C32" s="99">
        <v>1.1240000000000001</v>
      </c>
      <c r="D32" s="99">
        <v>1.1240000000000001</v>
      </c>
      <c r="E32" s="99">
        <v>1.1240000000000001</v>
      </c>
      <c r="F32" s="354"/>
      <c r="G32" s="354"/>
      <c r="H32" s="355"/>
      <c r="I32" s="355"/>
      <c r="J32" s="355"/>
    </row>
    <row r="33" spans="1:13" x14ac:dyDescent="0.25">
      <c r="A33" s="567"/>
      <c r="B33" s="568" t="s">
        <v>208</v>
      </c>
      <c r="C33" s="99">
        <v>0</v>
      </c>
      <c r="D33" s="99">
        <v>0</v>
      </c>
      <c r="E33" s="99">
        <v>0</v>
      </c>
      <c r="F33" s="354"/>
      <c r="G33" s="354"/>
      <c r="H33" s="355"/>
      <c r="I33" s="355"/>
      <c r="J33" s="355"/>
    </row>
    <row r="34" spans="1:13" x14ac:dyDescent="0.25">
      <c r="A34" s="567"/>
      <c r="B34" s="104" t="s">
        <v>209</v>
      </c>
      <c r="C34" s="99">
        <f>'Anx-A'!D27*1%</f>
        <v>0.37495499999999998</v>
      </c>
      <c r="D34" s="99">
        <f>'Anx-A'!E27*1%</f>
        <v>97.057892252999977</v>
      </c>
      <c r="E34" s="99">
        <f>'Anx-A'!F27*1%</f>
        <v>0.37495500000000009</v>
      </c>
      <c r="F34" s="354"/>
      <c r="G34" s="354"/>
      <c r="H34" s="355"/>
      <c r="I34" s="355"/>
      <c r="J34" s="355"/>
    </row>
    <row r="35" spans="1:13" x14ac:dyDescent="0.25">
      <c r="A35" s="132"/>
      <c r="B35" s="568" t="s">
        <v>210</v>
      </c>
      <c r="C35" s="99">
        <v>0.21</v>
      </c>
      <c r="D35" s="99">
        <f>0.09+1.305+0.408+0.18+0.18+0.18+0.18+0.18+0.21+0.2+0.69+0.21+0.21+0.22+0.22+0.21</f>
        <v>4.8730000000000002</v>
      </c>
      <c r="E35" s="109">
        <v>0.21</v>
      </c>
      <c r="F35" s="354"/>
      <c r="G35" s="354"/>
      <c r="H35" s="355"/>
      <c r="I35" s="355"/>
      <c r="J35" s="355"/>
    </row>
    <row r="36" spans="1:13" x14ac:dyDescent="0.25">
      <c r="A36" s="345"/>
      <c r="B36" s="568" t="s">
        <v>211</v>
      </c>
      <c r="C36" s="99">
        <v>0</v>
      </c>
      <c r="D36" s="99">
        <f>0.1075+0.25+0.126</f>
        <v>0.48349999999999999</v>
      </c>
      <c r="E36" s="109">
        <v>0</v>
      </c>
      <c r="F36" s="354"/>
      <c r="G36" s="354"/>
      <c r="H36" s="355"/>
      <c r="I36" s="355"/>
      <c r="J36" s="355"/>
    </row>
    <row r="37" spans="1:13" x14ac:dyDescent="0.25">
      <c r="A37" s="345"/>
      <c r="B37" s="568" t="s">
        <v>555</v>
      </c>
      <c r="C37" s="99"/>
      <c r="D37" s="99">
        <f>20-10-10</f>
        <v>0</v>
      </c>
      <c r="E37" s="109">
        <v>0</v>
      </c>
      <c r="F37" s="354"/>
      <c r="G37" s="354"/>
      <c r="H37" s="355"/>
      <c r="I37" s="355"/>
      <c r="J37" s="355"/>
      <c r="M37" s="496"/>
    </row>
    <row r="38" spans="1:13" x14ac:dyDescent="0.25">
      <c r="A38" s="345"/>
      <c r="B38" s="568" t="s">
        <v>805</v>
      </c>
      <c r="C38" s="99">
        <v>0</v>
      </c>
      <c r="D38" s="99">
        <v>33.475999999999999</v>
      </c>
      <c r="E38" s="109">
        <v>0</v>
      </c>
      <c r="F38" s="354"/>
      <c r="G38" s="354"/>
      <c r="H38" s="355"/>
      <c r="I38" s="355"/>
      <c r="J38" s="355"/>
    </row>
    <row r="39" spans="1:13" x14ac:dyDescent="0.25">
      <c r="A39" s="345"/>
      <c r="B39" s="104" t="s">
        <v>212</v>
      </c>
      <c r="C39" s="105">
        <v>0</v>
      </c>
      <c r="D39" s="105">
        <f>+C39</f>
        <v>0</v>
      </c>
      <c r="E39" s="107">
        <f>+C39</f>
        <v>0</v>
      </c>
      <c r="F39" s="354"/>
      <c r="G39" s="354"/>
      <c r="H39" s="355"/>
      <c r="I39" s="355"/>
      <c r="J39" s="355"/>
      <c r="M39" s="504"/>
    </row>
    <row r="40" spans="1:13" x14ac:dyDescent="0.25">
      <c r="A40" s="345"/>
      <c r="B40" s="104" t="s">
        <v>621</v>
      </c>
      <c r="C40" s="99">
        <v>0</v>
      </c>
      <c r="D40" s="99">
        <v>0</v>
      </c>
      <c r="E40" s="109">
        <v>0</v>
      </c>
      <c r="F40" s="354"/>
      <c r="G40" s="354"/>
      <c r="H40" s="355"/>
      <c r="I40" s="355"/>
      <c r="J40" s="355"/>
    </row>
    <row r="41" spans="1:13" x14ac:dyDescent="0.25">
      <c r="A41" s="345"/>
      <c r="B41" s="104" t="s">
        <v>213</v>
      </c>
      <c r="C41" s="99">
        <v>0</v>
      </c>
      <c r="D41" s="99">
        <v>0</v>
      </c>
      <c r="E41" s="109">
        <f>+C41</f>
        <v>0</v>
      </c>
      <c r="F41" s="354"/>
      <c r="G41" s="354"/>
      <c r="H41" s="355"/>
      <c r="I41" s="355"/>
      <c r="J41" s="355"/>
    </row>
    <row r="42" spans="1:13" x14ac:dyDescent="0.25">
      <c r="A42" s="723">
        <f>D42+D43</f>
        <v>462.18043929999988</v>
      </c>
      <c r="B42" s="104" t="s">
        <v>817</v>
      </c>
      <c r="C42" s="99">
        <v>6.4009999999999998</v>
      </c>
      <c r="D42" s="99">
        <f>'Anx-K'!D12</f>
        <v>6.4006500000000006</v>
      </c>
      <c r="E42" s="99">
        <v>6.4009999999999998</v>
      </c>
      <c r="F42" s="354"/>
      <c r="G42" s="354"/>
      <c r="H42" s="355"/>
      <c r="I42" s="355"/>
      <c r="J42" s="355"/>
    </row>
    <row r="43" spans="1:13" x14ac:dyDescent="0.25">
      <c r="A43" s="723">
        <f>'Anx-J'!P33/1000000</f>
        <v>461.91836560000007</v>
      </c>
      <c r="B43" s="104" t="s">
        <v>214</v>
      </c>
      <c r="C43" s="99">
        <f>'Anx-B'!D49+'Anx-B'!D50</f>
        <v>1.7854999999999999</v>
      </c>
      <c r="D43" s="99">
        <f>'Anx-B'!E49+'Anx-B'!E50</f>
        <v>455.77978929999989</v>
      </c>
      <c r="E43" s="99">
        <f>'Anx-B'!F49+'Anx-B'!F50</f>
        <v>1.7855000000000003</v>
      </c>
      <c r="F43" s="354"/>
      <c r="G43" s="354"/>
      <c r="H43" s="355"/>
      <c r="I43" s="355"/>
      <c r="J43" s="355"/>
    </row>
    <row r="44" spans="1:13" ht="15.75" thickBot="1" x14ac:dyDescent="0.3">
      <c r="A44" s="724">
        <f>A42-A43</f>
        <v>0.26207369999980301</v>
      </c>
      <c r="B44" s="347" t="s">
        <v>215</v>
      </c>
      <c r="C44" s="348">
        <f>SUM(C9:C43)</f>
        <v>16.458398661809042</v>
      </c>
      <c r="D44" s="348">
        <f>SUM(D9:D43)</f>
        <v>8579.6276593255334</v>
      </c>
      <c r="E44" s="348">
        <f>SUM(E9:E43)</f>
        <v>16.458599095459039</v>
      </c>
      <c r="F44" s="354"/>
      <c r="G44" s="354"/>
      <c r="H44" s="355"/>
      <c r="I44" s="355"/>
      <c r="J44" s="355"/>
    </row>
    <row r="45" spans="1:13" ht="15.75" thickTop="1" x14ac:dyDescent="0.25">
      <c r="A45" s="780"/>
      <c r="B45" s="781"/>
      <c r="C45" s="349"/>
      <c r="D45" s="350"/>
      <c r="E45" s="351"/>
      <c r="F45" s="354"/>
      <c r="G45" s="354"/>
      <c r="H45" s="355"/>
      <c r="I45" s="355"/>
      <c r="J45" s="355"/>
    </row>
    <row r="46" spans="1:13" x14ac:dyDescent="0.25">
      <c r="A46" s="343">
        <v>1</v>
      </c>
      <c r="B46" s="344" t="s">
        <v>216</v>
      </c>
      <c r="C46" s="349"/>
      <c r="D46" s="349"/>
      <c r="E46" s="351"/>
      <c r="F46" s="354"/>
      <c r="G46" s="354"/>
      <c r="H46" s="355"/>
      <c r="I46" s="355"/>
      <c r="J46" s="355"/>
    </row>
    <row r="47" spans="1:13" x14ac:dyDescent="0.25">
      <c r="A47" s="567"/>
      <c r="B47" s="104" t="s">
        <v>217</v>
      </c>
      <c r="C47" s="111"/>
      <c r="D47" s="111"/>
      <c r="E47" s="111">
        <f>+C47</f>
        <v>0</v>
      </c>
      <c r="F47" s="354"/>
      <c r="G47" s="354"/>
      <c r="H47" s="355"/>
      <c r="I47" s="355"/>
      <c r="J47" s="355"/>
    </row>
    <row r="48" spans="1:13" x14ac:dyDescent="0.25">
      <c r="A48" s="567"/>
      <c r="B48" s="104" t="s">
        <v>564</v>
      </c>
      <c r="C48" s="455">
        <f>2.211-2.171</f>
        <v>4.0000000000000036E-2</v>
      </c>
      <c r="D48" s="111">
        <f>0.197+0.312+0.054+0.047+0.118+0.0987+0.056+0.555+0.01+0.432+0.114+0.121+0.056+0.04</f>
        <v>2.2107000000000001</v>
      </c>
      <c r="E48" s="111">
        <v>0.04</v>
      </c>
      <c r="F48" s="354"/>
      <c r="G48" s="354"/>
      <c r="H48" s="355"/>
      <c r="I48" s="355"/>
      <c r="J48" s="355"/>
    </row>
    <row r="49" spans="1:10" x14ac:dyDescent="0.25">
      <c r="A49" s="567"/>
      <c r="B49" s="104" t="s">
        <v>218</v>
      </c>
      <c r="C49" s="111">
        <v>8.5</v>
      </c>
      <c r="D49" s="111">
        <f>3.396+3.396+0.365+0.257+4.018+4.018+4.018+6.26+10.25+8.9+8.908+10.5+4.5+9.5+6.4+12.569+9.45+5.355+5.89+9+4.89+1.35+7.23+6.5+8.5</f>
        <v>155.41999999999999</v>
      </c>
      <c r="E49" s="111">
        <v>8.5</v>
      </c>
      <c r="F49" s="354"/>
      <c r="G49" s="354"/>
      <c r="H49" s="355"/>
      <c r="I49" s="355"/>
      <c r="J49" s="355"/>
    </row>
    <row r="50" spans="1:10" x14ac:dyDescent="0.25">
      <c r="A50" s="340">
        <v>2</v>
      </c>
      <c r="B50" s="341" t="s">
        <v>219</v>
      </c>
      <c r="C50" s="111"/>
      <c r="D50" s="111"/>
      <c r="E50" s="111">
        <f>+C50</f>
        <v>0</v>
      </c>
      <c r="F50" s="354"/>
      <c r="G50" s="354"/>
      <c r="H50" s="355"/>
      <c r="I50" s="355"/>
      <c r="J50" s="355"/>
    </row>
    <row r="51" spans="1:10" x14ac:dyDescent="0.25">
      <c r="A51" s="567"/>
      <c r="B51" s="104" t="s">
        <v>220</v>
      </c>
      <c r="C51" s="111">
        <v>0</v>
      </c>
      <c r="D51" s="111">
        <f>0.356+0.076+0.1+0.08+0.09+0.08+0.08+0.066+0.06+0.056+0.125+0.078+0.08+0.08</f>
        <v>1.4070000000000003</v>
      </c>
      <c r="E51" s="111">
        <v>0</v>
      </c>
      <c r="F51" s="354"/>
      <c r="G51" s="354"/>
      <c r="H51" s="355"/>
      <c r="I51" s="355"/>
      <c r="J51" s="355"/>
    </row>
    <row r="52" spans="1:10" x14ac:dyDescent="0.25">
      <c r="A52" s="567"/>
      <c r="B52" s="104" t="s">
        <v>221</v>
      </c>
      <c r="C52" s="111">
        <v>0</v>
      </c>
      <c r="D52" s="111">
        <v>0.503</v>
      </c>
      <c r="E52" s="111">
        <v>0</v>
      </c>
      <c r="F52" s="354"/>
      <c r="G52" s="354"/>
      <c r="H52" s="355"/>
      <c r="I52" s="355"/>
      <c r="J52" s="355"/>
    </row>
    <row r="53" spans="1:10" x14ac:dyDescent="0.25">
      <c r="A53" s="567"/>
      <c r="B53" s="104" t="s">
        <v>222</v>
      </c>
      <c r="C53" s="111">
        <v>0.75</v>
      </c>
      <c r="D53" s="111">
        <f>0.059+1.093+1.356+0.926+0.585+1.045+0.186+0.699+0.66+1.32+1.062+0.167+0.278+0.745+0.564+0.75</f>
        <v>11.494999999999999</v>
      </c>
      <c r="E53" s="111">
        <v>0.75</v>
      </c>
      <c r="F53" s="354"/>
      <c r="G53" s="354"/>
      <c r="H53" s="355"/>
      <c r="I53" s="355"/>
      <c r="J53" s="355"/>
    </row>
    <row r="54" spans="1:10" x14ac:dyDescent="0.25">
      <c r="A54" s="567"/>
      <c r="B54" s="104" t="s">
        <v>223</v>
      </c>
      <c r="C54" s="111">
        <v>0</v>
      </c>
      <c r="D54" s="111">
        <f>0.009+0.173</f>
        <v>0.182</v>
      </c>
      <c r="E54" s="111">
        <v>0</v>
      </c>
      <c r="F54" s="354"/>
      <c r="G54" s="354"/>
      <c r="H54" s="355"/>
      <c r="I54" s="355"/>
      <c r="J54" s="355"/>
    </row>
    <row r="55" spans="1:10" x14ac:dyDescent="0.25">
      <c r="A55" s="567"/>
      <c r="B55" s="104" t="s">
        <v>224</v>
      </c>
      <c r="C55" s="111">
        <v>0</v>
      </c>
      <c r="D55" s="111">
        <f>0.08+0.027</f>
        <v>0.107</v>
      </c>
      <c r="E55" s="111">
        <v>0</v>
      </c>
      <c r="F55" s="354"/>
      <c r="G55" s="354"/>
      <c r="H55" s="355"/>
      <c r="I55" s="355"/>
      <c r="J55" s="355"/>
    </row>
    <row r="56" spans="1:10" x14ac:dyDescent="0.25">
      <c r="A56" s="567"/>
      <c r="B56" s="104" t="s">
        <v>225</v>
      </c>
      <c r="C56" s="111">
        <v>0</v>
      </c>
      <c r="D56" s="111">
        <f>0.289+0.096+0.05</f>
        <v>0.435</v>
      </c>
      <c r="E56" s="111">
        <v>0</v>
      </c>
      <c r="F56" s="354"/>
      <c r="G56" s="354"/>
      <c r="H56" s="355"/>
      <c r="I56" s="355"/>
      <c r="J56" s="355"/>
    </row>
    <row r="57" spans="1:10" x14ac:dyDescent="0.25">
      <c r="A57" s="567"/>
      <c r="B57" s="104" t="s">
        <v>226</v>
      </c>
      <c r="C57" s="111">
        <v>0</v>
      </c>
      <c r="D57" s="111">
        <f>0.0664+0.022</f>
        <v>8.8400000000000006E-2</v>
      </c>
      <c r="E57" s="111">
        <v>0</v>
      </c>
      <c r="F57" s="354"/>
      <c r="G57" s="354"/>
      <c r="H57" s="355"/>
      <c r="I57" s="355"/>
      <c r="J57" s="355"/>
    </row>
    <row r="58" spans="1:10" x14ac:dyDescent="0.25">
      <c r="A58" s="567"/>
      <c r="B58" s="104" t="s">
        <v>227</v>
      </c>
      <c r="C58" s="111">
        <v>0</v>
      </c>
      <c r="D58" s="111">
        <f>0.492+0.164+0.278</f>
        <v>0.93400000000000005</v>
      </c>
      <c r="E58" s="111">
        <v>0</v>
      </c>
      <c r="F58" s="354"/>
      <c r="G58" s="354"/>
      <c r="H58" s="355"/>
      <c r="I58" s="355"/>
      <c r="J58" s="355"/>
    </row>
    <row r="59" spans="1:10" ht="25.5" x14ac:dyDescent="0.25">
      <c r="A59" s="567"/>
      <c r="B59" s="104" t="s">
        <v>653</v>
      </c>
      <c r="C59" s="111">
        <v>0</v>
      </c>
      <c r="D59" s="111">
        <f>0.246+0.082+0.432</f>
        <v>0.76</v>
      </c>
      <c r="E59" s="111">
        <v>0</v>
      </c>
      <c r="F59" s="354"/>
      <c r="G59" s="354"/>
      <c r="H59" s="355"/>
      <c r="I59" s="355"/>
      <c r="J59" s="355"/>
    </row>
    <row r="60" spans="1:10" x14ac:dyDescent="0.25">
      <c r="A60" s="567"/>
      <c r="B60" s="568" t="s">
        <v>228</v>
      </c>
      <c r="C60" s="111">
        <v>0</v>
      </c>
      <c r="D60" s="111">
        <f>0.029+0.049+0.018+0.017+0.023+0.016</f>
        <v>0.15200000000000002</v>
      </c>
      <c r="E60" s="111">
        <v>0</v>
      </c>
      <c r="F60" s="354"/>
      <c r="G60" s="354"/>
      <c r="H60" s="355"/>
      <c r="I60" s="355"/>
      <c r="J60" s="355"/>
    </row>
    <row r="61" spans="1:10" x14ac:dyDescent="0.25">
      <c r="A61" s="567"/>
      <c r="B61" s="568" t="s">
        <v>229</v>
      </c>
      <c r="C61" s="111">
        <v>0</v>
      </c>
      <c r="D61" s="111">
        <f>0.003+0.001+0.002+0.007+0.017+0.022+0.015</f>
        <v>6.7000000000000004E-2</v>
      </c>
      <c r="E61" s="111">
        <v>0</v>
      </c>
      <c r="F61" s="354"/>
      <c r="G61" s="354"/>
      <c r="H61" s="445">
        <f>0.226-0.075</f>
        <v>0.15100000000000002</v>
      </c>
      <c r="I61" s="355"/>
      <c r="J61" s="355"/>
    </row>
    <row r="62" spans="1:10" x14ac:dyDescent="0.25">
      <c r="A62" s="567"/>
      <c r="B62" s="568" t="s">
        <v>230</v>
      </c>
      <c r="C62" s="111">
        <f>3.795-3.534</f>
        <v>0.26100000000000012</v>
      </c>
      <c r="D62" s="614">
        <f>0.116+0.761+0.118+0.104+0.215+0.188+0.175+0.171+0.298+0.18+0.19+0.206+0.151+0.261+0.219+0.181+0.261</f>
        <v>3.7949999999999999</v>
      </c>
      <c r="E62" s="111">
        <v>0.26100000000000001</v>
      </c>
      <c r="F62" s="354"/>
      <c r="G62" s="354"/>
      <c r="H62" s="355"/>
      <c r="I62" s="355"/>
      <c r="J62" s="355"/>
    </row>
    <row r="63" spans="1:10" x14ac:dyDescent="0.25">
      <c r="A63" s="567"/>
      <c r="B63" s="568" t="s">
        <v>231</v>
      </c>
      <c r="C63" s="111">
        <v>0</v>
      </c>
      <c r="D63" s="111">
        <f>0.075+0.849+0.609+0.087+0.076+0.082+0.185+0.002</f>
        <v>1.9650000000000001</v>
      </c>
      <c r="E63" s="111">
        <v>0</v>
      </c>
      <c r="F63" s="354"/>
      <c r="G63" s="354"/>
      <c r="H63" s="355"/>
      <c r="I63" s="355"/>
      <c r="J63" s="355"/>
    </row>
    <row r="64" spans="1:10" x14ac:dyDescent="0.25">
      <c r="A64" s="567"/>
      <c r="B64" s="568" t="s">
        <v>232</v>
      </c>
      <c r="C64" s="111">
        <v>0</v>
      </c>
      <c r="D64" s="111">
        <f>1.665-0.25+0.103+0.244+0.01+0.048+0.027</f>
        <v>1.847</v>
      </c>
      <c r="E64" s="111">
        <v>0</v>
      </c>
      <c r="F64" s="354"/>
      <c r="G64" s="354"/>
      <c r="H64" s="355"/>
      <c r="I64" s="355"/>
      <c r="J64" s="355"/>
    </row>
    <row r="65" spans="1:10" x14ac:dyDescent="0.25">
      <c r="A65" s="567"/>
      <c r="B65" s="568" t="s">
        <v>233</v>
      </c>
      <c r="C65" s="111">
        <f>5.275-5.028</f>
        <v>0.24700000000000077</v>
      </c>
      <c r="D65" s="111">
        <f>0.5847+0.195+0.021+0.332+0.459+0.348+0.257+0.305+0.075+1.097+0.065+0.113+0.218+0.251+0.244+0.246+0.217+0.247</f>
        <v>5.2747000000000002</v>
      </c>
      <c r="E65" s="111">
        <v>0.247</v>
      </c>
      <c r="F65" s="354"/>
      <c r="G65" s="354"/>
      <c r="H65" s="355"/>
      <c r="I65" s="355"/>
      <c r="J65" s="355"/>
    </row>
    <row r="66" spans="1:10" x14ac:dyDescent="0.25">
      <c r="A66" s="567"/>
      <c r="B66" s="568" t="s">
        <v>234</v>
      </c>
      <c r="C66" s="111">
        <f>11.153-10.433</f>
        <v>0.72000000000000064</v>
      </c>
      <c r="D66" s="111">
        <f>4.5881+1.529+1.143+0.379+0.345+0.25+0.235+0.023+0.677+0.2+0.312+0.172+0.158+0.183+0.043+0.05+0.146+0.72</f>
        <v>11.153099999999997</v>
      </c>
      <c r="E66" s="111">
        <v>0.72</v>
      </c>
      <c r="F66" s="354"/>
      <c r="G66" s="354"/>
      <c r="H66" s="355"/>
      <c r="I66" s="355"/>
      <c r="J66" s="355"/>
    </row>
    <row r="67" spans="1:10" x14ac:dyDescent="0.25">
      <c r="A67" s="567"/>
      <c r="B67" s="104" t="s">
        <v>235</v>
      </c>
      <c r="C67" s="111">
        <v>0</v>
      </c>
      <c r="D67" s="111">
        <f>0.2+0.112+0.053</f>
        <v>0.36499999999999999</v>
      </c>
      <c r="E67" s="111">
        <v>0</v>
      </c>
      <c r="F67" s="354"/>
      <c r="G67" s="354"/>
      <c r="H67" s="355"/>
      <c r="I67" s="355"/>
      <c r="J67" s="355"/>
    </row>
    <row r="68" spans="1:10" x14ac:dyDescent="0.25">
      <c r="A68" s="567"/>
      <c r="B68" s="568" t="s">
        <v>236</v>
      </c>
      <c r="C68" s="111">
        <v>0</v>
      </c>
      <c r="D68" s="111">
        <f>0.141+0.047+0.066</f>
        <v>0.254</v>
      </c>
      <c r="E68" s="111">
        <v>0</v>
      </c>
      <c r="F68" s="354"/>
      <c r="G68" s="354"/>
      <c r="H68" s="355"/>
      <c r="I68" s="355"/>
      <c r="J68" s="355"/>
    </row>
    <row r="69" spans="1:10" ht="24" customHeight="1" x14ac:dyDescent="0.25">
      <c r="A69" s="567"/>
      <c r="B69" s="568" t="s">
        <v>237</v>
      </c>
      <c r="C69" s="111">
        <v>0</v>
      </c>
      <c r="D69" s="111">
        <f>0.02+0.007+0.001-0.028</f>
        <v>0</v>
      </c>
      <c r="E69" s="111">
        <v>0</v>
      </c>
      <c r="F69" s="354"/>
      <c r="G69" s="354"/>
      <c r="H69" s="355"/>
      <c r="I69" s="355"/>
      <c r="J69" s="355"/>
    </row>
    <row r="70" spans="1:10" x14ac:dyDescent="0.25">
      <c r="A70" s="567"/>
      <c r="B70" s="568" t="s">
        <v>654</v>
      </c>
      <c r="C70" s="111">
        <v>0</v>
      </c>
      <c r="D70" s="111">
        <f>4.5+4.5+12.5</f>
        <v>21.5</v>
      </c>
      <c r="E70" s="111">
        <v>0</v>
      </c>
      <c r="F70" s="354">
        <f>+D70+D28</f>
        <v>60.845900999999998</v>
      </c>
      <c r="G70" s="354"/>
      <c r="H70" s="355"/>
      <c r="I70" s="355"/>
      <c r="J70" s="355"/>
    </row>
    <row r="71" spans="1:10" x14ac:dyDescent="0.25">
      <c r="A71" s="340">
        <v>3</v>
      </c>
      <c r="B71" s="341" t="s">
        <v>238</v>
      </c>
      <c r="C71" s="111">
        <v>0</v>
      </c>
      <c r="D71" s="111">
        <v>0</v>
      </c>
      <c r="E71" s="111">
        <v>0</v>
      </c>
      <c r="F71" s="354"/>
      <c r="G71" s="354"/>
      <c r="H71" s="355"/>
      <c r="I71" s="355"/>
      <c r="J71" s="355"/>
    </row>
    <row r="72" spans="1:10" x14ac:dyDescent="0.25">
      <c r="A72" s="567"/>
      <c r="B72" s="104" t="s">
        <v>239</v>
      </c>
      <c r="C72" s="111">
        <v>0</v>
      </c>
      <c r="D72" s="111">
        <v>0</v>
      </c>
      <c r="E72" s="111">
        <v>0</v>
      </c>
      <c r="F72" s="354"/>
      <c r="G72" s="354"/>
      <c r="H72" s="355"/>
      <c r="I72" s="355"/>
      <c r="J72" s="355"/>
    </row>
    <row r="73" spans="1:10" ht="15.75" thickBot="1" x14ac:dyDescent="0.3">
      <c r="A73" s="567"/>
      <c r="B73" s="104" t="s">
        <v>240</v>
      </c>
      <c r="C73" s="111">
        <v>0</v>
      </c>
      <c r="D73" s="111">
        <v>0</v>
      </c>
      <c r="E73" s="111">
        <v>0</v>
      </c>
      <c r="F73" s="354"/>
      <c r="G73" s="354"/>
      <c r="H73" s="355"/>
      <c r="I73" s="355"/>
      <c r="J73" s="355"/>
    </row>
    <row r="74" spans="1:10" ht="17.45" customHeight="1" thickTop="1" thickBot="1" x14ac:dyDescent="0.3">
      <c r="A74" s="346"/>
      <c r="B74" s="352" t="s">
        <v>241</v>
      </c>
      <c r="C74" s="353">
        <f>SUM(C47:C73)</f>
        <v>10.517999999999999</v>
      </c>
      <c r="D74" s="353">
        <f>SUM(D47:D73)</f>
        <v>219.91489999999996</v>
      </c>
      <c r="E74" s="353">
        <f>SUM(E47:E73)</f>
        <v>10.517999999999999</v>
      </c>
      <c r="I74" s="355"/>
      <c r="J74" s="355"/>
    </row>
    <row r="75" spans="1:10" ht="27" thickTop="1" thickBot="1" x14ac:dyDescent="0.3">
      <c r="A75" s="415"/>
      <c r="B75" s="352" t="s">
        <v>242</v>
      </c>
      <c r="C75" s="416">
        <f>C74+C44</f>
        <v>26.976398661809043</v>
      </c>
      <c r="D75" s="416">
        <f>D74+D44</f>
        <v>8799.5425593255331</v>
      </c>
      <c r="E75" s="416">
        <f>E74+E44</f>
        <v>26.976599095459036</v>
      </c>
      <c r="I75" s="355"/>
      <c r="J75" s="355"/>
    </row>
    <row r="76" spans="1:10" ht="15.75" thickTop="1" x14ac:dyDescent="0.25">
      <c r="A76" s="421" t="s">
        <v>570</v>
      </c>
      <c r="D76" s="450">
        <v>8771.9846890300742</v>
      </c>
      <c r="E76" s="450">
        <v>4341.7280246279124</v>
      </c>
    </row>
    <row r="77" spans="1:10" x14ac:dyDescent="0.25">
      <c r="A77" s="474"/>
      <c r="B77" s="474"/>
      <c r="C77" s="474"/>
      <c r="D77" s="475">
        <f>+D75-D76</f>
        <v>27.557870295458997</v>
      </c>
      <c r="E77" s="475">
        <f>+E75-E76</f>
        <v>-4314.7514255324531</v>
      </c>
    </row>
    <row r="78" spans="1:10" x14ac:dyDescent="0.25">
      <c r="D78" s="391"/>
      <c r="E78" s="391"/>
    </row>
  </sheetData>
  <mergeCells count="9">
    <mergeCell ref="A8:B8"/>
    <mergeCell ref="A45:B45"/>
    <mergeCell ref="A1:E1"/>
    <mergeCell ref="A3:E3"/>
    <mergeCell ref="A4:E4"/>
    <mergeCell ref="A5:E5"/>
    <mergeCell ref="A6:A7"/>
    <mergeCell ref="B6:B7"/>
    <mergeCell ref="C6:E6"/>
  </mergeCells>
  <pageMargins left="0.7" right="0.7" top="0.75" bottom="0.75" header="0.3" footer="0.3"/>
  <pageSetup scale="98" orientation="portrait" r:id="rId1"/>
  <rowBreaks count="1" manualBreakCount="1">
    <brk id="44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C9" sqref="C9"/>
    </sheetView>
  </sheetViews>
  <sheetFormatPr defaultColWidth="8.85546875" defaultRowHeight="15" x14ac:dyDescent="0.25"/>
  <cols>
    <col min="1" max="1" width="7.5703125" style="303" customWidth="1"/>
    <col min="2" max="2" width="13.42578125" style="303" customWidth="1"/>
    <col min="3" max="3" width="16.5703125" style="422" customWidth="1"/>
    <col min="4" max="16384" width="8.85546875" style="303"/>
  </cols>
  <sheetData>
    <row r="2" spans="1:3" ht="15.75" x14ac:dyDescent="0.25">
      <c r="A2" s="789" t="s">
        <v>571</v>
      </c>
      <c r="B2" s="789"/>
      <c r="C2" s="789"/>
    </row>
    <row r="4" spans="1:3" x14ac:dyDescent="0.25">
      <c r="A4" s="423" t="s">
        <v>141</v>
      </c>
      <c r="B4" s="423" t="s">
        <v>263</v>
      </c>
      <c r="C4" s="424" t="s">
        <v>572</v>
      </c>
    </row>
    <row r="5" spans="1:3" ht="18.600000000000001" customHeight="1" x14ac:dyDescent="0.25">
      <c r="A5" s="425">
        <v>1</v>
      </c>
      <c r="B5" s="425" t="s">
        <v>260</v>
      </c>
      <c r="C5" s="426">
        <f>32848000+16256546</f>
        <v>49104546</v>
      </c>
    </row>
    <row r="6" spans="1:3" ht="18.600000000000001" customHeight="1" x14ac:dyDescent="0.25">
      <c r="A6" s="425">
        <f>+A5+1</f>
        <v>2</v>
      </c>
      <c r="B6" s="425" t="s">
        <v>258</v>
      </c>
      <c r="C6" s="426">
        <v>15354401</v>
      </c>
    </row>
    <row r="7" spans="1:3" ht="18.600000000000001" customHeight="1" x14ac:dyDescent="0.25">
      <c r="A7" s="425">
        <f>+A6+1</f>
        <v>3</v>
      </c>
      <c r="B7" s="425" t="s">
        <v>259</v>
      </c>
      <c r="C7" s="426">
        <v>13133827</v>
      </c>
    </row>
    <row r="8" spans="1:3" ht="18.600000000000001" customHeight="1" x14ac:dyDescent="0.25">
      <c r="A8" s="425">
        <f>+A7+1</f>
        <v>4</v>
      </c>
      <c r="B8" s="425" t="s">
        <v>559</v>
      </c>
      <c r="C8" s="426">
        <v>11201847</v>
      </c>
    </row>
    <row r="9" spans="1:3" ht="18.600000000000001" customHeight="1" x14ac:dyDescent="0.25">
      <c r="A9" s="425">
        <f>+A8+1</f>
        <v>5</v>
      </c>
      <c r="B9" s="425" t="s">
        <v>257</v>
      </c>
      <c r="C9" s="426">
        <v>6333553</v>
      </c>
    </row>
    <row r="10" spans="1:3" ht="22.15" customHeight="1" x14ac:dyDescent="0.25">
      <c r="A10" s="790" t="s">
        <v>256</v>
      </c>
      <c r="B10" s="790"/>
      <c r="C10" s="424">
        <f>SUM(C5:C9)</f>
        <v>95128174</v>
      </c>
    </row>
    <row r="12" spans="1:3" x14ac:dyDescent="0.25">
      <c r="C12" s="456"/>
    </row>
  </sheetData>
  <mergeCells count="2">
    <mergeCell ref="A2:C2"/>
    <mergeCell ref="A10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view="pageBreakPreview" topLeftCell="C25" zoomScaleNormal="100" zoomScaleSheetLayoutView="100" workbookViewId="0">
      <selection activeCell="M38" sqref="M38"/>
    </sheetView>
  </sheetViews>
  <sheetFormatPr defaultColWidth="9.140625" defaultRowHeight="15" x14ac:dyDescent="0.25"/>
  <cols>
    <col min="1" max="1" width="6.140625" style="363" customWidth="1"/>
    <col min="2" max="2" width="47.28515625" style="363" customWidth="1"/>
    <col min="3" max="3" width="30.7109375" style="363" customWidth="1"/>
    <col min="4" max="4" width="24.7109375" style="363" customWidth="1"/>
    <col min="5" max="5" width="15.5703125" style="363" bestFit="1" customWidth="1"/>
    <col min="6" max="6" width="12.140625" style="363" customWidth="1"/>
    <col min="7" max="7" width="9.28515625" style="363" bestFit="1" customWidth="1"/>
    <col min="8" max="8" width="16.85546875" style="363" customWidth="1"/>
    <col min="9" max="9" width="11.28515625" style="363" customWidth="1"/>
    <col min="10" max="10" width="9.42578125" style="363" bestFit="1" customWidth="1"/>
    <col min="11" max="11" width="11" style="363" customWidth="1"/>
    <col min="12" max="12" width="10.140625" style="363" bestFit="1" customWidth="1"/>
    <col min="13" max="13" width="14" style="363" customWidth="1"/>
    <col min="14" max="14" width="9.5703125" style="363" bestFit="1" customWidth="1"/>
    <col min="15" max="15" width="11.5703125" style="363" customWidth="1"/>
    <col min="16" max="16" width="10.5703125" style="363" customWidth="1"/>
    <col min="17" max="17" width="13.5703125" style="363" customWidth="1"/>
    <col min="18" max="18" width="11.28515625" style="363" bestFit="1" customWidth="1"/>
    <col min="19" max="20" width="12.42578125" style="363" bestFit="1" customWidth="1"/>
    <col min="21" max="21" width="11.140625" style="363" customWidth="1"/>
    <col min="22" max="22" width="11.28515625" style="363" bestFit="1" customWidth="1"/>
    <col min="23" max="16384" width="9.140625" style="363"/>
  </cols>
  <sheetData>
    <row r="1" spans="1:22" x14ac:dyDescent="0.25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61"/>
      <c r="S1" s="361"/>
      <c r="T1" s="362"/>
      <c r="U1" s="361"/>
      <c r="V1" s="377">
        <f>'Anx-C'!M2</f>
        <v>45809</v>
      </c>
    </row>
    <row r="2" spans="1:22" x14ac:dyDescent="0.25">
      <c r="A2" s="794" t="str">
        <f>'Anx-A'!A3:H3</f>
        <v>Re-Modelling and Up Gradation of ADA Nullah and Walton Road Pkg-I</v>
      </c>
      <c r="B2" s="794"/>
      <c r="C2" s="794"/>
      <c r="D2" s="794"/>
      <c r="E2" s="794"/>
      <c r="F2" s="794"/>
      <c r="G2" s="794"/>
      <c r="H2" s="794"/>
      <c r="I2" s="794"/>
      <c r="J2" s="794"/>
      <c r="K2" s="794"/>
      <c r="L2" s="794"/>
      <c r="M2" s="794"/>
      <c r="N2" s="794"/>
      <c r="O2" s="794"/>
      <c r="P2" s="794"/>
      <c r="Q2" s="794"/>
      <c r="R2" s="794"/>
      <c r="S2" s="794"/>
      <c r="T2" s="794"/>
      <c r="U2" s="794"/>
      <c r="V2" s="794"/>
    </row>
    <row r="3" spans="1:22" x14ac:dyDescent="0.25">
      <c r="A3" s="794" t="s">
        <v>261</v>
      </c>
      <c r="B3" s="794"/>
      <c r="C3" s="794"/>
      <c r="D3" s="794"/>
      <c r="E3" s="794"/>
      <c r="F3" s="794"/>
      <c r="G3" s="794"/>
      <c r="H3" s="794"/>
      <c r="I3" s="794"/>
      <c r="J3" s="794"/>
      <c r="K3" s="794"/>
      <c r="L3" s="794"/>
      <c r="M3" s="794"/>
      <c r="N3" s="794"/>
      <c r="O3" s="794"/>
      <c r="P3" s="794"/>
      <c r="Q3" s="794"/>
      <c r="R3" s="794"/>
      <c r="S3" s="794"/>
      <c r="T3" s="794"/>
      <c r="U3" s="794"/>
      <c r="V3" s="794"/>
    </row>
    <row r="4" spans="1:22" x14ac:dyDescent="0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5"/>
      <c r="O4" s="366"/>
      <c r="P4" s="364"/>
      <c r="Q4" s="364"/>
      <c r="R4" s="364"/>
      <c r="S4" s="361"/>
      <c r="T4" s="362"/>
      <c r="U4" s="361"/>
      <c r="V4" s="361"/>
    </row>
    <row r="5" spans="1:22" x14ac:dyDescent="0.25">
      <c r="A5" s="792" t="s">
        <v>141</v>
      </c>
      <c r="B5" s="793" t="s">
        <v>262</v>
      </c>
      <c r="C5" s="791" t="s">
        <v>263</v>
      </c>
      <c r="D5" s="791" t="s">
        <v>96</v>
      </c>
      <c r="E5" s="791" t="s">
        <v>264</v>
      </c>
      <c r="F5" s="791" t="s">
        <v>265</v>
      </c>
      <c r="G5" s="388"/>
      <c r="H5" s="791" t="s">
        <v>5</v>
      </c>
      <c r="I5" s="791"/>
      <c r="J5" s="791"/>
      <c r="K5" s="791"/>
      <c r="L5" s="791"/>
      <c r="M5" s="791" t="s">
        <v>266</v>
      </c>
      <c r="N5" s="791"/>
      <c r="O5" s="791"/>
      <c r="P5" s="791"/>
      <c r="Q5" s="791"/>
      <c r="R5" s="791" t="s">
        <v>267</v>
      </c>
      <c r="S5" s="791"/>
      <c r="T5" s="791"/>
      <c r="U5" s="791"/>
      <c r="V5" s="791"/>
    </row>
    <row r="6" spans="1:22" ht="75" x14ac:dyDescent="0.25">
      <c r="A6" s="792"/>
      <c r="B6" s="793"/>
      <c r="C6" s="791"/>
      <c r="D6" s="791"/>
      <c r="E6" s="791"/>
      <c r="F6" s="791"/>
      <c r="G6" s="388" t="s">
        <v>268</v>
      </c>
      <c r="H6" s="373" t="s">
        <v>269</v>
      </c>
      <c r="I6" s="373" t="s">
        <v>197</v>
      </c>
      <c r="J6" s="373" t="s">
        <v>198</v>
      </c>
      <c r="K6" s="373" t="s">
        <v>270</v>
      </c>
      <c r="L6" s="373" t="s">
        <v>271</v>
      </c>
      <c r="M6" s="373" t="s">
        <v>269</v>
      </c>
      <c r="N6" s="373" t="s">
        <v>197</v>
      </c>
      <c r="O6" s="373" t="s">
        <v>198</v>
      </c>
      <c r="P6" s="373" t="s">
        <v>270</v>
      </c>
      <c r="Q6" s="373" t="s">
        <v>271</v>
      </c>
      <c r="R6" s="373" t="s">
        <v>269</v>
      </c>
      <c r="S6" s="373" t="s">
        <v>197</v>
      </c>
      <c r="T6" s="373" t="s">
        <v>198</v>
      </c>
      <c r="U6" s="373" t="s">
        <v>270</v>
      </c>
      <c r="V6" s="373" t="s">
        <v>271</v>
      </c>
    </row>
    <row r="7" spans="1:22" ht="28.5" x14ac:dyDescent="0.25">
      <c r="A7" s="368">
        <v>1</v>
      </c>
      <c r="B7" s="369" t="str">
        <f>'Anx-C'!B11</f>
        <v>C/2023/P0468/CBD-ADA-Nallah/Pkg-I/Petty-3</v>
      </c>
      <c r="C7" s="369" t="str">
        <f>+'Anx-C'!C11</f>
        <v xml:space="preserve"> (M/S Saddaqat Builders) Part A</v>
      </c>
      <c r="D7" s="369" t="str">
        <f>'[2]Anx C '!D11</f>
        <v>Road Diversion Work</v>
      </c>
      <c r="E7" s="370">
        <f>'Anx-C'!E11</f>
        <v>16.709</v>
      </c>
      <c r="F7" s="370">
        <f>'Anx-C'!F11</f>
        <v>14.784000000000001</v>
      </c>
      <c r="G7" s="357">
        <f>100%-'Anx-C'!H11</f>
        <v>0.88479262672811065</v>
      </c>
      <c r="H7" s="370">
        <f>'Anx-C'!I11*'Anx-E'!G7</f>
        <v>0</v>
      </c>
      <c r="I7" s="370">
        <f>H7*5%</f>
        <v>0</v>
      </c>
      <c r="J7" s="370">
        <f>(H7-I7-K7)*8%</f>
        <v>0</v>
      </c>
      <c r="K7" s="370">
        <v>0</v>
      </c>
      <c r="L7" s="370">
        <f>H7-I7-J7-K7</f>
        <v>0</v>
      </c>
      <c r="M7" s="387">
        <f>'Anx-C'!J11*'Anx-E'!G7</f>
        <v>14.89921415668203</v>
      </c>
      <c r="N7" s="370">
        <f>M7*5%</f>
        <v>0.74496070783410151</v>
      </c>
      <c r="O7" s="370">
        <f>(M7-N7-P7)*8%</f>
        <v>1.1323402759078343</v>
      </c>
      <c r="P7" s="370">
        <v>0</v>
      </c>
      <c r="Q7" s="370">
        <f t="shared" ref="Q7:Q27" si="0">M7-N7-O7-P7</f>
        <v>13.021913172940094</v>
      </c>
      <c r="R7" s="387">
        <f>+'Anx-C'!K11*'Anx-E'!G7</f>
        <v>0</v>
      </c>
      <c r="S7" s="370">
        <f>R7*5%</f>
        <v>0</v>
      </c>
      <c r="T7" s="370">
        <f>(R7-S7-U7)*8%</f>
        <v>0</v>
      </c>
      <c r="U7" s="370">
        <v>0</v>
      </c>
      <c r="V7" s="370">
        <f>R7-S7-T7-U7</f>
        <v>0</v>
      </c>
    </row>
    <row r="8" spans="1:22" ht="28.5" x14ac:dyDescent="0.25">
      <c r="A8" s="367">
        <f>+A7+1</f>
        <v>2</v>
      </c>
      <c r="B8" s="369" t="str">
        <f>'Anx-C'!B12</f>
        <v>C/2023/P0468/CBD-ADA-Nallah/Pkg-I/Petty-4</v>
      </c>
      <c r="C8" s="369" t="str">
        <f>'[2]Anx C '!C12</f>
        <v xml:space="preserve"> (M/S Saddaqat Builders) Part B</v>
      </c>
      <c r="D8" s="369" t="str">
        <f>'[2]Anx C '!D12</f>
        <v>Road Diversion Work</v>
      </c>
      <c r="E8" s="370">
        <f>'Anx-C'!E12</f>
        <v>16.702000000000002</v>
      </c>
      <c r="F8" s="370">
        <f>'Anx-C'!F12</f>
        <v>14.776999999999999</v>
      </c>
      <c r="G8" s="357">
        <f>100%-'Anx-C'!H12</f>
        <v>0.88474434199497054</v>
      </c>
      <c r="H8" s="370">
        <f>'Anx-C'!I12*'Anx-E'!G8</f>
        <v>0</v>
      </c>
      <c r="I8" s="370">
        <f t="shared" ref="I8:I54" si="1">H8*5%</f>
        <v>0</v>
      </c>
      <c r="J8" s="370">
        <f t="shared" ref="J8:J54" si="2">(H8-I8-K8)*8%</f>
        <v>0</v>
      </c>
      <c r="K8" s="370">
        <v>0</v>
      </c>
      <c r="L8" s="370">
        <f t="shared" ref="L8:L54" si="3">H8-I8-J8-K8</f>
        <v>0</v>
      </c>
      <c r="M8" s="387">
        <f>'Anx-C'!J12*'Anx-E'!G8</f>
        <v>14.902712438809722</v>
      </c>
      <c r="N8" s="370">
        <f t="shared" ref="N8:N54" si="4">M8*5%</f>
        <v>0.7451356219404861</v>
      </c>
      <c r="O8" s="370">
        <f t="shared" ref="O8:O54" si="5">(M8-N8-P8)*8%</f>
        <v>1.1326061453495389</v>
      </c>
      <c r="P8" s="370">
        <v>0</v>
      </c>
      <c r="Q8" s="370">
        <f t="shared" si="0"/>
        <v>13.024970671519696</v>
      </c>
      <c r="R8" s="387">
        <f>+'Anx-C'!K12*'Anx-E'!G8</f>
        <v>0</v>
      </c>
      <c r="S8" s="370">
        <f t="shared" ref="S8:S54" si="6">R8*5%</f>
        <v>0</v>
      </c>
      <c r="T8" s="370">
        <f t="shared" ref="T8:T54" si="7">(R8-S8-U8)*8%</f>
        <v>0</v>
      </c>
      <c r="U8" s="370">
        <v>0</v>
      </c>
      <c r="V8" s="370">
        <f t="shared" ref="V8:V54" si="8">R8-S8-T8-U8</f>
        <v>0</v>
      </c>
    </row>
    <row r="9" spans="1:22" ht="28.5" x14ac:dyDescent="0.25">
      <c r="A9" s="491">
        <f t="shared" ref="A9:A38" si="9">+A8+1</f>
        <v>3</v>
      </c>
      <c r="B9" s="369" t="str">
        <f>'Anx-C'!B13</f>
        <v>C/2023/P0468/CBD-ADA-Nallah/Pkg-I/Petty-5</v>
      </c>
      <c r="C9" s="369" t="str">
        <f>'[2]Anx C '!C13</f>
        <v xml:space="preserve"> (M/S Saddaqat Builders) Part C</v>
      </c>
      <c r="D9" s="369" t="str">
        <f>'[2]Anx C '!D13</f>
        <v>Road Diversion Work</v>
      </c>
      <c r="E9" s="370">
        <f>'Anx-C'!E13</f>
        <v>16.7</v>
      </c>
      <c r="F9" s="370">
        <f>'Anx-C'!F13</f>
        <v>14.775</v>
      </c>
      <c r="G9" s="357">
        <f>100%-'Anx-C'!H13</f>
        <v>0.88473053892215581</v>
      </c>
      <c r="H9" s="370">
        <f>'Anx-C'!I13*'Anx-E'!G9</f>
        <v>0</v>
      </c>
      <c r="I9" s="370">
        <f t="shared" si="1"/>
        <v>0</v>
      </c>
      <c r="J9" s="370">
        <f t="shared" si="2"/>
        <v>0</v>
      </c>
      <c r="K9" s="370">
        <v>0</v>
      </c>
      <c r="L9" s="370">
        <f t="shared" si="3"/>
        <v>0</v>
      </c>
      <c r="M9" s="387">
        <f>'Anx-C'!J13*'Anx-E'!G9</f>
        <v>11.883832423652693</v>
      </c>
      <c r="N9" s="370">
        <f t="shared" si="4"/>
        <v>0.59419162118263469</v>
      </c>
      <c r="O9" s="370">
        <f t="shared" si="5"/>
        <v>0.90317126419760474</v>
      </c>
      <c r="P9" s="370">
        <v>0</v>
      </c>
      <c r="Q9" s="370">
        <f t="shared" si="0"/>
        <v>10.386469538272454</v>
      </c>
      <c r="R9" s="387">
        <f>+'Anx-C'!K13*'Anx-E'!G9</f>
        <v>0</v>
      </c>
      <c r="S9" s="370">
        <f t="shared" si="6"/>
        <v>0</v>
      </c>
      <c r="T9" s="370">
        <f t="shared" si="7"/>
        <v>0</v>
      </c>
      <c r="U9" s="370">
        <v>0</v>
      </c>
      <c r="V9" s="370">
        <f t="shared" si="8"/>
        <v>0</v>
      </c>
    </row>
    <row r="10" spans="1:22" ht="28.5" x14ac:dyDescent="0.25">
      <c r="A10" s="609">
        <f t="shared" si="9"/>
        <v>4</v>
      </c>
      <c r="B10" s="369" t="str">
        <f>+'Anx-C'!B14</f>
        <v>C/2023/P0468/CBD-ADA-Nallah/Pkg-I/Petty</v>
      </c>
      <c r="C10" s="369" t="str">
        <f>+'Anx-C'!C14</f>
        <v xml:space="preserve"> (M/S Saddaqat Builders) Part D</v>
      </c>
      <c r="D10" s="369" t="str">
        <f>+'Anx-C'!D14</f>
        <v>Road Diversion Work</v>
      </c>
      <c r="E10" s="370">
        <f>'Anx-C'!E14</f>
        <v>16.7</v>
      </c>
      <c r="F10" s="370">
        <f>'Anx-C'!F14</f>
        <v>14.775</v>
      </c>
      <c r="G10" s="357">
        <f>100%-'Anx-C'!H14</f>
        <v>0.88473053892215581</v>
      </c>
      <c r="H10" s="370">
        <f>'Anx-C'!I14*'Anx-E'!G10</f>
        <v>0</v>
      </c>
      <c r="I10" s="370">
        <f t="shared" si="1"/>
        <v>0</v>
      </c>
      <c r="J10" s="370">
        <f t="shared" si="2"/>
        <v>0</v>
      </c>
      <c r="K10" s="370">
        <v>0</v>
      </c>
      <c r="L10" s="370">
        <f t="shared" si="3"/>
        <v>0</v>
      </c>
      <c r="M10" s="387">
        <f>'Anx-C'!J14*'Anx-E'!G10</f>
        <v>9.0702574850299413</v>
      </c>
      <c r="N10" s="370">
        <f t="shared" si="4"/>
        <v>0.45351287425149711</v>
      </c>
      <c r="O10" s="370">
        <f t="shared" si="5"/>
        <v>0.68933956886227554</v>
      </c>
      <c r="P10" s="370">
        <v>0</v>
      </c>
      <c r="Q10" s="370">
        <f t="shared" si="0"/>
        <v>7.9274050419161677</v>
      </c>
      <c r="R10" s="387">
        <f>+'Anx-C'!K14*'Anx-E'!G10</f>
        <v>0</v>
      </c>
      <c r="S10" s="370">
        <f t="shared" si="6"/>
        <v>0</v>
      </c>
      <c r="T10" s="370">
        <f t="shared" si="7"/>
        <v>0</v>
      </c>
      <c r="U10" s="370">
        <v>0</v>
      </c>
      <c r="V10" s="370">
        <f t="shared" si="8"/>
        <v>0</v>
      </c>
    </row>
    <row r="11" spans="1:22" x14ac:dyDescent="0.25">
      <c r="A11" s="609">
        <f t="shared" si="9"/>
        <v>5</v>
      </c>
      <c r="B11" s="369" t="str">
        <f>'Anx-C'!B15</f>
        <v>C/2023/P0468/CBD-ADA-Nallah/Pkg-I/Petty-6</v>
      </c>
      <c r="C11" s="369" t="str">
        <f>'[2]Anx C '!C14</f>
        <v xml:space="preserve"> (M/S Saddaqat Builders)</v>
      </c>
      <c r="D11" s="369" t="str">
        <f>'[2]Anx C '!D14</f>
        <v>72 Pipe Sewrage Work</v>
      </c>
      <c r="E11" s="370">
        <f>'Anx-C'!E15</f>
        <v>12.14</v>
      </c>
      <c r="F11" s="370">
        <f>'Anx-C'!F15</f>
        <v>10.420999999999999</v>
      </c>
      <c r="G11" s="357">
        <f>100%-'Anx-C'!H15</f>
        <v>0.85840197693574949</v>
      </c>
      <c r="H11" s="370">
        <f>'Anx-C'!I15*'Anx-E'!G11</f>
        <v>0</v>
      </c>
      <c r="I11" s="370">
        <f t="shared" si="1"/>
        <v>0</v>
      </c>
      <c r="J11" s="370">
        <f t="shared" si="2"/>
        <v>0</v>
      </c>
      <c r="K11" s="370">
        <v>0</v>
      </c>
      <c r="L11" s="370">
        <f t="shared" si="3"/>
        <v>0</v>
      </c>
      <c r="M11" s="387">
        <f>'Anx-C'!J15*'Anx-E'!G11</f>
        <v>6.9084191103789108</v>
      </c>
      <c r="N11" s="370">
        <f t="shared" si="4"/>
        <v>0.34542095551894558</v>
      </c>
      <c r="O11" s="370">
        <f t="shared" si="5"/>
        <v>0.52503985238879725</v>
      </c>
      <c r="P11" s="370">
        <v>0</v>
      </c>
      <c r="Q11" s="370">
        <f t="shared" si="0"/>
        <v>6.0379583024711678</v>
      </c>
      <c r="R11" s="387">
        <f>+'Anx-C'!K15*'Anx-E'!G11</f>
        <v>0</v>
      </c>
      <c r="S11" s="370">
        <f t="shared" si="6"/>
        <v>0</v>
      </c>
      <c r="T11" s="370">
        <f t="shared" si="7"/>
        <v>0</v>
      </c>
      <c r="U11" s="370">
        <v>0</v>
      </c>
      <c r="V11" s="370">
        <f t="shared" si="8"/>
        <v>0</v>
      </c>
    </row>
    <row r="12" spans="1:22" x14ac:dyDescent="0.25">
      <c r="A12" s="491">
        <f t="shared" si="9"/>
        <v>6</v>
      </c>
      <c r="B12" s="369" t="str">
        <f>'Anx-C'!B16</f>
        <v>C/2023/P0468/CBD-ADA-Nallah/Pkg-I/Petty-11</v>
      </c>
      <c r="C12" s="369" t="str">
        <f>'[2]Anx C '!C15</f>
        <v xml:space="preserve"> (M/S Saddaqat Builders)</v>
      </c>
      <c r="D12" s="369" t="str">
        <f>'[2]Anx C '!D15</f>
        <v>66 Pipe Sewrage Work</v>
      </c>
      <c r="E12" s="370">
        <f>'Anx-C'!E16</f>
        <v>5.9669999999999996</v>
      </c>
      <c r="F12" s="370">
        <f>'Anx-C'!F16</f>
        <v>5.8940000000000001</v>
      </c>
      <c r="G12" s="357">
        <f>100%-'Anx-C'!H16</f>
        <v>0.98776604658957612</v>
      </c>
      <c r="H12" s="370">
        <f>'Anx-C'!I16*'Anx-E'!G12</f>
        <v>0</v>
      </c>
      <c r="I12" s="370">
        <f t="shared" si="1"/>
        <v>0</v>
      </c>
      <c r="J12" s="370">
        <f t="shared" si="2"/>
        <v>0</v>
      </c>
      <c r="K12" s="370">
        <v>0</v>
      </c>
      <c r="L12" s="370">
        <f t="shared" si="3"/>
        <v>0</v>
      </c>
      <c r="M12" s="387">
        <f>'Anx-C'!J16*'Anx-E'!G12</f>
        <v>3.3791476453829401</v>
      </c>
      <c r="N12" s="370">
        <f t="shared" si="4"/>
        <v>0.16895738226914703</v>
      </c>
      <c r="O12" s="370">
        <f t="shared" si="5"/>
        <v>0.25681522104910343</v>
      </c>
      <c r="P12" s="370">
        <v>0</v>
      </c>
      <c r="Q12" s="370">
        <f t="shared" si="0"/>
        <v>2.9533750420646894</v>
      </c>
      <c r="R12" s="387">
        <f>+'Anx-C'!K16*'Anx-E'!G12</f>
        <v>0</v>
      </c>
      <c r="S12" s="370">
        <f t="shared" si="6"/>
        <v>0</v>
      </c>
      <c r="T12" s="370">
        <f t="shared" si="7"/>
        <v>0</v>
      </c>
      <c r="U12" s="370">
        <v>0</v>
      </c>
      <c r="V12" s="370">
        <f t="shared" si="8"/>
        <v>0</v>
      </c>
    </row>
    <row r="13" spans="1:22" ht="28.5" x14ac:dyDescent="0.25">
      <c r="A13" s="491">
        <f t="shared" si="9"/>
        <v>7</v>
      </c>
      <c r="B13" s="369" t="str">
        <f>'Anx-C'!B17</f>
        <v>C/2023/PO468/CBD ADA Nullah/Pkg-1/petty-1</v>
      </c>
      <c r="C13" s="369" t="str">
        <f>'[2]Anx C '!C16</f>
        <v xml:space="preserve"> (M/S Zashpak Engineering Service)  </v>
      </c>
      <c r="D13" s="369" t="str">
        <f>'[2]Anx C '!D16</f>
        <v>Diversion Acillary  Work</v>
      </c>
      <c r="E13" s="370">
        <f>'Anx-C'!E17</f>
        <v>5.008</v>
      </c>
      <c r="F13" s="370">
        <f>'Anx-C'!F17</f>
        <v>4.3550000000000004</v>
      </c>
      <c r="G13" s="357">
        <f>100%-'Anx-C'!H17</f>
        <v>0.8696086261980831</v>
      </c>
      <c r="H13" s="370">
        <f>'Anx-C'!I17*'Anx-E'!G13</f>
        <v>0</v>
      </c>
      <c r="I13" s="370">
        <f t="shared" si="1"/>
        <v>0</v>
      </c>
      <c r="J13" s="370">
        <f t="shared" si="2"/>
        <v>0</v>
      </c>
      <c r="K13" s="370">
        <v>0</v>
      </c>
      <c r="L13" s="370">
        <f t="shared" si="3"/>
        <v>0</v>
      </c>
      <c r="M13" s="387">
        <f>'Anx-C'!J17*'Anx-E'!G13</f>
        <v>3.5210453274760378</v>
      </c>
      <c r="N13" s="370">
        <f t="shared" si="4"/>
        <v>0.17605226637380189</v>
      </c>
      <c r="O13" s="370">
        <f t="shared" si="5"/>
        <v>0.26759944488817888</v>
      </c>
      <c r="P13" s="370">
        <v>0</v>
      </c>
      <c r="Q13" s="370">
        <f t="shared" si="0"/>
        <v>3.0773936162140569</v>
      </c>
      <c r="R13" s="387">
        <f>+'Anx-C'!K17*'Anx-E'!G13</f>
        <v>0</v>
      </c>
      <c r="S13" s="370">
        <f t="shared" si="6"/>
        <v>0</v>
      </c>
      <c r="T13" s="370">
        <f t="shared" si="7"/>
        <v>0</v>
      </c>
      <c r="U13" s="370">
        <v>0</v>
      </c>
      <c r="V13" s="370">
        <f t="shared" si="8"/>
        <v>0</v>
      </c>
    </row>
    <row r="14" spans="1:22" x14ac:dyDescent="0.25">
      <c r="A14" s="491">
        <f t="shared" si="9"/>
        <v>8</v>
      </c>
      <c r="B14" s="380" t="s">
        <v>529</v>
      </c>
      <c r="C14" s="369" t="str">
        <f>'[2]Anx C '!C17</f>
        <v xml:space="preserve"> (M/S Choudary Son)  </v>
      </c>
      <c r="D14" s="369" t="str">
        <f>'[2]Anx C '!D17</f>
        <v>Diversion Work</v>
      </c>
      <c r="E14" s="370">
        <f>'Anx-C'!E18</f>
        <v>17.126999999999999</v>
      </c>
      <c r="F14" s="370">
        <f>'Anx-C'!F18</f>
        <v>14.565</v>
      </c>
      <c r="G14" s="357">
        <f>100%-'Anx-C'!H18</f>
        <v>0.85041163075845161</v>
      </c>
      <c r="H14" s="370">
        <f>'Anx-C'!I18*'Anx-E'!G14</f>
        <v>0</v>
      </c>
      <c r="I14" s="370">
        <f t="shared" si="1"/>
        <v>0</v>
      </c>
      <c r="J14" s="370">
        <f t="shared" si="2"/>
        <v>0</v>
      </c>
      <c r="K14" s="370">
        <v>0</v>
      </c>
      <c r="L14" s="370">
        <f t="shared" si="3"/>
        <v>0</v>
      </c>
      <c r="M14" s="387">
        <f>'Anx-C'!J18*'Anx-E'!G14</f>
        <v>13.929325810124366</v>
      </c>
      <c r="N14" s="370">
        <f t="shared" si="4"/>
        <v>0.69646629050621833</v>
      </c>
      <c r="O14" s="370">
        <f t="shared" si="5"/>
        <v>1.0586287615694518</v>
      </c>
      <c r="P14" s="370">
        <v>0</v>
      </c>
      <c r="Q14" s="370">
        <f t="shared" si="0"/>
        <v>12.174230758048695</v>
      </c>
      <c r="R14" s="387">
        <f>+'Anx-C'!K18*'Anx-E'!G14</f>
        <v>0</v>
      </c>
      <c r="S14" s="370">
        <f t="shared" si="6"/>
        <v>0</v>
      </c>
      <c r="T14" s="370">
        <f t="shared" si="7"/>
        <v>0</v>
      </c>
      <c r="U14" s="370">
        <v>0</v>
      </c>
      <c r="V14" s="370">
        <f t="shared" si="8"/>
        <v>0</v>
      </c>
    </row>
    <row r="15" spans="1:22" x14ac:dyDescent="0.25">
      <c r="A15" s="491">
        <f t="shared" si="9"/>
        <v>9</v>
      </c>
      <c r="B15" s="369" t="str">
        <f>'Anx-C'!B19</f>
        <v>Petty-7,8,9,10</v>
      </c>
      <c r="C15" s="369" t="str">
        <f>'[2]Anx C '!C18</f>
        <v xml:space="preserve"> (M/S Sapper &amp; Co)  </v>
      </c>
      <c r="D15" s="369" t="str">
        <f>'[2]Anx C '!D18</f>
        <v>Disposal - 02</v>
      </c>
      <c r="E15" s="370">
        <f>'Anx-C'!E19</f>
        <v>67.378999999999991</v>
      </c>
      <c r="F15" s="370">
        <f>'Anx-C'!F19</f>
        <v>55.661000000000001</v>
      </c>
      <c r="G15" s="357">
        <f>100%-'Anx-C'!H19</f>
        <v>0.82608824707995088</v>
      </c>
      <c r="H15" s="370">
        <f>'Anx-C'!I19*'Anx-E'!G15</f>
        <v>0</v>
      </c>
      <c r="I15" s="370">
        <f t="shared" si="1"/>
        <v>0</v>
      </c>
      <c r="J15" s="370">
        <f t="shared" si="2"/>
        <v>0</v>
      </c>
      <c r="K15" s="370">
        <v>0</v>
      </c>
      <c r="L15" s="370">
        <f t="shared" si="3"/>
        <v>0</v>
      </c>
      <c r="M15" s="387">
        <f>'Anx-C'!J19*'Anx-E'!G15</f>
        <v>58.625791892622338</v>
      </c>
      <c r="N15" s="370">
        <f t="shared" si="4"/>
        <v>2.9312895946311173</v>
      </c>
      <c r="O15" s="370">
        <f t="shared" si="5"/>
        <v>4.4555601838392977</v>
      </c>
      <c r="P15" s="370">
        <v>0</v>
      </c>
      <c r="Q15" s="370">
        <f t="shared" si="0"/>
        <v>51.238942114151925</v>
      </c>
      <c r="R15" s="387">
        <f>+'Anx-C'!K19*'Anx-E'!G15</f>
        <v>0</v>
      </c>
      <c r="S15" s="370">
        <f t="shared" si="6"/>
        <v>0</v>
      </c>
      <c r="T15" s="370">
        <f t="shared" si="7"/>
        <v>0</v>
      </c>
      <c r="U15" s="370">
        <v>0</v>
      </c>
      <c r="V15" s="370">
        <f t="shared" si="8"/>
        <v>0</v>
      </c>
    </row>
    <row r="16" spans="1:22" x14ac:dyDescent="0.25">
      <c r="A16" s="616">
        <f t="shared" si="9"/>
        <v>10</v>
      </c>
      <c r="B16" s="369" t="str">
        <f>'Anx-C'!B20</f>
        <v>C/2023/PO468/CBD ADA Nullah/Pkg-1/petty-2</v>
      </c>
      <c r="C16" s="369" t="str">
        <f>+'Anx-C'!C20</f>
        <v xml:space="preserve"> (M/S Sapper &amp; Co)  </v>
      </c>
      <c r="D16" s="369" t="str">
        <f>+'Anx-C'!D20</f>
        <v>Electric Work Part A&amp;B</v>
      </c>
      <c r="E16" s="369">
        <f>+'Anx-C'!E20</f>
        <v>18.535</v>
      </c>
      <c r="F16" s="369">
        <f>+'Anx-C'!F20</f>
        <v>5.0380000000000003</v>
      </c>
      <c r="G16" s="357">
        <f>100%-'Anx-C'!H20</f>
        <v>0.27181008902077153</v>
      </c>
      <c r="H16" s="370">
        <f>'Anx-C'!I20*'Anx-E'!G16</f>
        <v>0</v>
      </c>
      <c r="I16" s="370">
        <f t="shared" ref="I16" si="10">H16*5%</f>
        <v>0</v>
      </c>
      <c r="J16" s="370">
        <f t="shared" ref="J16" si="11">(H16-I16-K16)*8%</f>
        <v>0</v>
      </c>
      <c r="K16" s="370">
        <v>0</v>
      </c>
      <c r="L16" s="370">
        <f t="shared" ref="L16" si="12">H16-I16-J16-K16</f>
        <v>0</v>
      </c>
      <c r="M16" s="387">
        <f>'Anx-C'!J20*'Anx-E'!G16</f>
        <v>7.8550397626112769</v>
      </c>
      <c r="N16" s="370">
        <f t="shared" ref="N16" si="13">M16*5%</f>
        <v>0.39275198813056389</v>
      </c>
      <c r="O16" s="370">
        <f t="shared" ref="O16" si="14">(M16-N16-P16)*8%</f>
        <v>0.59698302195845709</v>
      </c>
      <c r="P16" s="370">
        <v>0</v>
      </c>
      <c r="Q16" s="370">
        <f t="shared" ref="Q16" si="15">M16-N16-O16-P16</f>
        <v>6.8653047525222561</v>
      </c>
      <c r="R16" s="387">
        <f>+'Anx-C'!K20*'Anx-E'!G16</f>
        <v>0</v>
      </c>
      <c r="S16" s="370">
        <f t="shared" ref="S16" si="16">R16*5%</f>
        <v>0</v>
      </c>
      <c r="T16" s="370">
        <f t="shared" ref="T16" si="17">(R16-S16-U16)*8%</f>
        <v>0</v>
      </c>
      <c r="U16" s="370">
        <v>0</v>
      </c>
      <c r="V16" s="370">
        <f t="shared" ref="V16" si="18">R16-S16-T16-U16</f>
        <v>0</v>
      </c>
    </row>
    <row r="17" spans="1:22" x14ac:dyDescent="0.25">
      <c r="A17" s="491">
        <f>+A15+1</f>
        <v>10</v>
      </c>
      <c r="B17" s="369" t="str">
        <f>'Anx-C'!B21</f>
        <v>C/2023/PO468/CBD ADA Nullah/Pkg-1/petty-12</v>
      </c>
      <c r="C17" s="369" t="str">
        <f>+'Anx-C'!C21</f>
        <v xml:space="preserve"> (M/S BA Construction &amp; Co)  </v>
      </c>
      <c r="D17" s="369" t="str">
        <f>+'Anx-C'!D21</f>
        <v>ADA Nullah Part-A</v>
      </c>
      <c r="E17" s="370">
        <f>+'Anx-C'!E21</f>
        <v>16.492184099999999</v>
      </c>
      <c r="F17" s="370">
        <f>+'Anx-C'!F21</f>
        <v>14.84296569</v>
      </c>
      <c r="G17" s="357">
        <f>100%-'Anx-C'!H21</f>
        <v>0.9</v>
      </c>
      <c r="H17" s="370">
        <f>'Anx-C'!I21*'Anx-E'!G17</f>
        <v>0</v>
      </c>
      <c r="I17" s="370">
        <f t="shared" ref="I17:I27" si="19">H17*5%</f>
        <v>0</v>
      </c>
      <c r="J17" s="370">
        <f t="shared" ref="J17:J27" si="20">(H17-I17-K17)*8%</f>
        <v>0</v>
      </c>
      <c r="K17" s="370">
        <v>0</v>
      </c>
      <c r="L17" s="370">
        <f t="shared" ref="L17:L27" si="21">H17-I17-J17-K17</f>
        <v>0</v>
      </c>
      <c r="M17" s="387">
        <f>'Anx-C'!J21*'Anx-E'!G17</f>
        <v>15.143400000000002</v>
      </c>
      <c r="N17" s="370">
        <f t="shared" ref="N17:N27" si="22">M17*5%</f>
        <v>0.75717000000000012</v>
      </c>
      <c r="O17" s="370">
        <f t="shared" ref="O17:O27" si="23">(M17-N17-P17)*8%</f>
        <v>1.1508984000000002</v>
      </c>
      <c r="P17" s="370">
        <v>0</v>
      </c>
      <c r="Q17" s="370">
        <f t="shared" si="0"/>
        <v>13.2353316</v>
      </c>
      <c r="R17" s="387">
        <f>+'Anx-C'!K21*'Anx-E'!G17</f>
        <v>0</v>
      </c>
      <c r="S17" s="370">
        <f t="shared" ref="S17:S27" si="24">R17*5%</f>
        <v>0</v>
      </c>
      <c r="T17" s="370">
        <f t="shared" ref="T17:T32" si="25">(R17-S17-U17)*8%</f>
        <v>0</v>
      </c>
      <c r="U17" s="370">
        <v>0</v>
      </c>
      <c r="V17" s="370">
        <f t="shared" ref="V17:V32" si="26">R17-S17-T17-U17</f>
        <v>0</v>
      </c>
    </row>
    <row r="18" spans="1:22" x14ac:dyDescent="0.25">
      <c r="A18" s="491">
        <f t="shared" si="9"/>
        <v>11</v>
      </c>
      <c r="B18" s="369" t="str">
        <f>'Anx-C'!B22</f>
        <v>C/2023/PO468/CBD ADA Nullah/Pkg-1/petty-13</v>
      </c>
      <c r="C18" s="369" t="str">
        <f>+'Anx-C'!C22</f>
        <v xml:space="preserve"> (M/S BA Construction &amp; Co)  </v>
      </c>
      <c r="D18" s="369" t="str">
        <f>+'Anx-C'!D22</f>
        <v>ADA Nullah Part-B</v>
      </c>
      <c r="E18" s="370">
        <f>+'Anx-C'!E22</f>
        <v>16.645634082000001</v>
      </c>
      <c r="F18" s="370">
        <f>+'Anx-C'!F22</f>
        <v>14.981070673800001</v>
      </c>
      <c r="G18" s="357">
        <f>100%-'Anx-C'!H22</f>
        <v>0.9</v>
      </c>
      <c r="H18" s="370">
        <f>'Anx-C'!I22*'Anx-E'!G18</f>
        <v>0</v>
      </c>
      <c r="I18" s="370">
        <f t="shared" si="19"/>
        <v>0</v>
      </c>
      <c r="J18" s="370">
        <f t="shared" si="20"/>
        <v>0</v>
      </c>
      <c r="K18" s="370">
        <v>0</v>
      </c>
      <c r="L18" s="370">
        <f t="shared" si="21"/>
        <v>0</v>
      </c>
      <c r="M18" s="387">
        <f>'Anx-C'!J22*'Anx-E'!G18</f>
        <v>13.825800000000001</v>
      </c>
      <c r="N18" s="370">
        <f t="shared" si="22"/>
        <v>0.69129000000000007</v>
      </c>
      <c r="O18" s="370">
        <f t="shared" si="23"/>
        <v>1.0507608000000002</v>
      </c>
      <c r="P18" s="370">
        <v>0</v>
      </c>
      <c r="Q18" s="370">
        <f t="shared" si="0"/>
        <v>12.0837492</v>
      </c>
      <c r="R18" s="387">
        <f>+'Anx-C'!K22*'Anx-E'!G18</f>
        <v>0</v>
      </c>
      <c r="S18" s="370">
        <f t="shared" si="24"/>
        <v>0</v>
      </c>
      <c r="T18" s="370">
        <f t="shared" si="25"/>
        <v>0</v>
      </c>
      <c r="U18" s="370">
        <v>0</v>
      </c>
      <c r="V18" s="370">
        <f t="shared" si="26"/>
        <v>0</v>
      </c>
    </row>
    <row r="19" spans="1:22" ht="28.5" x14ac:dyDescent="0.25">
      <c r="A19" s="491">
        <f t="shared" si="9"/>
        <v>12</v>
      </c>
      <c r="B19" s="369" t="str">
        <f>'Anx-C'!B23</f>
        <v>C/2023/PO468/CBD ADA Nullah/Pkg-1/petty-14</v>
      </c>
      <c r="C19" s="369" t="str">
        <f>+'Anx-C'!C23</f>
        <v xml:space="preserve"> (M/S Reckon Enterprises)  </v>
      </c>
      <c r="D19" s="369" t="str">
        <f>+'Anx-C'!D23</f>
        <v>Sewerage &amp; Conduit Work</v>
      </c>
      <c r="E19" s="370">
        <f>+'Anx-C'!E23</f>
        <v>13.680683782527899</v>
      </c>
      <c r="F19" s="370">
        <f>+'Anx-C'!F23</f>
        <v>10.94454702602232</v>
      </c>
      <c r="G19" s="357">
        <f>100%-'Anx-C'!H23</f>
        <v>0.8</v>
      </c>
      <c r="H19" s="370">
        <f>'Anx-C'!I23*'Anx-E'!G19</f>
        <v>0</v>
      </c>
      <c r="I19" s="370">
        <f t="shared" si="19"/>
        <v>0</v>
      </c>
      <c r="J19" s="370">
        <f t="shared" si="20"/>
        <v>0</v>
      </c>
      <c r="K19" s="370">
        <v>0</v>
      </c>
      <c r="L19" s="370">
        <f t="shared" si="21"/>
        <v>0</v>
      </c>
      <c r="M19" s="387">
        <f>'Anx-C'!J23*'Anx-E'!G19</f>
        <v>12.757163200000001</v>
      </c>
      <c r="N19" s="370">
        <f t="shared" si="22"/>
        <v>0.63785816000000006</v>
      </c>
      <c r="O19" s="370">
        <f t="shared" si="23"/>
        <v>0.96954440320000002</v>
      </c>
      <c r="P19" s="370">
        <v>0</v>
      </c>
      <c r="Q19" s="370">
        <f t="shared" si="0"/>
        <v>11.1497606368</v>
      </c>
      <c r="R19" s="387">
        <f>+'Anx-C'!K23*'Anx-E'!G19</f>
        <v>0</v>
      </c>
      <c r="S19" s="370">
        <f t="shared" si="24"/>
        <v>0</v>
      </c>
      <c r="T19" s="370">
        <f t="shared" si="25"/>
        <v>0</v>
      </c>
      <c r="U19" s="370">
        <v>0</v>
      </c>
      <c r="V19" s="370">
        <f t="shared" si="26"/>
        <v>0</v>
      </c>
    </row>
    <row r="20" spans="1:22" ht="28.5" x14ac:dyDescent="0.25">
      <c r="A20" s="491">
        <f t="shared" si="9"/>
        <v>13</v>
      </c>
      <c r="B20" s="369" t="str">
        <f>'Anx-C'!B24</f>
        <v>C/2023/PO468/CBD ADA Nullah/Pkg-1/petty-15</v>
      </c>
      <c r="C20" s="369" t="str">
        <f>+'Anx-C'!C24</f>
        <v xml:space="preserve"> (M/S Reckon Enterprises)  </v>
      </c>
      <c r="D20" s="369" t="str">
        <f>+'Anx-C'!D24</f>
        <v>Sewerage &amp; Conduit Work</v>
      </c>
      <c r="E20" s="370">
        <f>+'Anx-C'!E24</f>
        <v>13.6877909059556</v>
      </c>
      <c r="F20" s="370">
        <f>+'Anx-C'!F24</f>
        <v>10.950232724764481</v>
      </c>
      <c r="G20" s="357">
        <f>100%-'Anx-C'!H24</f>
        <v>0.8</v>
      </c>
      <c r="H20" s="370">
        <f>'Anx-C'!I24*'Anx-E'!G20</f>
        <v>0</v>
      </c>
      <c r="I20" s="370">
        <f t="shared" si="19"/>
        <v>0</v>
      </c>
      <c r="J20" s="370">
        <f t="shared" si="20"/>
        <v>0</v>
      </c>
      <c r="K20" s="370">
        <v>0</v>
      </c>
      <c r="L20" s="370">
        <f t="shared" si="21"/>
        <v>0</v>
      </c>
      <c r="M20" s="387">
        <f>'Anx-C'!J24*'Anx-E'!G20</f>
        <v>14.155200000000001</v>
      </c>
      <c r="N20" s="370">
        <f t="shared" si="22"/>
        <v>0.70776000000000006</v>
      </c>
      <c r="O20" s="370">
        <f t="shared" si="23"/>
        <v>1.0757952</v>
      </c>
      <c r="P20" s="370">
        <v>0</v>
      </c>
      <c r="Q20" s="370">
        <f t="shared" si="0"/>
        <v>12.3716448</v>
      </c>
      <c r="R20" s="387">
        <f>+'Anx-C'!K24*'Anx-E'!G20</f>
        <v>0</v>
      </c>
      <c r="S20" s="370">
        <f t="shared" si="24"/>
        <v>0</v>
      </c>
      <c r="T20" s="370">
        <f t="shared" si="25"/>
        <v>0</v>
      </c>
      <c r="U20" s="370">
        <v>0</v>
      </c>
      <c r="V20" s="370">
        <f t="shared" si="26"/>
        <v>0</v>
      </c>
    </row>
    <row r="21" spans="1:22" ht="28.5" x14ac:dyDescent="0.25">
      <c r="A21" s="491">
        <f t="shared" si="9"/>
        <v>14</v>
      </c>
      <c r="B21" s="369" t="str">
        <f>'Anx-C'!B25</f>
        <v>C/2023/PO468/CBD ADA Nullah/Pkg-1/petty-34 &amp; 36</v>
      </c>
      <c r="C21" s="369" t="str">
        <f>+'Anx-C'!C25</f>
        <v>M/S North Land</v>
      </c>
      <c r="D21" s="369" t="str">
        <f>+'Anx-C'!D25</f>
        <v>Sewerage Thrust Bore</v>
      </c>
      <c r="E21" s="370">
        <f>+'Anx-C'!E25</f>
        <v>27.587</v>
      </c>
      <c r="F21" s="370">
        <f>+'Anx-C'!F25</f>
        <v>24.74</v>
      </c>
      <c r="G21" s="357">
        <f>100%-'Anx-C'!H25</f>
        <v>0.89679921702251053</v>
      </c>
      <c r="H21" s="370">
        <f>'Anx-C'!I25*'Anx-E'!G21</f>
        <v>0</v>
      </c>
      <c r="I21" s="370">
        <f t="shared" si="19"/>
        <v>0</v>
      </c>
      <c r="J21" s="370">
        <f t="shared" si="20"/>
        <v>0</v>
      </c>
      <c r="K21" s="370">
        <v>0</v>
      </c>
      <c r="L21" s="370">
        <f t="shared" si="21"/>
        <v>0</v>
      </c>
      <c r="M21" s="387">
        <f>'Anx-C'!J25*'Anx-E'!G21</f>
        <v>22.725788958567438</v>
      </c>
      <c r="N21" s="370">
        <f t="shared" si="22"/>
        <v>1.1362894479283721</v>
      </c>
      <c r="O21" s="370">
        <f t="shared" si="23"/>
        <v>1.7271599608511252</v>
      </c>
      <c r="P21" s="370">
        <v>0</v>
      </c>
      <c r="Q21" s="370">
        <f t="shared" si="0"/>
        <v>19.86233954978794</v>
      </c>
      <c r="R21" s="387">
        <f>+'Anx-C'!K25*'Anx-E'!G21</f>
        <v>0</v>
      </c>
      <c r="S21" s="370">
        <f t="shared" si="24"/>
        <v>0</v>
      </c>
      <c r="T21" s="370">
        <f t="shared" si="25"/>
        <v>0</v>
      </c>
      <c r="U21" s="370">
        <v>0</v>
      </c>
      <c r="V21" s="370">
        <f t="shared" si="26"/>
        <v>0</v>
      </c>
    </row>
    <row r="22" spans="1:22" ht="28.5" x14ac:dyDescent="0.25">
      <c r="A22" s="491">
        <f t="shared" si="9"/>
        <v>15</v>
      </c>
      <c r="B22" s="369" t="str">
        <f>'Anx-C'!B26</f>
        <v>C/2023/PO468/CBD ADA Nullah/Pkg-1/petty-26</v>
      </c>
      <c r="C22" s="369" t="str">
        <f>+'Anx-C'!C26</f>
        <v xml:space="preserve"> (M/S Reckon Enterprises)  </v>
      </c>
      <c r="D22" s="369" t="str">
        <f>+'Anx-C'!D26</f>
        <v>Sewerage &amp; Conduit Work</v>
      </c>
      <c r="E22" s="370">
        <f>+'Anx-C'!E26</f>
        <v>16.103999999999999</v>
      </c>
      <c r="F22" s="370">
        <f>+'Anx-C'!F26</f>
        <v>12.884</v>
      </c>
      <c r="G22" s="357">
        <f>100%-'Anx-C'!H26</f>
        <v>0.80004967709885744</v>
      </c>
      <c r="H22" s="370">
        <f>'Anx-C'!I26*'Anx-E'!G22</f>
        <v>0</v>
      </c>
      <c r="I22" s="370">
        <f t="shared" si="19"/>
        <v>0</v>
      </c>
      <c r="J22" s="370">
        <f t="shared" si="20"/>
        <v>0</v>
      </c>
      <c r="K22" s="370">
        <v>0</v>
      </c>
      <c r="L22" s="370">
        <f t="shared" si="21"/>
        <v>0</v>
      </c>
      <c r="M22" s="387">
        <f>'Anx-C'!J26*'Anx-E'!G22</f>
        <v>12.755992051664181</v>
      </c>
      <c r="N22" s="370">
        <f t="shared" si="22"/>
        <v>0.63779960258320911</v>
      </c>
      <c r="O22" s="370">
        <f t="shared" si="23"/>
        <v>0.96945539592647778</v>
      </c>
      <c r="P22" s="370">
        <v>0</v>
      </c>
      <c r="Q22" s="370">
        <f t="shared" si="0"/>
        <v>11.148737053154495</v>
      </c>
      <c r="R22" s="387">
        <f>+'Anx-C'!K26*'Anx-E'!G22</f>
        <v>0</v>
      </c>
      <c r="S22" s="370">
        <f t="shared" si="24"/>
        <v>0</v>
      </c>
      <c r="T22" s="370">
        <f t="shared" si="25"/>
        <v>0</v>
      </c>
      <c r="U22" s="370">
        <v>0</v>
      </c>
      <c r="V22" s="370">
        <f t="shared" si="26"/>
        <v>0</v>
      </c>
    </row>
    <row r="23" spans="1:22" ht="28.5" x14ac:dyDescent="0.25">
      <c r="A23" s="491">
        <f t="shared" si="9"/>
        <v>16</v>
      </c>
      <c r="B23" s="369" t="str">
        <f>'Anx-C'!B27</f>
        <v>C/2023/PO468/CBD ADA Nullah/Pkg-1/petty-27</v>
      </c>
      <c r="C23" s="369" t="str">
        <f>+'Anx-C'!C27</f>
        <v xml:space="preserve"> (M/S Reckon Enterprises)  </v>
      </c>
      <c r="D23" s="369" t="str">
        <f>+'Anx-C'!D27</f>
        <v>Sewerage &amp; Conduit Work</v>
      </c>
      <c r="E23" s="370">
        <f>+'Anx-C'!E27</f>
        <v>16.064</v>
      </c>
      <c r="F23" s="370">
        <f>+'Anx-C'!F27</f>
        <v>12.852</v>
      </c>
      <c r="G23" s="357">
        <f>100%-'Anx-C'!H27</f>
        <v>0.80004980079681276</v>
      </c>
      <c r="H23" s="370">
        <f>'Anx-C'!I27*'Anx-E'!G23</f>
        <v>0</v>
      </c>
      <c r="I23" s="370">
        <f t="shared" si="19"/>
        <v>0</v>
      </c>
      <c r="J23" s="370">
        <f t="shared" si="20"/>
        <v>0</v>
      </c>
      <c r="K23" s="370">
        <v>0</v>
      </c>
      <c r="L23" s="370">
        <f t="shared" si="21"/>
        <v>0</v>
      </c>
      <c r="M23" s="387">
        <f>'Anx-C'!J27*'Anx-E'!G23</f>
        <v>11.83833690239044</v>
      </c>
      <c r="N23" s="370">
        <f t="shared" si="22"/>
        <v>0.59191684511952203</v>
      </c>
      <c r="O23" s="370">
        <f t="shared" si="23"/>
        <v>0.89971360458167338</v>
      </c>
      <c r="P23" s="370">
        <v>0</v>
      </c>
      <c r="Q23" s="370">
        <f t="shared" si="0"/>
        <v>10.346706452689244</v>
      </c>
      <c r="R23" s="387">
        <f>+'Anx-C'!K27*'Anx-E'!G23</f>
        <v>0</v>
      </c>
      <c r="S23" s="370">
        <f t="shared" si="24"/>
        <v>0</v>
      </c>
      <c r="T23" s="370">
        <f t="shared" si="25"/>
        <v>0</v>
      </c>
      <c r="U23" s="370">
        <v>0</v>
      </c>
      <c r="V23" s="370">
        <f t="shared" si="26"/>
        <v>0</v>
      </c>
    </row>
    <row r="24" spans="1:22" ht="28.5" x14ac:dyDescent="0.25">
      <c r="A24" s="491">
        <f t="shared" si="9"/>
        <v>17</v>
      </c>
      <c r="B24" s="369" t="str">
        <f>'Anx-C'!B28</f>
        <v>C/2023/PO468/CBD ADA Nullah/Pkg-1/petty-31</v>
      </c>
      <c r="C24" s="369" t="str">
        <f>+'Anx-C'!C28</f>
        <v>M/S North Land</v>
      </c>
      <c r="D24" s="369" t="str">
        <f>+'Anx-C'!D28</f>
        <v>Sewerage Diplomatic Ecclave Link Road</v>
      </c>
      <c r="E24" s="370">
        <f>+'Anx-C'!E28</f>
        <v>12.08</v>
      </c>
      <c r="F24" s="370">
        <f>+'Anx-C'!F28</f>
        <v>12.025</v>
      </c>
      <c r="G24" s="357">
        <f>100%-'Anx-C'!H28</f>
        <v>0.99544701986754969</v>
      </c>
      <c r="H24" s="370">
        <f>'Anx-C'!I28*'Anx-E'!G24</f>
        <v>0</v>
      </c>
      <c r="I24" s="370">
        <f t="shared" si="19"/>
        <v>0</v>
      </c>
      <c r="J24" s="370">
        <f t="shared" si="20"/>
        <v>0</v>
      </c>
      <c r="K24" s="370">
        <v>0</v>
      </c>
      <c r="L24" s="370">
        <f t="shared" si="21"/>
        <v>0</v>
      </c>
      <c r="M24" s="387">
        <f>'Anx-C'!J28*'Anx-E'!G24</f>
        <v>15.295043460264901</v>
      </c>
      <c r="N24" s="370">
        <f t="shared" si="22"/>
        <v>0.76475217301324516</v>
      </c>
      <c r="O24" s="370">
        <f t="shared" si="23"/>
        <v>1.1624233029801325</v>
      </c>
      <c r="P24" s="370">
        <v>0</v>
      </c>
      <c r="Q24" s="370">
        <f t="shared" si="0"/>
        <v>13.367867984271525</v>
      </c>
      <c r="R24" s="387">
        <f>+'Anx-C'!K28*'Anx-E'!G24</f>
        <v>0</v>
      </c>
      <c r="S24" s="370">
        <f t="shared" si="24"/>
        <v>0</v>
      </c>
      <c r="T24" s="370">
        <f t="shared" si="25"/>
        <v>0</v>
      </c>
      <c r="U24" s="370">
        <v>0</v>
      </c>
      <c r="V24" s="370">
        <f t="shared" si="26"/>
        <v>0</v>
      </c>
    </row>
    <row r="25" spans="1:22" x14ac:dyDescent="0.25">
      <c r="A25" s="491">
        <f t="shared" si="9"/>
        <v>18</v>
      </c>
      <c r="B25" s="369" t="str">
        <f>'Anx-C'!B29</f>
        <v>C/2023/PO468/CBD ADA Nullah/Pkg-1/petty-29</v>
      </c>
      <c r="C25" s="369" t="str">
        <f>+'Anx-C'!C29</f>
        <v>M/S Inzi</v>
      </c>
      <c r="D25" s="369" t="str">
        <f>+'Anx-C'!D29</f>
        <v>Sewerage Rider Sewer</v>
      </c>
      <c r="E25" s="370">
        <f>+'Anx-C'!E29</f>
        <v>14.706</v>
      </c>
      <c r="F25" s="370">
        <f>+'Anx-C'!F29</f>
        <v>13.724</v>
      </c>
      <c r="G25" s="357">
        <f>100%-'Anx-C'!H29</f>
        <v>0.93322453420372642</v>
      </c>
      <c r="H25" s="370">
        <f>'Anx-C'!I29*'Anx-E'!G25</f>
        <v>0</v>
      </c>
      <c r="I25" s="370">
        <f t="shared" si="19"/>
        <v>0</v>
      </c>
      <c r="J25" s="370">
        <f t="shared" si="20"/>
        <v>0</v>
      </c>
      <c r="K25" s="370">
        <v>0</v>
      </c>
      <c r="L25" s="370">
        <f t="shared" si="21"/>
        <v>0</v>
      </c>
      <c r="M25" s="387">
        <f>'Anx-C'!J29*'Anx-E'!G25</f>
        <v>12.718917176662588</v>
      </c>
      <c r="N25" s="370">
        <f t="shared" si="22"/>
        <v>0.63594585883312948</v>
      </c>
      <c r="O25" s="370">
        <f t="shared" si="23"/>
        <v>0.96663770542635663</v>
      </c>
      <c r="P25" s="370">
        <v>0</v>
      </c>
      <c r="Q25" s="370">
        <f t="shared" si="0"/>
        <v>11.116333612403102</v>
      </c>
      <c r="R25" s="387">
        <f>+'Anx-C'!K29*'Anx-E'!G25</f>
        <v>0</v>
      </c>
      <c r="S25" s="370">
        <f t="shared" si="24"/>
        <v>0</v>
      </c>
      <c r="T25" s="370">
        <f t="shared" si="25"/>
        <v>0</v>
      </c>
      <c r="U25" s="370">
        <v>0</v>
      </c>
      <c r="V25" s="370">
        <f t="shared" si="26"/>
        <v>0</v>
      </c>
    </row>
    <row r="26" spans="1:22" x14ac:dyDescent="0.25">
      <c r="A26" s="491">
        <f t="shared" si="9"/>
        <v>19</v>
      </c>
      <c r="B26" s="369" t="str">
        <f>'Anx-C'!B30</f>
        <v>C/2023/PO468/CBD ADA Nullah/Pkg-1/petty-28</v>
      </c>
      <c r="C26" s="369" t="str">
        <f>+'Anx-C'!C30</f>
        <v>M/S Inzi</v>
      </c>
      <c r="D26" s="369" t="str">
        <f>+'Anx-C'!D30</f>
        <v>72", 66" Dia Pipe Laying</v>
      </c>
      <c r="E26" s="370">
        <f>+'Anx-C'!E30</f>
        <v>4.84</v>
      </c>
      <c r="F26" s="370">
        <f>+'Anx-C'!F30</f>
        <v>4.7450000000000001</v>
      </c>
      <c r="G26" s="357">
        <f>100%-'Anx-C'!H30</f>
        <v>0.98037190082644632</v>
      </c>
      <c r="H26" s="370">
        <f>'Anx-C'!I30*'Anx-E'!G26</f>
        <v>0</v>
      </c>
      <c r="I26" s="370">
        <f t="shared" si="19"/>
        <v>0</v>
      </c>
      <c r="J26" s="370">
        <f t="shared" si="20"/>
        <v>0</v>
      </c>
      <c r="K26" s="370">
        <v>0</v>
      </c>
      <c r="L26" s="370">
        <f t="shared" si="21"/>
        <v>0</v>
      </c>
      <c r="M26" s="387">
        <f>'Anx-C'!J30*'Anx-E'!G26</f>
        <v>2.9117045454545458</v>
      </c>
      <c r="N26" s="370">
        <f t="shared" si="22"/>
        <v>0.1455852272727273</v>
      </c>
      <c r="O26" s="370">
        <f t="shared" si="23"/>
        <v>0.22128954545454549</v>
      </c>
      <c r="P26" s="370">
        <v>0</v>
      </c>
      <c r="Q26" s="370">
        <f t="shared" si="0"/>
        <v>2.5448297727272728</v>
      </c>
      <c r="R26" s="387">
        <f>+'Anx-C'!K30*'Anx-E'!G26</f>
        <v>0</v>
      </c>
      <c r="S26" s="370">
        <f t="shared" si="24"/>
        <v>0</v>
      </c>
      <c r="T26" s="370">
        <f t="shared" si="25"/>
        <v>0</v>
      </c>
      <c r="U26" s="370">
        <v>0</v>
      </c>
      <c r="V26" s="370">
        <f t="shared" si="26"/>
        <v>0</v>
      </c>
    </row>
    <row r="27" spans="1:22" ht="28.5" x14ac:dyDescent="0.25">
      <c r="A27" s="491">
        <f t="shared" si="9"/>
        <v>20</v>
      </c>
      <c r="B27" s="369" t="str">
        <f>'Anx-C'!B31</f>
        <v>C/2023/PO468/CBD ADA Nullah/Pkg-1/petty-x 7 CA #33,35,37,38,40,48,51</v>
      </c>
      <c r="C27" s="369" t="str">
        <f>+'Anx-C'!C31</f>
        <v>M/S Land Lad</v>
      </c>
      <c r="D27" s="369" t="str">
        <f>+'Anx-C'!D31</f>
        <v>Sewerage Rider &amp; Drainage</v>
      </c>
      <c r="E27" s="370">
        <f>+'Anx-C'!E31</f>
        <v>61.136000000000003</v>
      </c>
      <c r="F27" s="370">
        <f>+'Anx-C'!F31</f>
        <v>59.932000000000002</v>
      </c>
      <c r="G27" s="357">
        <f>100%-'Anx-C'!H31</f>
        <v>0.98030620256477363</v>
      </c>
      <c r="H27" s="370">
        <f>'Anx-C'!I31*'Anx-E'!G27</f>
        <v>0</v>
      </c>
      <c r="I27" s="370">
        <f t="shared" si="19"/>
        <v>0</v>
      </c>
      <c r="J27" s="370">
        <f t="shared" si="20"/>
        <v>0</v>
      </c>
      <c r="K27" s="370">
        <v>0</v>
      </c>
      <c r="L27" s="370">
        <f t="shared" si="21"/>
        <v>0</v>
      </c>
      <c r="M27" s="387">
        <f>'Anx-C'!J31*'Anx-E'!G27</f>
        <v>145.39999627060976</v>
      </c>
      <c r="N27" s="370">
        <f t="shared" si="22"/>
        <v>7.2699998135304886</v>
      </c>
      <c r="O27" s="370">
        <f t="shared" si="23"/>
        <v>11.050399716566343</v>
      </c>
      <c r="P27" s="370">
        <v>0</v>
      </c>
      <c r="Q27" s="370">
        <f t="shared" si="0"/>
        <v>127.07959674051293</v>
      </c>
      <c r="R27" s="387">
        <f>+'Anx-C'!K31*'Anx-E'!G27</f>
        <v>0</v>
      </c>
      <c r="S27" s="370">
        <f t="shared" si="24"/>
        <v>0</v>
      </c>
      <c r="T27" s="370">
        <f t="shared" si="25"/>
        <v>0</v>
      </c>
      <c r="U27" s="370">
        <v>0</v>
      </c>
      <c r="V27" s="370">
        <f t="shared" si="26"/>
        <v>0</v>
      </c>
    </row>
    <row r="28" spans="1:22" x14ac:dyDescent="0.25">
      <c r="A28" s="491">
        <f t="shared" si="9"/>
        <v>21</v>
      </c>
      <c r="B28" s="369" t="str">
        <f>'Anx-C'!B32</f>
        <v>C/2023/PO468/CBD ADA Nullah/Pkg-1/petty-30</v>
      </c>
      <c r="C28" s="369" t="str">
        <f>+'Anx-C'!C32</f>
        <v>M/S Inzi</v>
      </c>
      <c r="D28" s="369" t="str">
        <f>+'Anx-C'!D32</f>
        <v>Sewerage Rider Sewer</v>
      </c>
      <c r="E28" s="370">
        <f>+'Anx-C'!E32</f>
        <v>14.706</v>
      </c>
      <c r="F28" s="370">
        <f>+'Anx-C'!F32</f>
        <v>13.724</v>
      </c>
      <c r="G28" s="357">
        <f>100%-'Anx-C'!H32</f>
        <v>0.93322453420372642</v>
      </c>
      <c r="H28" s="370">
        <f>'Anx-C'!I32*'Anx-E'!G28</f>
        <v>0</v>
      </c>
      <c r="I28" s="370">
        <f t="shared" ref="I28:I33" si="27">H28*5%</f>
        <v>0</v>
      </c>
      <c r="J28" s="370">
        <f t="shared" ref="J28:J38" si="28">(H28-I28-K28)*8%</f>
        <v>0</v>
      </c>
      <c r="K28" s="370">
        <v>0</v>
      </c>
      <c r="L28" s="370">
        <f t="shared" ref="L28:L38" si="29">H28-I28-J28-K28</f>
        <v>0</v>
      </c>
      <c r="M28" s="387">
        <f>'Anx-C'!J32*'Anx-E'!G28</f>
        <v>0</v>
      </c>
      <c r="N28" s="370">
        <f t="shared" ref="N28:N34" si="30">M28*5%</f>
        <v>0</v>
      </c>
      <c r="O28" s="370">
        <f t="shared" ref="O28:O34" si="31">(M28-N28-P28)*8%</f>
        <v>0</v>
      </c>
      <c r="P28" s="370">
        <v>0</v>
      </c>
      <c r="Q28" s="370">
        <f t="shared" ref="Q28:Q34" si="32">M28-N28-O28-P28</f>
        <v>0</v>
      </c>
      <c r="R28" s="387">
        <f>+'Anx-C'!K32*'Anx-E'!G28</f>
        <v>0</v>
      </c>
      <c r="S28" s="370">
        <f t="shared" ref="S28:S34" si="33">R28*5%</f>
        <v>0</v>
      </c>
      <c r="T28" s="370">
        <f t="shared" si="25"/>
        <v>0</v>
      </c>
      <c r="U28" s="370">
        <v>0</v>
      </c>
      <c r="V28" s="370">
        <f t="shared" si="26"/>
        <v>0</v>
      </c>
    </row>
    <row r="29" spans="1:22" x14ac:dyDescent="0.25">
      <c r="A29" s="491">
        <f t="shared" si="9"/>
        <v>22</v>
      </c>
      <c r="B29" s="369" t="str">
        <f>'Anx-C'!B33</f>
        <v>C/2023/PO468/CBD ADA Nullah/Pkg-1/petty-32</v>
      </c>
      <c r="C29" s="369" t="str">
        <f>+'Anx-C'!C33</f>
        <v>M/S Inzi</v>
      </c>
      <c r="D29" s="369" t="str">
        <f>+'Anx-C'!D33</f>
        <v>Sewerage Rider Sewer</v>
      </c>
      <c r="E29" s="370">
        <f>+'Anx-C'!E33</f>
        <v>14.706</v>
      </c>
      <c r="F29" s="370">
        <f>+'Anx-C'!F33</f>
        <v>13.724</v>
      </c>
      <c r="G29" s="357">
        <f>100%-'Anx-C'!H33</f>
        <v>0.93322453420372642</v>
      </c>
      <c r="H29" s="370">
        <f>'Anx-C'!I33*'Anx-E'!G29</f>
        <v>0</v>
      </c>
      <c r="I29" s="370">
        <f t="shared" si="27"/>
        <v>0</v>
      </c>
      <c r="J29" s="370">
        <f t="shared" si="28"/>
        <v>0</v>
      </c>
      <c r="K29" s="370">
        <v>0</v>
      </c>
      <c r="L29" s="370">
        <f t="shared" si="29"/>
        <v>0</v>
      </c>
      <c r="M29" s="387">
        <f>'Anx-C'!J33*'Anx-E'!G29</f>
        <v>0</v>
      </c>
      <c r="N29" s="370">
        <f t="shared" si="30"/>
        <v>0</v>
      </c>
      <c r="O29" s="370">
        <f t="shared" si="31"/>
        <v>0</v>
      </c>
      <c r="P29" s="370">
        <v>0</v>
      </c>
      <c r="Q29" s="370">
        <f t="shared" si="32"/>
        <v>0</v>
      </c>
      <c r="R29" s="387">
        <f>+'Anx-C'!K33*'Anx-E'!G29</f>
        <v>0</v>
      </c>
      <c r="S29" s="370">
        <f t="shared" si="33"/>
        <v>0</v>
      </c>
      <c r="T29" s="370">
        <f t="shared" si="25"/>
        <v>0</v>
      </c>
      <c r="U29" s="370">
        <v>0</v>
      </c>
      <c r="V29" s="370">
        <f t="shared" si="26"/>
        <v>0</v>
      </c>
    </row>
    <row r="30" spans="1:22" x14ac:dyDescent="0.25">
      <c r="A30" s="491">
        <f t="shared" si="9"/>
        <v>23</v>
      </c>
      <c r="B30" s="369" t="str">
        <f>'Anx-C'!B34</f>
        <v xml:space="preserve">C/2023/PO468/CBD ADA Nullah/Pkg-1/petty-24 </v>
      </c>
      <c r="C30" s="369" t="str">
        <f>+'Anx-C'!C34</f>
        <v>M/S BuildBest Builder</v>
      </c>
      <c r="D30" s="369" t="str">
        <f>+'Anx-C'!D34</f>
        <v>Pedestrain Bridge</v>
      </c>
      <c r="E30" s="370">
        <f>+'Anx-C'!E34</f>
        <v>6.3529999999999998</v>
      </c>
      <c r="F30" s="370">
        <f>+'Anx-C'!F34</f>
        <v>5.5609999999999999</v>
      </c>
      <c r="G30" s="357">
        <f>100%-'Anx-C'!H34</f>
        <v>0.87533448764363297</v>
      </c>
      <c r="H30" s="370">
        <f>'Anx-C'!I34*'Anx-E'!G30</f>
        <v>0</v>
      </c>
      <c r="I30" s="370">
        <f t="shared" si="27"/>
        <v>0</v>
      </c>
      <c r="J30" s="370">
        <f t="shared" si="28"/>
        <v>0</v>
      </c>
      <c r="K30" s="370">
        <v>0</v>
      </c>
      <c r="L30" s="370">
        <f t="shared" si="29"/>
        <v>0</v>
      </c>
      <c r="M30" s="387">
        <f>'Anx-C'!J34*'Anx-E'!G30</f>
        <v>20.611501180544625</v>
      </c>
      <c r="N30" s="370">
        <f t="shared" si="30"/>
        <v>1.0305750590272313</v>
      </c>
      <c r="O30" s="370">
        <f t="shared" si="31"/>
        <v>1.5664740897213916</v>
      </c>
      <c r="P30" s="370">
        <v>0</v>
      </c>
      <c r="Q30" s="370">
        <f t="shared" si="32"/>
        <v>18.014452031796001</v>
      </c>
      <c r="R30" s="387">
        <f>+'Anx-C'!K34*'Anx-E'!G30</f>
        <v>0</v>
      </c>
      <c r="S30" s="370">
        <f t="shared" si="33"/>
        <v>0</v>
      </c>
      <c r="T30" s="370">
        <f t="shared" si="25"/>
        <v>0</v>
      </c>
      <c r="U30" s="370">
        <v>0</v>
      </c>
      <c r="V30" s="370">
        <f t="shared" si="26"/>
        <v>0</v>
      </c>
    </row>
    <row r="31" spans="1:22" x14ac:dyDescent="0.25">
      <c r="A31" s="491">
        <f t="shared" si="9"/>
        <v>24</v>
      </c>
      <c r="B31" s="369" t="str">
        <f>'Anx-C'!B35</f>
        <v>C/2023/PO468/CBD ADA Nullah/Pkg-1/petty-39</v>
      </c>
      <c r="C31" s="369" t="str">
        <f>+'Anx-C'!C35</f>
        <v>M/S Land Lad</v>
      </c>
      <c r="D31" s="369" t="str">
        <f>+'Anx-C'!D35</f>
        <v>Pedestrain Bridge</v>
      </c>
      <c r="E31" s="370">
        <f>+'Anx-C'!E35</f>
        <v>6.3529999999999998</v>
      </c>
      <c r="F31" s="370">
        <f>+'Anx-C'!F35</f>
        <v>5.5609999999999999</v>
      </c>
      <c r="G31" s="357">
        <f>100%-'Anx-C'!H35</f>
        <v>0.87533448764363297</v>
      </c>
      <c r="H31" s="370">
        <f>'Anx-C'!I35*'Anx-E'!G31</f>
        <v>0</v>
      </c>
      <c r="I31" s="370">
        <f t="shared" si="27"/>
        <v>0</v>
      </c>
      <c r="J31" s="370">
        <f t="shared" si="28"/>
        <v>0</v>
      </c>
      <c r="K31" s="370">
        <v>0</v>
      </c>
      <c r="L31" s="370">
        <f t="shared" si="29"/>
        <v>0</v>
      </c>
      <c r="M31" s="387">
        <f>'Anx-C'!J35*'Anx-E'!G31</f>
        <v>11.589428616401699</v>
      </c>
      <c r="N31" s="370">
        <f t="shared" si="30"/>
        <v>0.57947143082008501</v>
      </c>
      <c r="O31" s="370">
        <f t="shared" si="31"/>
        <v>0.88079657484652918</v>
      </c>
      <c r="P31" s="370">
        <v>0</v>
      </c>
      <c r="Q31" s="370">
        <f t="shared" si="32"/>
        <v>10.129160610735084</v>
      </c>
      <c r="R31" s="387">
        <f>+'Anx-C'!K35*'Anx-E'!G31</f>
        <v>0</v>
      </c>
      <c r="S31" s="370">
        <f t="shared" si="33"/>
        <v>0</v>
      </c>
      <c r="T31" s="370">
        <f t="shared" si="25"/>
        <v>0</v>
      </c>
      <c r="U31" s="370">
        <v>0</v>
      </c>
      <c r="V31" s="370">
        <f t="shared" si="26"/>
        <v>0</v>
      </c>
    </row>
    <row r="32" spans="1:22" ht="28.5" x14ac:dyDescent="0.25">
      <c r="A32" s="491">
        <f t="shared" si="9"/>
        <v>25</v>
      </c>
      <c r="B32" s="369" t="str">
        <f>'Anx-C'!B36</f>
        <v>C/2023/PO468/CBD ADA Nullah/Pkg-1/petty-</v>
      </c>
      <c r="C32" s="369" t="str">
        <f>+'Anx-C'!C36</f>
        <v>M/S Choudary Sons</v>
      </c>
      <c r="D32" s="369" t="str">
        <f>+'Anx-C'!D36</f>
        <v>De Sitting of Nullah Work Army Area</v>
      </c>
      <c r="E32" s="370">
        <f>+'Anx-C'!E36</f>
        <v>16.437000000000001</v>
      </c>
      <c r="F32" s="370">
        <f>+'Anx-C'!F36</f>
        <v>14.792999999999999</v>
      </c>
      <c r="G32" s="357">
        <f>100%-'Anx-C'!H36</f>
        <v>0.89998174849425072</v>
      </c>
      <c r="H32" s="370">
        <f>'Anx-C'!I36*'Anx-E'!G32</f>
        <v>0</v>
      </c>
      <c r="I32" s="370">
        <f t="shared" si="27"/>
        <v>0</v>
      </c>
      <c r="J32" s="370">
        <f t="shared" si="28"/>
        <v>0</v>
      </c>
      <c r="K32" s="370">
        <v>0</v>
      </c>
      <c r="L32" s="370">
        <f t="shared" si="29"/>
        <v>0</v>
      </c>
      <c r="M32" s="387">
        <f>'Anx-C'!J36*'Anx-E'!G32</f>
        <v>17.748540062055117</v>
      </c>
      <c r="N32" s="370">
        <f t="shared" si="30"/>
        <v>0.88742700310275591</v>
      </c>
      <c r="O32" s="370">
        <f t="shared" si="31"/>
        <v>1.348889044716189</v>
      </c>
      <c r="P32" s="370">
        <v>0</v>
      </c>
      <c r="Q32" s="370">
        <f t="shared" si="32"/>
        <v>15.512224014236173</v>
      </c>
      <c r="R32" s="387">
        <f>+'Anx-C'!K36*'Anx-E'!G32</f>
        <v>0</v>
      </c>
      <c r="S32" s="370">
        <f t="shared" si="33"/>
        <v>0</v>
      </c>
      <c r="T32" s="370">
        <f t="shared" si="25"/>
        <v>0</v>
      </c>
      <c r="U32" s="370">
        <v>0</v>
      </c>
      <c r="V32" s="370">
        <f t="shared" si="26"/>
        <v>0</v>
      </c>
    </row>
    <row r="33" spans="1:22" ht="28.5" x14ac:dyDescent="0.25">
      <c r="A33" s="512">
        <f t="shared" si="9"/>
        <v>26</v>
      </c>
      <c r="B33" s="369" t="str">
        <f>'Anx-C'!B37</f>
        <v>2 x CA Inprogress</v>
      </c>
      <c r="C33" s="369" t="str">
        <f>+'Anx-C'!C37</f>
        <v>M/S Youkon Builder &amp; Developers</v>
      </c>
      <c r="D33" s="369" t="str">
        <f>+'Anx-C'!D37</f>
        <v xml:space="preserve">Operational Work of Disposal Work </v>
      </c>
      <c r="E33" s="370">
        <v>45.033999999999999</v>
      </c>
      <c r="F33" s="370">
        <v>28.065000000000001</v>
      </c>
      <c r="G33" s="357">
        <f>100%-'Anx-C'!H37</f>
        <v>0.62319580761202653</v>
      </c>
      <c r="H33" s="370">
        <f>'Anx-C'!I37*'Anx-E'!G33</f>
        <v>0</v>
      </c>
      <c r="I33" s="370">
        <f t="shared" si="27"/>
        <v>0</v>
      </c>
      <c r="J33" s="370"/>
      <c r="K33" s="370">
        <f>'Anx-C'!L37*'Anx-E'!J33</f>
        <v>0</v>
      </c>
      <c r="L33" s="370">
        <f t="shared" si="29"/>
        <v>0</v>
      </c>
      <c r="M33" s="370">
        <f>'Anx-C'!N37*'Anx-E'!L33</f>
        <v>0</v>
      </c>
      <c r="N33" s="370">
        <f>'Anx-C'!O37*'Anx-E'!M33</f>
        <v>0</v>
      </c>
      <c r="O33" s="370">
        <f>'Anx-C'!P37*'Anx-E'!N33</f>
        <v>0</v>
      </c>
      <c r="P33" s="370">
        <f>'Anx-C'!Q37*'Anx-E'!O33</f>
        <v>0</v>
      </c>
      <c r="Q33" s="370">
        <f>'Anx-C'!R37*'Anx-E'!P33</f>
        <v>0</v>
      </c>
      <c r="R33" s="370">
        <f>'Anx-C'!S37*'Anx-E'!Q33</f>
        <v>0</v>
      </c>
      <c r="S33" s="370">
        <f>'Anx-C'!T37*'Anx-E'!R33</f>
        <v>0</v>
      </c>
      <c r="T33" s="370">
        <f>'Anx-C'!U37*'Anx-E'!S33</f>
        <v>0</v>
      </c>
      <c r="U33" s="370">
        <f>'Anx-C'!V37*'Anx-E'!T33</f>
        <v>0</v>
      </c>
      <c r="V33" s="370">
        <f>'Anx-C'!W37*'Anx-E'!U33</f>
        <v>0</v>
      </c>
    </row>
    <row r="34" spans="1:22" ht="28.5" x14ac:dyDescent="0.25">
      <c r="A34" s="512">
        <f t="shared" si="9"/>
        <v>27</v>
      </c>
      <c r="B34" s="369" t="str">
        <f>'Anx-C'!B38</f>
        <v>C/2023/PO468/CBD ADA Nullah/Pkg-1/petty-52</v>
      </c>
      <c r="C34" s="369" t="str">
        <f>+'Anx-C'!C38</f>
        <v>M/S Teepu Engineering Services</v>
      </c>
      <c r="D34" s="369" t="str">
        <f>+'Anx-C'!D38</f>
        <v>Mechinal Disposal Work</v>
      </c>
      <c r="E34" s="370">
        <f>+'Anx-C'!E38</f>
        <v>20.699000000000002</v>
      </c>
      <c r="F34" s="370">
        <f>+'Anx-C'!F38</f>
        <v>13.826000000000001</v>
      </c>
      <c r="G34" s="357">
        <f>100%-'Anx-C'!H38</f>
        <v>0.6679549736702256</v>
      </c>
      <c r="H34" s="370">
        <f>'Anx-C'!I38*'Anx-E'!G34</f>
        <v>4.4672828639064708</v>
      </c>
      <c r="I34" s="370">
        <f>H34*5%</f>
        <v>0.22336414319532355</v>
      </c>
      <c r="J34" s="370">
        <f t="shared" si="28"/>
        <v>0.33951349765689182</v>
      </c>
      <c r="K34" s="370">
        <v>0</v>
      </c>
      <c r="L34" s="370">
        <f t="shared" si="29"/>
        <v>3.9044052230542556</v>
      </c>
      <c r="M34" s="387">
        <f>'Anx-C'!J38*'Anx-E'!G34</f>
        <v>26.279352529107687</v>
      </c>
      <c r="N34" s="370">
        <f t="shared" si="30"/>
        <v>1.3139676264553843</v>
      </c>
      <c r="O34" s="370">
        <f t="shared" si="31"/>
        <v>1.9972307922121844</v>
      </c>
      <c r="P34" s="370">
        <v>0</v>
      </c>
      <c r="Q34" s="370">
        <f t="shared" si="32"/>
        <v>22.968154110440118</v>
      </c>
      <c r="R34" s="387">
        <f>+'Anx-C'!K38*'Anx-E'!G34</f>
        <v>4.467282863906469</v>
      </c>
      <c r="S34" s="370">
        <f t="shared" si="33"/>
        <v>0.22336414319532347</v>
      </c>
      <c r="T34" s="370">
        <f>(R34-S34-U34)*8%</f>
        <v>0.33951349765689165</v>
      </c>
      <c r="U34" s="370">
        <v>0</v>
      </c>
      <c r="V34" s="370">
        <f>R34-S34-T34-U34</f>
        <v>3.9044052230542539</v>
      </c>
    </row>
    <row r="35" spans="1:22" ht="28.5" x14ac:dyDescent="0.25">
      <c r="A35" s="592">
        <f t="shared" si="9"/>
        <v>28</v>
      </c>
      <c r="B35" s="369" t="str">
        <f>'Anx-C'!B39</f>
        <v>C/2023/PO468/CBD ADA Nullah/Pkg-1/petty-54,55</v>
      </c>
      <c r="C35" s="369" t="str">
        <f>+'Anx-C'!C39</f>
        <v xml:space="preserve">ALDO International </v>
      </c>
      <c r="D35" s="369" t="str">
        <f>+'Anx-C'!D39</f>
        <v xml:space="preserve">Ancilary Work </v>
      </c>
      <c r="E35" s="370">
        <f>+'Anx-C'!E39</f>
        <v>23.161999999999999</v>
      </c>
      <c r="F35" s="370">
        <f>+'Anx-C'!F39</f>
        <v>14.268000000000001</v>
      </c>
      <c r="G35" s="357">
        <f>100%-'Anx-C'!H39</f>
        <v>0.61600898022623274</v>
      </c>
      <c r="H35" s="370">
        <f>'Anx-C'!I39*'Anx-E'!G35</f>
        <v>0</v>
      </c>
      <c r="I35" s="370">
        <f>H35*5%</f>
        <v>0</v>
      </c>
      <c r="J35" s="370">
        <f t="shared" si="28"/>
        <v>0</v>
      </c>
      <c r="K35" s="370">
        <v>0</v>
      </c>
      <c r="L35" s="370">
        <f t="shared" si="29"/>
        <v>0</v>
      </c>
      <c r="M35" s="387">
        <f>'Anx-C'!J39*'Anx-E'!G35</f>
        <v>18.038590967964772</v>
      </c>
      <c r="N35" s="370">
        <f t="shared" ref="N35:N38" si="34">M35*5%</f>
        <v>0.90192954839823869</v>
      </c>
      <c r="O35" s="370">
        <f t="shared" ref="O35:O37" si="35">(M35-N35-P35)*8%</f>
        <v>1.3709329135653225</v>
      </c>
      <c r="P35" s="370">
        <v>0</v>
      </c>
      <c r="Q35" s="370">
        <f t="shared" ref="Q35:Q37" si="36">M35-N35-O35-P35</f>
        <v>15.76572850600121</v>
      </c>
      <c r="R35" s="387">
        <f>+'Anx-C'!K39*'Anx-E'!G35</f>
        <v>0</v>
      </c>
      <c r="S35" s="370">
        <f t="shared" ref="S35:S37" si="37">R35*5%</f>
        <v>0</v>
      </c>
      <c r="T35" s="370">
        <f t="shared" ref="T35:T37" si="38">(R35-S35-U35)*8%</f>
        <v>0</v>
      </c>
      <c r="U35" s="370">
        <v>0</v>
      </c>
      <c r="V35" s="370">
        <f t="shared" ref="V35:V37" si="39">R35-S35-T35-U35</f>
        <v>0</v>
      </c>
    </row>
    <row r="36" spans="1:22" x14ac:dyDescent="0.25">
      <c r="A36" s="592">
        <f t="shared" si="9"/>
        <v>29</v>
      </c>
      <c r="B36" s="369" t="str">
        <f>'Anx-C'!B40</f>
        <v>C/2023/PO468/CBD ADA Nullah/Pkg-1/petty-49</v>
      </c>
      <c r="C36" s="369" t="str">
        <f>+'Anx-C'!C40</f>
        <v xml:space="preserve">M/S Tuba </v>
      </c>
      <c r="D36" s="369" t="str">
        <f>+'Anx-C'!D40</f>
        <v>Electric Work</v>
      </c>
      <c r="E36" s="370">
        <f>+'Anx-C'!E40</f>
        <v>0</v>
      </c>
      <c r="F36" s="370">
        <f>+'Anx-C'!F40</f>
        <v>0</v>
      </c>
      <c r="G36" s="357">
        <v>1</v>
      </c>
      <c r="H36" s="370">
        <f>'Anx-C'!I40*'Anx-E'!G36</f>
        <v>0</v>
      </c>
      <c r="I36" s="370">
        <f>H36*5%</f>
        <v>0</v>
      </c>
      <c r="J36" s="370">
        <f t="shared" si="28"/>
        <v>0</v>
      </c>
      <c r="K36" s="370">
        <v>0</v>
      </c>
      <c r="L36" s="370">
        <f t="shared" si="29"/>
        <v>0</v>
      </c>
      <c r="M36" s="387">
        <f>'Anx-C'!J40*'Anx-E'!G36</f>
        <v>11.994999999999999</v>
      </c>
      <c r="N36" s="370">
        <f t="shared" si="34"/>
        <v>0.59975000000000001</v>
      </c>
      <c r="O36" s="370">
        <f t="shared" si="35"/>
        <v>0.91161999999999999</v>
      </c>
      <c r="P36" s="370">
        <v>0</v>
      </c>
      <c r="Q36" s="370">
        <f t="shared" si="36"/>
        <v>10.48363</v>
      </c>
      <c r="R36" s="387">
        <f>+'Anx-C'!K40*'Anx-E'!G36</f>
        <v>0</v>
      </c>
      <c r="S36" s="370">
        <f t="shared" si="37"/>
        <v>0</v>
      </c>
      <c r="T36" s="370">
        <f t="shared" si="38"/>
        <v>0</v>
      </c>
      <c r="U36" s="370">
        <v>0</v>
      </c>
      <c r="V36" s="370">
        <f t="shared" si="39"/>
        <v>0</v>
      </c>
    </row>
    <row r="37" spans="1:22" x14ac:dyDescent="0.25">
      <c r="A37" s="592">
        <f t="shared" si="9"/>
        <v>30</v>
      </c>
      <c r="B37" s="369" t="str">
        <f>'Anx-C'!B41</f>
        <v>C/2023/PO468/CBD ADA Nullah/Pkg-1/petty-66</v>
      </c>
      <c r="C37" s="369" t="str">
        <f>+'Anx-C'!C41</f>
        <v>The Land Lord Group</v>
      </c>
      <c r="D37" s="369" t="str">
        <f>+'Anx-C'!D41</f>
        <v>Thrust Bore Forceman</v>
      </c>
      <c r="E37" s="370">
        <f>+'Anx-C'!E41</f>
        <v>19.614000000000001</v>
      </c>
      <c r="F37" s="370">
        <f>+'Anx-C'!F41</f>
        <v>14.907</v>
      </c>
      <c r="G37" s="357">
        <f>100%-'Anx-C'!H41</f>
        <v>0.76001835423676967</v>
      </c>
      <c r="H37" s="370">
        <f>'Anx-C'!I41*'Anx-E'!G37</f>
        <v>0</v>
      </c>
      <c r="I37" s="370">
        <f>H37*5%</f>
        <v>0</v>
      </c>
      <c r="J37" s="370">
        <f t="shared" si="28"/>
        <v>0</v>
      </c>
      <c r="K37" s="370">
        <v>0</v>
      </c>
      <c r="L37" s="370">
        <f t="shared" si="29"/>
        <v>0</v>
      </c>
      <c r="M37" s="387">
        <f>'Anx-C'!J41*'Anx-E'!G37</f>
        <v>16.71204359131233</v>
      </c>
      <c r="N37" s="370">
        <f t="shared" si="34"/>
        <v>0.83560217956561655</v>
      </c>
      <c r="O37" s="370">
        <f t="shared" si="35"/>
        <v>1.2701153129397371</v>
      </c>
      <c r="P37" s="370">
        <v>0</v>
      </c>
      <c r="Q37" s="370">
        <f t="shared" si="36"/>
        <v>14.606326098806976</v>
      </c>
      <c r="R37" s="387">
        <f>+'Anx-C'!K41*'Anx-E'!G37</f>
        <v>0</v>
      </c>
      <c r="S37" s="370">
        <f t="shared" si="37"/>
        <v>0</v>
      </c>
      <c r="T37" s="370">
        <f t="shared" si="38"/>
        <v>0</v>
      </c>
      <c r="U37" s="370">
        <v>0</v>
      </c>
      <c r="V37" s="370">
        <f t="shared" si="39"/>
        <v>0</v>
      </c>
    </row>
    <row r="38" spans="1:22" x14ac:dyDescent="0.25">
      <c r="A38" s="592">
        <f t="shared" si="9"/>
        <v>31</v>
      </c>
      <c r="B38" s="369" t="str">
        <f>'Anx-C'!B42</f>
        <v>CA No.57,58,61,62,63</v>
      </c>
      <c r="C38" s="369" t="str">
        <f>+'Anx-C'!C42</f>
        <v>RBC</v>
      </c>
      <c r="D38" s="369" t="str">
        <f>+'Anx-C'!D42</f>
        <v>Asphalt Work</v>
      </c>
      <c r="E38" s="370">
        <f>+'Anx-C'!E42</f>
        <v>81.765000000000015</v>
      </c>
      <c r="F38" s="370">
        <f>+'Anx-C'!F42</f>
        <v>67.715000000000003</v>
      </c>
      <c r="G38" s="357">
        <f>100%-'Anx-C'!H42</f>
        <v>0.82816608573350448</v>
      </c>
      <c r="H38" s="370">
        <f>'Anx-C'!I42*'Anx-E'!G38</f>
        <v>6.3586592062618452</v>
      </c>
      <c r="I38" s="370">
        <f>H38*5%</f>
        <v>0.31793296031309226</v>
      </c>
      <c r="J38" s="370">
        <f t="shared" si="28"/>
        <v>0.48325809967590028</v>
      </c>
      <c r="K38" s="370">
        <v>0</v>
      </c>
      <c r="L38" s="370">
        <f t="shared" si="29"/>
        <v>5.5574681462728526</v>
      </c>
      <c r="M38" s="387">
        <f>'Anx-C'!J42*'Anx-E'!G38</f>
        <v>74.178836299149992</v>
      </c>
      <c r="N38" s="370">
        <f t="shared" si="34"/>
        <v>3.7089418149575</v>
      </c>
      <c r="O38" s="370">
        <f t="shared" ref="O38" si="40">(M38-N38-P38)*8%</f>
        <v>5.6375915587353997</v>
      </c>
      <c r="P38" s="370">
        <v>0</v>
      </c>
      <c r="Q38" s="370">
        <f t="shared" ref="Q38" si="41">M38-N38-O38-P38</f>
        <v>64.8323029254571</v>
      </c>
      <c r="R38" s="387">
        <f>+'Anx-C'!K42*'Anx-E'!G38</f>
        <v>6.358659206261847</v>
      </c>
      <c r="S38" s="370">
        <f t="shared" ref="S38" si="42">R38*5%</f>
        <v>0.31793296031309237</v>
      </c>
      <c r="T38" s="370">
        <f t="shared" ref="T38" si="43">(R38-S38-U38)*8%</f>
        <v>0.48325809967590039</v>
      </c>
      <c r="U38" s="370">
        <v>0</v>
      </c>
      <c r="V38" s="370">
        <f t="shared" ref="V38" si="44">R38-S38-T38-U38</f>
        <v>5.5574681462728543</v>
      </c>
    </row>
    <row r="39" spans="1:22" x14ac:dyDescent="0.25">
      <c r="A39" s="384"/>
      <c r="B39" s="795" t="str">
        <f>'Anx-C'!B43</f>
        <v>Total</v>
      </c>
      <c r="C39" s="796"/>
      <c r="D39" s="797"/>
      <c r="E39" s="372">
        <f>+'Anx-C'!E43</f>
        <v>654.81929287048354</v>
      </c>
      <c r="F39" s="372">
        <f>+'Anx-C'!F43</f>
        <v>545.80981611458674</v>
      </c>
      <c r="G39" s="357">
        <f>100%-'Anx-C'!H43</f>
        <v>1</v>
      </c>
      <c r="H39" s="372">
        <f>SUM(H7:H38)</f>
        <v>10.825942070168317</v>
      </c>
      <c r="I39" s="372">
        <f>SUM(I7:I38)</f>
        <v>0.54129710350841576</v>
      </c>
      <c r="J39" s="372">
        <f>SUM(J7:J38)</f>
        <v>0.82277159733279204</v>
      </c>
      <c r="K39" s="372">
        <f t="shared" ref="K39:U39" si="45">SUM(K7:K38)</f>
        <v>0</v>
      </c>
      <c r="L39" s="372">
        <f>SUM(L7:L38)</f>
        <v>9.4618733693271082</v>
      </c>
      <c r="M39" s="372">
        <f>SUM(M7:M38)</f>
        <v>621.65542186492041</v>
      </c>
      <c r="N39" s="372">
        <f t="shared" si="45"/>
        <v>31.082771093246016</v>
      </c>
      <c r="O39" s="372">
        <f t="shared" si="45"/>
        <v>47.245812061733943</v>
      </c>
      <c r="P39" s="372">
        <f t="shared" si="45"/>
        <v>0</v>
      </c>
      <c r="Q39" s="372">
        <f t="shared" si="45"/>
        <v>543.32683870994038</v>
      </c>
      <c r="R39" s="372">
        <f>SUM(R7:R38)</f>
        <v>10.825942070168317</v>
      </c>
      <c r="S39" s="372">
        <f>SUM(S7:S38)</f>
        <v>0.54129710350841587</v>
      </c>
      <c r="T39" s="372">
        <f>SUM(T7:T38)</f>
        <v>0.82277159733279204</v>
      </c>
      <c r="U39" s="372">
        <f t="shared" si="45"/>
        <v>0</v>
      </c>
      <c r="V39" s="372">
        <f>SUM(V7:V38)</f>
        <v>9.4618733693271082</v>
      </c>
    </row>
    <row r="40" spans="1:22" x14ac:dyDescent="0.25">
      <c r="A40" s="384"/>
      <c r="B40" s="369"/>
      <c r="C40" s="369"/>
      <c r="D40" s="369"/>
      <c r="E40" s="370"/>
      <c r="F40" s="370"/>
      <c r="G40" s="357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</row>
    <row r="41" spans="1:22" x14ac:dyDescent="0.25">
      <c r="A41" s="367"/>
      <c r="B41" s="369" t="str">
        <f>'Anx-C'!B45</f>
        <v>Sublet Contract</v>
      </c>
      <c r="C41" s="369"/>
      <c r="D41" s="369"/>
      <c r="E41" s="370">
        <f>'Anx-C'!E45</f>
        <v>0</v>
      </c>
      <c r="F41" s="370">
        <f>'Anx-C'!F45</f>
        <v>0</v>
      </c>
      <c r="G41" s="357"/>
      <c r="H41" s="370">
        <f>'Anx-C'!I45*'Anx-E'!G41</f>
        <v>0</v>
      </c>
      <c r="I41" s="370">
        <f t="shared" si="1"/>
        <v>0</v>
      </c>
      <c r="J41" s="370">
        <f t="shared" si="2"/>
        <v>0</v>
      </c>
      <c r="K41" s="370">
        <v>0</v>
      </c>
      <c r="L41" s="370"/>
      <c r="M41" s="370"/>
      <c r="N41" s="370"/>
      <c r="O41" s="370"/>
      <c r="P41" s="370"/>
      <c r="Q41" s="370"/>
      <c r="R41" s="370"/>
      <c r="S41" s="370"/>
      <c r="T41" s="370"/>
      <c r="U41" s="370"/>
      <c r="V41" s="370"/>
    </row>
    <row r="42" spans="1:22" ht="28.5" x14ac:dyDescent="0.25">
      <c r="A42" s="367">
        <v>1</v>
      </c>
      <c r="B42" s="369" t="str">
        <f>'Anx-C'!B46</f>
        <v>C/2023/P0468/CBD-ADA-Nallah/Pkg-I-02</v>
      </c>
      <c r="C42" s="369" t="str">
        <f>'[2]Anx C '!C20</f>
        <v xml:space="preserve"> (M/S Saddaqat Builders)   Sewerage</v>
      </c>
      <c r="D42" s="369" t="str">
        <f>'[2]Anx C '!D20</f>
        <v>Sewrage Work</v>
      </c>
      <c r="E42" s="370">
        <f>'Anx-C'!E46</f>
        <v>483.18700000000001</v>
      </c>
      <c r="F42" s="370">
        <f>'Anx-C'!F46</f>
        <v>424.505</v>
      </c>
      <c r="G42" s="357">
        <f>100%-'Anx-C'!H46</f>
        <v>0.87855219614766122</v>
      </c>
      <c r="H42" s="370">
        <f>'Anx-C'!I46*'Anx-E'!G42</f>
        <v>0</v>
      </c>
      <c r="I42" s="370">
        <f t="shared" si="1"/>
        <v>0</v>
      </c>
      <c r="J42" s="370">
        <f t="shared" si="2"/>
        <v>0</v>
      </c>
      <c r="K42" s="370">
        <v>0</v>
      </c>
      <c r="L42" s="370">
        <f t="shared" si="3"/>
        <v>0</v>
      </c>
      <c r="M42" s="387">
        <f>'Anx-C'!J46*'Anx-E'!G42</f>
        <v>131.68179591959219</v>
      </c>
      <c r="N42" s="370">
        <f t="shared" si="4"/>
        <v>6.5840897959796099</v>
      </c>
      <c r="O42" s="370">
        <f t="shared" si="5"/>
        <v>10.007816489889008</v>
      </c>
      <c r="P42" s="370">
        <v>0</v>
      </c>
      <c r="Q42" s="370">
        <f t="shared" ref="Q42:Q66" si="46">M42-N42-O42-P42</f>
        <v>115.08988963372357</v>
      </c>
      <c r="R42" s="370">
        <f>+'Anx-C'!K46*'Anx-E'!G42</f>
        <v>0</v>
      </c>
      <c r="S42" s="370">
        <f t="shared" si="6"/>
        <v>0</v>
      </c>
      <c r="T42" s="370">
        <f t="shared" si="7"/>
        <v>0</v>
      </c>
      <c r="U42" s="370">
        <v>0</v>
      </c>
      <c r="V42" s="370">
        <f t="shared" si="8"/>
        <v>0</v>
      </c>
    </row>
    <row r="43" spans="1:22" ht="42.75" x14ac:dyDescent="0.25">
      <c r="A43" s="367">
        <f>+A42+1</f>
        <v>2</v>
      </c>
      <c r="B43" s="369" t="str">
        <f>'Anx-C'!B47</f>
        <v>C/2023/P0468/CBD-ADA-Nallah/Pkg-I-03</v>
      </c>
      <c r="C43" s="369" t="str">
        <f>'[2]Anx C '!C21</f>
        <v xml:space="preserve"> (M/S Yukon Builders &amp; Developers)  (Conduite &amp; Disposal Satation)</v>
      </c>
      <c r="D43" s="369" t="str">
        <f>'[2]Anx C '!D21</f>
        <v>Conduit Works 10' x 6'</v>
      </c>
      <c r="E43" s="370">
        <f>'Anx-C'!E47</f>
        <v>527.49454541</v>
      </c>
      <c r="F43" s="370">
        <f>'Anx-C'!F47</f>
        <v>443.09541814439996</v>
      </c>
      <c r="G43" s="357">
        <f>100%-'Anx-C'!H47</f>
        <v>0.83999999999999986</v>
      </c>
      <c r="H43" s="370">
        <f>'Anx-C'!I47*'Anx-E'!G43</f>
        <v>0</v>
      </c>
      <c r="I43" s="370">
        <f t="shared" si="1"/>
        <v>0</v>
      </c>
      <c r="J43" s="370">
        <f t="shared" si="2"/>
        <v>0</v>
      </c>
      <c r="K43" s="370">
        <v>0</v>
      </c>
      <c r="L43" s="370">
        <f t="shared" si="3"/>
        <v>0</v>
      </c>
      <c r="M43" s="387">
        <f>'Anx-C'!J47*'Anx-E'!G43</f>
        <v>429.47015999999991</v>
      </c>
      <c r="N43" s="370">
        <f t="shared" si="4"/>
        <v>21.473507999999995</v>
      </c>
      <c r="O43" s="370">
        <f t="shared" si="5"/>
        <v>32.639732159999994</v>
      </c>
      <c r="P43" s="370">
        <v>0</v>
      </c>
      <c r="Q43" s="370">
        <f t="shared" si="46"/>
        <v>375.35691983999993</v>
      </c>
      <c r="R43" s="370">
        <f>+'Anx-C'!K47*'Anx-E'!G43</f>
        <v>0</v>
      </c>
      <c r="S43" s="370">
        <f t="shared" si="6"/>
        <v>0</v>
      </c>
      <c r="T43" s="370">
        <f t="shared" si="7"/>
        <v>0</v>
      </c>
      <c r="U43" s="370">
        <v>0</v>
      </c>
      <c r="V43" s="370">
        <f t="shared" si="8"/>
        <v>0</v>
      </c>
    </row>
    <row r="44" spans="1:22" ht="28.5" x14ac:dyDescent="0.25">
      <c r="A44" s="367">
        <f t="shared" ref="A44:A53" si="47">+A43+1</f>
        <v>3</v>
      </c>
      <c r="B44" s="369"/>
      <c r="C44" s="369" t="str">
        <f>'[2]Anx C '!C22</f>
        <v xml:space="preserve"> (M/S Yukon Builders &amp; Developers)  </v>
      </c>
      <c r="D44" s="369" t="str">
        <f>'[2]Anx C '!D22</f>
        <v>Road works</v>
      </c>
      <c r="E44" s="370">
        <f>'Anx-C'!E48</f>
        <v>0</v>
      </c>
      <c r="F44" s="370">
        <f>'Anx-C'!F48</f>
        <v>0</v>
      </c>
      <c r="G44" s="357">
        <f>100%-'Anx-C'!H48</f>
        <v>1</v>
      </c>
      <c r="H44" s="370">
        <f>'Anx-C'!I48*'Anx-E'!G44</f>
        <v>0</v>
      </c>
      <c r="I44" s="370">
        <f t="shared" si="1"/>
        <v>0</v>
      </c>
      <c r="J44" s="370">
        <f t="shared" si="2"/>
        <v>0</v>
      </c>
      <c r="K44" s="370">
        <v>0</v>
      </c>
      <c r="L44" s="370">
        <f t="shared" si="3"/>
        <v>0</v>
      </c>
      <c r="M44" s="387">
        <f>'Anx-C'!J48*'Anx-E'!G44</f>
        <v>0</v>
      </c>
      <c r="N44" s="370">
        <f t="shared" si="4"/>
        <v>0</v>
      </c>
      <c r="O44" s="370">
        <f t="shared" si="5"/>
        <v>0</v>
      </c>
      <c r="P44" s="370">
        <v>0</v>
      </c>
      <c r="Q44" s="370">
        <f t="shared" si="46"/>
        <v>0</v>
      </c>
      <c r="R44" s="370">
        <f>+'Anx-C'!K48*'Anx-E'!G44</f>
        <v>0</v>
      </c>
      <c r="S44" s="370">
        <f t="shared" si="6"/>
        <v>0</v>
      </c>
      <c r="T44" s="370">
        <f t="shared" si="7"/>
        <v>0</v>
      </c>
      <c r="U44" s="370">
        <v>0</v>
      </c>
      <c r="V44" s="370">
        <f t="shared" si="8"/>
        <v>0</v>
      </c>
    </row>
    <row r="45" spans="1:22" ht="28.5" x14ac:dyDescent="0.25">
      <c r="A45" s="367">
        <f t="shared" si="47"/>
        <v>4</v>
      </c>
      <c r="B45" s="369" t="str">
        <f>'Anx-C'!B49</f>
        <v>C/2023/P0468/CBD-ADA-Nallah/Pkg-I-01</v>
      </c>
      <c r="C45" s="369" t="str">
        <f>'[2]Anx C '!C23</f>
        <v>M/s STC</v>
      </c>
      <c r="D45" s="369" t="str">
        <f>'[2]Anx C '!D23</f>
        <v>Conduit Works &amp; Rider Sewerage Work</v>
      </c>
      <c r="E45" s="370">
        <f>'Anx-C'!E49</f>
        <v>336.92599999999999</v>
      </c>
      <c r="F45" s="370">
        <f>'Anx-C'!F49</f>
        <v>283.01783999999998</v>
      </c>
      <c r="G45" s="357">
        <f>100%-'Anx-C'!H49</f>
        <v>0.84</v>
      </c>
      <c r="H45" s="370">
        <f>'Anx-C'!I49*'Anx-E'!G45</f>
        <v>0</v>
      </c>
      <c r="I45" s="370">
        <f t="shared" si="1"/>
        <v>0</v>
      </c>
      <c r="J45" s="370">
        <f t="shared" si="2"/>
        <v>0</v>
      </c>
      <c r="K45" s="370">
        <v>0</v>
      </c>
      <c r="L45" s="370">
        <f t="shared" si="3"/>
        <v>0</v>
      </c>
      <c r="M45" s="387">
        <f>'Anx-C'!J49*'Anx-E'!G45</f>
        <v>268.93103999999994</v>
      </c>
      <c r="N45" s="370">
        <f t="shared" si="4"/>
        <v>13.446551999999997</v>
      </c>
      <c r="O45" s="370">
        <f t="shared" si="5"/>
        <v>20.438759039999997</v>
      </c>
      <c r="P45" s="370">
        <v>0</v>
      </c>
      <c r="Q45" s="370">
        <f t="shared" si="46"/>
        <v>235.04572895999993</v>
      </c>
      <c r="R45" s="370">
        <f>+'Anx-C'!K49*'Anx-E'!G45</f>
        <v>0</v>
      </c>
      <c r="S45" s="370">
        <f t="shared" si="6"/>
        <v>0</v>
      </c>
      <c r="T45" s="370">
        <f t="shared" si="7"/>
        <v>0</v>
      </c>
      <c r="U45" s="370">
        <v>0</v>
      </c>
      <c r="V45" s="370">
        <f t="shared" si="8"/>
        <v>0</v>
      </c>
    </row>
    <row r="46" spans="1:22" x14ac:dyDescent="0.25">
      <c r="A46" s="367">
        <f t="shared" si="47"/>
        <v>5</v>
      </c>
      <c r="B46" s="369" t="str">
        <f>'Anx-C'!B50</f>
        <v>C/2023/P0468/CBD-ADA-Nallah/Pkg-I-04</v>
      </c>
      <c r="C46" s="369" t="str">
        <f>'[2]Anx C '!C24</f>
        <v>M/s EDDCO</v>
      </c>
      <c r="D46" s="369" t="str">
        <f>'[2]Anx C '!D24</f>
        <v>Conduit Work</v>
      </c>
      <c r="E46" s="370">
        <f>'Anx-C'!E50</f>
        <v>427.558742</v>
      </c>
      <c r="F46" s="370">
        <f>'Anx-C'!F50</f>
        <v>359.14934327999998</v>
      </c>
      <c r="G46" s="357">
        <f>100%-'Anx-C'!H50</f>
        <v>0.84</v>
      </c>
      <c r="H46" s="370">
        <f>'Anx-C'!I50*'Anx-E'!G46</f>
        <v>0</v>
      </c>
      <c r="I46" s="370">
        <f t="shared" si="1"/>
        <v>0</v>
      </c>
      <c r="J46" s="370">
        <f t="shared" si="2"/>
        <v>0</v>
      </c>
      <c r="K46" s="370">
        <v>0</v>
      </c>
      <c r="L46" s="370">
        <f t="shared" si="3"/>
        <v>0</v>
      </c>
      <c r="M46" s="387">
        <f>'Anx-C'!J50*'Anx-E'!G46</f>
        <v>148.04999999999998</v>
      </c>
      <c r="N46" s="370">
        <f t="shared" si="4"/>
        <v>7.4024999999999999</v>
      </c>
      <c r="O46" s="370">
        <f t="shared" si="5"/>
        <v>11.251799999999999</v>
      </c>
      <c r="P46" s="370">
        <v>0</v>
      </c>
      <c r="Q46" s="370">
        <f t="shared" si="46"/>
        <v>129.39569999999998</v>
      </c>
      <c r="R46" s="370">
        <f>+'Anx-C'!K50*'Anx-E'!G46</f>
        <v>0</v>
      </c>
      <c r="S46" s="370">
        <f t="shared" si="6"/>
        <v>0</v>
      </c>
      <c r="T46" s="370">
        <f t="shared" si="7"/>
        <v>0</v>
      </c>
      <c r="U46" s="370">
        <v>0</v>
      </c>
      <c r="V46" s="370">
        <f t="shared" si="8"/>
        <v>0</v>
      </c>
    </row>
    <row r="47" spans="1:22" x14ac:dyDescent="0.25">
      <c r="A47" s="367">
        <f t="shared" si="47"/>
        <v>6</v>
      </c>
      <c r="B47" s="369" t="str">
        <f>'Anx-C'!B51</f>
        <v>C/2023/P0468/CBD-ADA-Nallah/Pkg-I-</v>
      </c>
      <c r="C47" s="369" t="str">
        <f>'[2]Anx C '!C25</f>
        <v>M/s EDDCO</v>
      </c>
      <c r="D47" s="369" t="str">
        <f>'[2]Anx C '!D25</f>
        <v>Fly-over</v>
      </c>
      <c r="E47" s="370">
        <f>'Anx-C'!E51</f>
        <v>1116.309904</v>
      </c>
      <c r="F47" s="370">
        <f>'Anx-C'!F51</f>
        <v>993.51581455999997</v>
      </c>
      <c r="G47" s="357">
        <f>100%-'Anx-C'!H51</f>
        <v>0.89</v>
      </c>
      <c r="H47" s="370">
        <f>'Anx-C'!I51*'Anx-E'!G47</f>
        <v>0</v>
      </c>
      <c r="I47" s="370">
        <f t="shared" si="1"/>
        <v>0</v>
      </c>
      <c r="J47" s="370">
        <f t="shared" si="2"/>
        <v>0</v>
      </c>
      <c r="K47" s="370">
        <v>0</v>
      </c>
      <c r="L47" s="370">
        <f t="shared" si="3"/>
        <v>0</v>
      </c>
      <c r="M47" s="387">
        <f>'Anx-C'!J51*'Anx-E'!G47</f>
        <v>1411.6806199999999</v>
      </c>
      <c r="N47" s="370">
        <f t="shared" si="4"/>
        <v>70.584030999999996</v>
      </c>
      <c r="O47" s="370">
        <f t="shared" si="5"/>
        <v>107.28772711999999</v>
      </c>
      <c r="P47" s="370">
        <v>0</v>
      </c>
      <c r="Q47" s="370">
        <f t="shared" si="46"/>
        <v>1233.8088618799998</v>
      </c>
      <c r="R47" s="370">
        <f>+'Anx-C'!K51*'Anx-E'!G47</f>
        <v>0</v>
      </c>
      <c r="S47" s="370">
        <f t="shared" si="6"/>
        <v>0</v>
      </c>
      <c r="T47" s="370">
        <f t="shared" si="7"/>
        <v>0</v>
      </c>
      <c r="U47" s="370">
        <v>0</v>
      </c>
      <c r="V47" s="370">
        <f t="shared" si="8"/>
        <v>0</v>
      </c>
    </row>
    <row r="48" spans="1:22" ht="28.5" x14ac:dyDescent="0.25">
      <c r="A48" s="367">
        <f t="shared" si="47"/>
        <v>7</v>
      </c>
      <c r="B48" s="369">
        <f>'Anx-C'!B52</f>
        <v>0</v>
      </c>
      <c r="C48" s="369" t="str">
        <f>'[2]Anx C '!C26</f>
        <v xml:space="preserve"> (M/S Yukon Builders &amp; Developers)  </v>
      </c>
      <c r="D48" s="369" t="str">
        <f>'[2]Anx C '!D26</f>
        <v>Disposal - 01</v>
      </c>
      <c r="E48" s="370">
        <f>'Anx-C'!E52</f>
        <v>0</v>
      </c>
      <c r="F48" s="370">
        <f>'Anx-C'!F52</f>
        <v>0</v>
      </c>
      <c r="G48" s="357">
        <f>100%-'Anx-C'!H52</f>
        <v>1</v>
      </c>
      <c r="H48" s="370">
        <f>'Anx-C'!I52*'Anx-E'!G48</f>
        <v>0</v>
      </c>
      <c r="I48" s="370">
        <f t="shared" si="1"/>
        <v>0</v>
      </c>
      <c r="J48" s="370">
        <f t="shared" si="2"/>
        <v>0</v>
      </c>
      <c r="K48" s="370">
        <v>0</v>
      </c>
      <c r="L48" s="370">
        <f t="shared" si="3"/>
        <v>0</v>
      </c>
      <c r="M48" s="370">
        <f>'Anx-C'!J52*'Anx-E'!G48</f>
        <v>0</v>
      </c>
      <c r="N48" s="370">
        <f t="shared" si="4"/>
        <v>0</v>
      </c>
      <c r="O48" s="370">
        <f t="shared" si="5"/>
        <v>0</v>
      </c>
      <c r="P48" s="370">
        <v>0</v>
      </c>
      <c r="Q48" s="370">
        <f t="shared" si="46"/>
        <v>0</v>
      </c>
      <c r="R48" s="370">
        <f>+'Anx-C'!K52*'Anx-E'!G48</f>
        <v>0</v>
      </c>
      <c r="S48" s="370">
        <f t="shared" si="6"/>
        <v>0</v>
      </c>
      <c r="T48" s="370">
        <f t="shared" si="7"/>
        <v>0</v>
      </c>
      <c r="U48" s="370">
        <v>0</v>
      </c>
      <c r="V48" s="370">
        <f t="shared" si="8"/>
        <v>0</v>
      </c>
    </row>
    <row r="49" spans="1:22" x14ac:dyDescent="0.25">
      <c r="A49" s="367">
        <f t="shared" si="47"/>
        <v>8</v>
      </c>
      <c r="B49" s="369" t="str">
        <f>'Anx-C'!B53</f>
        <v>C/2023/P0468/CBD-ADA-Nallah/Pkg-I-05</v>
      </c>
      <c r="C49" s="369" t="str">
        <f>'[2]Anx C '!C27</f>
        <v>(M/S North Land</v>
      </c>
      <c r="D49" s="369" t="str">
        <f>'[2]Anx C '!D27</f>
        <v>Route 47 / Garrasion</v>
      </c>
      <c r="E49" s="370">
        <f>'Anx-C'!E53</f>
        <v>119.699574</v>
      </c>
      <c r="F49" s="370">
        <f>'Anx-C'!F53</f>
        <v>107.7296166</v>
      </c>
      <c r="G49" s="357">
        <f>100%-'Anx-C'!H53</f>
        <v>0.9</v>
      </c>
      <c r="H49" s="370">
        <f>'Anx-C'!I53*'Anx-E'!G49</f>
        <v>0</v>
      </c>
      <c r="I49" s="370">
        <f t="shared" si="1"/>
        <v>0</v>
      </c>
      <c r="J49" s="370">
        <f t="shared" si="2"/>
        <v>0</v>
      </c>
      <c r="K49" s="370">
        <v>0</v>
      </c>
      <c r="L49" s="370">
        <f t="shared" si="3"/>
        <v>0</v>
      </c>
      <c r="M49" s="387">
        <f>'Anx-C'!J53*'Anx-E'!G49</f>
        <v>151.4151</v>
      </c>
      <c r="N49" s="370">
        <f t="shared" si="4"/>
        <v>7.5707550000000001</v>
      </c>
      <c r="O49" s="370">
        <f t="shared" si="5"/>
        <v>11.507547600000001</v>
      </c>
      <c r="P49" s="370">
        <v>0</v>
      </c>
      <c r="Q49" s="370">
        <f t="shared" si="46"/>
        <v>132.33679739999999</v>
      </c>
      <c r="R49" s="370">
        <f>+'Anx-C'!K53*'Anx-E'!G49</f>
        <v>0</v>
      </c>
      <c r="S49" s="370">
        <f t="shared" si="6"/>
        <v>0</v>
      </c>
      <c r="T49" s="370">
        <f t="shared" si="7"/>
        <v>0</v>
      </c>
      <c r="U49" s="370">
        <v>0</v>
      </c>
      <c r="V49" s="370">
        <f t="shared" si="8"/>
        <v>0</v>
      </c>
    </row>
    <row r="50" spans="1:22" x14ac:dyDescent="0.25">
      <c r="A50" s="367">
        <f t="shared" si="47"/>
        <v>9</v>
      </c>
      <c r="B50" s="369" t="str">
        <f>'Anx-C'!B54</f>
        <v>C/2023/P0468/CBD-ADA-Nallah/Pkg-I-06</v>
      </c>
      <c r="C50" s="369" t="str">
        <f>'[2]Anx C '!C28</f>
        <v xml:space="preserve">(M/S Saddaqat Builders)    </v>
      </c>
      <c r="D50" s="369" t="str">
        <f>'[2]Anx C '!D28</f>
        <v>ADA Nullah</v>
      </c>
      <c r="E50" s="370">
        <f>'Anx-C'!E54</f>
        <v>277.64999999999998</v>
      </c>
      <c r="F50" s="370">
        <f>'Anx-C'!F54</f>
        <v>249.88499999999999</v>
      </c>
      <c r="G50" s="357">
        <f>100%-'Anx-C'!H54</f>
        <v>0.9</v>
      </c>
      <c r="H50" s="370">
        <f>'Anx-C'!I54*'Anx-E'!G50</f>
        <v>0</v>
      </c>
      <c r="I50" s="370">
        <f t="shared" si="1"/>
        <v>0</v>
      </c>
      <c r="J50" s="370">
        <f t="shared" si="2"/>
        <v>0</v>
      </c>
      <c r="K50" s="370">
        <v>0</v>
      </c>
      <c r="L50" s="370">
        <f t="shared" si="3"/>
        <v>0</v>
      </c>
      <c r="M50" s="387">
        <f>'Anx-C'!J54*'Anx-E'!G50</f>
        <v>226.35168300000007</v>
      </c>
      <c r="N50" s="370">
        <f t="shared" si="4"/>
        <v>11.317584150000004</v>
      </c>
      <c r="O50" s="370">
        <f t="shared" si="5"/>
        <v>17.202727908000004</v>
      </c>
      <c r="P50" s="370">
        <v>0</v>
      </c>
      <c r="Q50" s="370">
        <f t="shared" si="46"/>
        <v>197.83137094200004</v>
      </c>
      <c r="R50" s="370">
        <f>+'Anx-C'!K54*'Anx-E'!G50</f>
        <v>0</v>
      </c>
      <c r="S50" s="370">
        <f t="shared" si="6"/>
        <v>0</v>
      </c>
      <c r="T50" s="370">
        <f t="shared" si="7"/>
        <v>0</v>
      </c>
      <c r="U50" s="370">
        <v>0</v>
      </c>
      <c r="V50" s="370">
        <f t="shared" si="8"/>
        <v>0</v>
      </c>
    </row>
    <row r="51" spans="1:22" x14ac:dyDescent="0.25">
      <c r="A51" s="367">
        <f t="shared" si="47"/>
        <v>10</v>
      </c>
      <c r="B51" s="369" t="str">
        <f>'Anx-C'!B55</f>
        <v>C/2023/P0468/CBD-ADA-Nallah/Pkg-I-09</v>
      </c>
      <c r="C51" s="369" t="str">
        <f>'[2]Anx C '!C29</f>
        <v xml:space="preserve"> M/s STC</v>
      </c>
      <c r="D51" s="369" t="str">
        <f>'[2]Anx C '!D29</f>
        <v>ADA Nullah</v>
      </c>
      <c r="E51" s="370">
        <f>'Anx-C'!E55</f>
        <v>319.92994119000002</v>
      </c>
      <c r="F51" s="370">
        <f>'Anx-C'!F55</f>
        <v>287.93694707099996</v>
      </c>
      <c r="G51" s="357">
        <f>100%-'Anx-C'!H55</f>
        <v>0.8999999999999998</v>
      </c>
      <c r="H51" s="370">
        <f>'Anx-C'!I55*'Anx-E'!G51</f>
        <v>0</v>
      </c>
      <c r="I51" s="370">
        <f t="shared" si="1"/>
        <v>0</v>
      </c>
      <c r="J51" s="370">
        <f t="shared" si="2"/>
        <v>0</v>
      </c>
      <c r="K51" s="370">
        <v>0</v>
      </c>
      <c r="L51" s="370">
        <f t="shared" si="3"/>
        <v>0</v>
      </c>
      <c r="M51" s="387">
        <f>'Anx-C'!J55*'Anx-E'!G51</f>
        <v>357.12229049999991</v>
      </c>
      <c r="N51" s="370">
        <f t="shared" si="4"/>
        <v>17.856114524999995</v>
      </c>
      <c r="O51" s="370">
        <f t="shared" si="5"/>
        <v>27.141294077999991</v>
      </c>
      <c r="P51" s="370">
        <v>0</v>
      </c>
      <c r="Q51" s="370">
        <f t="shared" si="46"/>
        <v>312.12488189699991</v>
      </c>
      <c r="R51" s="370">
        <f>+'Anx-C'!K55*'Anx-E'!G51</f>
        <v>0</v>
      </c>
      <c r="S51" s="370">
        <f t="shared" si="6"/>
        <v>0</v>
      </c>
      <c r="T51" s="370">
        <f t="shared" si="7"/>
        <v>0</v>
      </c>
      <c r="U51" s="370">
        <v>0</v>
      </c>
      <c r="V51" s="370">
        <f t="shared" si="8"/>
        <v>0</v>
      </c>
    </row>
    <row r="52" spans="1:22" x14ac:dyDescent="0.25">
      <c r="A52" s="367">
        <f t="shared" si="47"/>
        <v>11</v>
      </c>
      <c r="B52" s="369" t="str">
        <f>'Anx-C'!B56</f>
        <v>C/2023/P0468/CBD-ADA-Nallah/Pkg-I-07</v>
      </c>
      <c r="C52" s="369" t="str">
        <f>'[2]Anx C '!C30</f>
        <v>M/s EDDCO</v>
      </c>
      <c r="D52" s="369" t="str">
        <f>'[2]Anx C '!D30</f>
        <v>ADA Nullah</v>
      </c>
      <c r="E52" s="370">
        <f>'Anx-C'!E56</f>
        <v>510.06453111000002</v>
      </c>
      <c r="F52" s="370">
        <f>'Anx-C'!F56</f>
        <v>459.05807799900003</v>
      </c>
      <c r="G52" s="357">
        <f>100%-'Anx-C'!H56</f>
        <v>0.9</v>
      </c>
      <c r="H52" s="370">
        <f>'Anx-C'!I56*'Anx-E'!G52</f>
        <v>0</v>
      </c>
      <c r="I52" s="370">
        <f t="shared" si="1"/>
        <v>0</v>
      </c>
      <c r="J52" s="370">
        <f t="shared" si="2"/>
        <v>0</v>
      </c>
      <c r="K52" s="370">
        <v>0</v>
      </c>
      <c r="L52" s="370">
        <f t="shared" si="3"/>
        <v>0</v>
      </c>
      <c r="M52" s="387">
        <f>'Anx-C'!J56*'Anx-E'!G52</f>
        <v>563.26679999999999</v>
      </c>
      <c r="N52" s="370">
        <f t="shared" si="4"/>
        <v>28.163340000000002</v>
      </c>
      <c r="O52" s="370">
        <f t="shared" si="5"/>
        <v>42.808276800000002</v>
      </c>
      <c r="P52" s="370">
        <v>0</v>
      </c>
      <c r="Q52" s="370">
        <f t="shared" si="46"/>
        <v>492.29518320000005</v>
      </c>
      <c r="R52" s="370">
        <f>+'Anx-C'!K56*'Anx-E'!G52</f>
        <v>0</v>
      </c>
      <c r="S52" s="370">
        <f t="shared" si="6"/>
        <v>0</v>
      </c>
      <c r="T52" s="370">
        <f t="shared" si="7"/>
        <v>0</v>
      </c>
      <c r="U52" s="370">
        <v>0</v>
      </c>
      <c r="V52" s="370">
        <f t="shared" si="8"/>
        <v>0</v>
      </c>
    </row>
    <row r="53" spans="1:22" ht="28.5" x14ac:dyDescent="0.25">
      <c r="A53" s="367">
        <f t="shared" si="47"/>
        <v>12</v>
      </c>
      <c r="B53" s="369" t="str">
        <f>'Anx-C'!B57</f>
        <v>C/2023/P0468/CBD-ADA-Nallah/Pkg-I-11</v>
      </c>
      <c r="C53" s="369" t="str">
        <f>'[2]Anx C '!C31</f>
        <v xml:space="preserve"> (M/S Yukon Builders &amp; Developers)  </v>
      </c>
      <c r="D53" s="369" t="str">
        <f>'[2]Anx C '!D31</f>
        <v>ADA Nullah</v>
      </c>
      <c r="E53" s="370">
        <f>'Anx-C'!E57</f>
        <v>309.93524000000002</v>
      </c>
      <c r="F53" s="370">
        <f>'Anx-C'!F57</f>
        <v>278.94171600000004</v>
      </c>
      <c r="G53" s="357">
        <f>100%-'Anx-C'!H57</f>
        <v>0.90000000000000013</v>
      </c>
      <c r="H53" s="370">
        <f>'Anx-C'!I57*'Anx-E'!G53</f>
        <v>0</v>
      </c>
      <c r="I53" s="370">
        <f t="shared" si="1"/>
        <v>0</v>
      </c>
      <c r="J53" s="370">
        <f t="shared" si="2"/>
        <v>0</v>
      </c>
      <c r="K53" s="370">
        <v>0</v>
      </c>
      <c r="L53" s="370">
        <f t="shared" si="3"/>
        <v>0</v>
      </c>
      <c r="M53" s="387">
        <f>'Anx-C'!J57*'Anx-E'!G53</f>
        <v>254.91330000000005</v>
      </c>
      <c r="N53" s="370">
        <f t="shared" si="4"/>
        <v>12.745665000000002</v>
      </c>
      <c r="O53" s="370">
        <f t="shared" si="5"/>
        <v>19.373410800000006</v>
      </c>
      <c r="P53" s="370">
        <v>0</v>
      </c>
      <c r="Q53" s="370">
        <f t="shared" si="46"/>
        <v>222.79422420000003</v>
      </c>
      <c r="R53" s="370">
        <f>+'Anx-C'!K57*'Anx-E'!G53</f>
        <v>0</v>
      </c>
      <c r="S53" s="370">
        <f t="shared" si="6"/>
        <v>0</v>
      </c>
      <c r="T53" s="370">
        <f t="shared" si="7"/>
        <v>0</v>
      </c>
      <c r="U53" s="370">
        <v>0</v>
      </c>
      <c r="V53" s="370">
        <f t="shared" si="8"/>
        <v>0</v>
      </c>
    </row>
    <row r="54" spans="1:22" x14ac:dyDescent="0.25">
      <c r="A54" s="367">
        <f>+A53+1</f>
        <v>13</v>
      </c>
      <c r="B54" s="369" t="str">
        <f>'Anx-C'!B58</f>
        <v>C/2023/P0468/CBD-ADA-Nallah/Pkg-I-19</v>
      </c>
      <c r="C54" s="369" t="str">
        <f>'[2]Anx C '!C32</f>
        <v>(M/S North Land</v>
      </c>
      <c r="D54" s="369" t="str">
        <f>'[2]Anx C '!D32</f>
        <v>ADA Nullah</v>
      </c>
      <c r="E54" s="370">
        <f>'Anx-C'!E58</f>
        <v>510.06453111000002</v>
      </c>
      <c r="F54" s="370">
        <f>'Anx-C'!F58</f>
        <v>459.05807799900003</v>
      </c>
      <c r="G54" s="357">
        <f>100%-'Anx-C'!H58</f>
        <v>0.9</v>
      </c>
      <c r="H54" s="370">
        <f>'Anx-C'!I58*'Anx-E'!G54</f>
        <v>1.6182000000000016</v>
      </c>
      <c r="I54" s="370">
        <f t="shared" si="1"/>
        <v>8.0910000000000093E-2</v>
      </c>
      <c r="J54" s="370">
        <f t="shared" si="2"/>
        <v>0.12298320000000013</v>
      </c>
      <c r="K54" s="370">
        <v>0</v>
      </c>
      <c r="L54" s="370">
        <f t="shared" si="3"/>
        <v>1.4143068000000014</v>
      </c>
      <c r="M54" s="387">
        <f>'Anx-C'!J58*'Anx-E'!G54</f>
        <v>463.43520000000001</v>
      </c>
      <c r="N54" s="370">
        <f t="shared" si="4"/>
        <v>23.171760000000003</v>
      </c>
      <c r="O54" s="370">
        <f t="shared" si="5"/>
        <v>35.221075200000001</v>
      </c>
      <c r="P54" s="370">
        <v>0</v>
      </c>
      <c r="Q54" s="370">
        <f t="shared" si="46"/>
        <v>405.04236479999997</v>
      </c>
      <c r="R54" s="370">
        <f>+'Anx-C'!K58*'Anx-E'!G54</f>
        <v>1.6182000000000001</v>
      </c>
      <c r="S54" s="370">
        <f t="shared" si="6"/>
        <v>8.091000000000001E-2</v>
      </c>
      <c r="T54" s="370">
        <f t="shared" si="7"/>
        <v>0.1229832</v>
      </c>
      <c r="U54" s="370">
        <v>0</v>
      </c>
      <c r="V54" s="370">
        <f t="shared" si="8"/>
        <v>1.4143068000000001</v>
      </c>
    </row>
    <row r="55" spans="1:22" ht="28.5" x14ac:dyDescent="0.25">
      <c r="A55" s="418">
        <f t="shared" ref="A55:A66" si="48">+A54+1</f>
        <v>14</v>
      </c>
      <c r="B55" s="369" t="str">
        <f>'Anx-C'!B59</f>
        <v>C/2023/P0468/CBD-ADA-Nallah/Pkg-I-10</v>
      </c>
      <c r="C55" s="369" t="str">
        <f>+'Anx-C'!C59</f>
        <v xml:space="preserve">M/S Yukon Builders &amp; Developers </v>
      </c>
      <c r="D55" s="369" t="str">
        <f>+'Anx-C'!D59</f>
        <v>Road works</v>
      </c>
      <c r="E55" s="370">
        <f>'Anx-C'!E59</f>
        <v>342.39699999999999</v>
      </c>
      <c r="F55" s="370">
        <f>'Anx-C'!F59</f>
        <v>287.61399999999998</v>
      </c>
      <c r="G55" s="357">
        <f>100%-'Anx-C'!H59</f>
        <v>0.84000151870489514</v>
      </c>
      <c r="H55" s="370">
        <f>'Anx-C'!I59*'Anx-E'!G55</f>
        <v>0</v>
      </c>
      <c r="I55" s="370">
        <f t="shared" ref="I55:I67" si="49">H55*5%</f>
        <v>0</v>
      </c>
      <c r="J55" s="370">
        <f t="shared" ref="J55:J66" si="50">(H55-I55-K55)*8%</f>
        <v>0</v>
      </c>
      <c r="K55" s="370">
        <v>0</v>
      </c>
      <c r="L55" s="370">
        <f t="shared" ref="L55:L66" si="51">H55-I55-J55-K55</f>
        <v>0</v>
      </c>
      <c r="M55" s="387">
        <f>'Anx-C'!J59*'Anx-E'!G55</f>
        <v>162.92081455737051</v>
      </c>
      <c r="N55" s="370">
        <f t="shared" ref="N55:N63" si="52">M55*5%</f>
        <v>8.1460407278685256</v>
      </c>
      <c r="O55" s="370">
        <f t="shared" ref="O55:O64" si="53">(M55-N55-P55)*8%</f>
        <v>12.381981906360158</v>
      </c>
      <c r="P55" s="370">
        <v>0</v>
      </c>
      <c r="Q55" s="370">
        <f t="shared" si="46"/>
        <v>142.39279192314183</v>
      </c>
      <c r="R55" s="370">
        <f>+'Anx-C'!K59*'Anx-E'!G55</f>
        <v>0</v>
      </c>
      <c r="S55" s="370">
        <f t="shared" ref="S55:S65" si="54">R55*5%</f>
        <v>0</v>
      </c>
      <c r="T55" s="370">
        <f t="shared" ref="T55:T65" si="55">(R55-S55-U55)*8%</f>
        <v>0</v>
      </c>
      <c r="U55" s="370">
        <v>0</v>
      </c>
      <c r="V55" s="370">
        <f t="shared" ref="V55:V66" si="56">R55-S55-T55-U55</f>
        <v>0</v>
      </c>
    </row>
    <row r="56" spans="1:22" x14ac:dyDescent="0.25">
      <c r="A56" s="418">
        <f t="shared" si="48"/>
        <v>15</v>
      </c>
      <c r="B56" s="369" t="str">
        <f>'Anx-C'!B60</f>
        <v>C/2023/P0468/CBD-ADA-Nallah/Pkg-I-</v>
      </c>
      <c r="C56" s="369" t="str">
        <f>+'Anx-C'!C60</f>
        <v>(M/S North Land</v>
      </c>
      <c r="D56" s="369" t="str">
        <f>+'Anx-C'!D60</f>
        <v>Road works</v>
      </c>
      <c r="E56" s="370">
        <f>'Anx-C'!E60</f>
        <v>119.699</v>
      </c>
      <c r="F56" s="370">
        <f>'Anx-C'!F60</f>
        <v>107.729</v>
      </c>
      <c r="G56" s="357">
        <f>100%-'Anx-C'!H60</f>
        <v>0.8999991645711326</v>
      </c>
      <c r="H56" s="370">
        <f>'Anx-C'!I60*'Anx-E'!G56</f>
        <v>0</v>
      </c>
      <c r="I56" s="370">
        <f t="shared" si="49"/>
        <v>0</v>
      </c>
      <c r="J56" s="370">
        <f t="shared" si="50"/>
        <v>0</v>
      </c>
      <c r="K56" s="370">
        <v>0</v>
      </c>
      <c r="L56" s="370">
        <f t="shared" si="51"/>
        <v>0</v>
      </c>
      <c r="M56" s="387">
        <f>'Anx-C'!J60*'Anx-E'!G56</f>
        <v>104.20100327488115</v>
      </c>
      <c r="N56" s="370">
        <f t="shared" si="52"/>
        <v>5.2100501637440573</v>
      </c>
      <c r="O56" s="370">
        <f t="shared" si="53"/>
        <v>7.9192762488909674</v>
      </c>
      <c r="P56" s="370">
        <v>0</v>
      </c>
      <c r="Q56" s="370">
        <f t="shared" si="46"/>
        <v>91.071676862246122</v>
      </c>
      <c r="R56" s="370">
        <f>+'Anx-C'!K60*'Anx-E'!G56</f>
        <v>0</v>
      </c>
      <c r="S56" s="370">
        <f t="shared" si="54"/>
        <v>0</v>
      </c>
      <c r="T56" s="370">
        <f t="shared" si="55"/>
        <v>0</v>
      </c>
      <c r="U56" s="370">
        <v>0</v>
      </c>
      <c r="V56" s="370">
        <f t="shared" si="56"/>
        <v>0</v>
      </c>
    </row>
    <row r="57" spans="1:22" x14ac:dyDescent="0.25">
      <c r="A57" s="523"/>
      <c r="B57" s="369" t="str">
        <f>'Anx-C'!B61</f>
        <v>C/2023/P0468/CBD-ADA-Nallah/Pkg-I-20</v>
      </c>
      <c r="C57" s="369" t="str">
        <f>+'Anx-C'!C61</f>
        <v>(M/S INZI</v>
      </c>
      <c r="D57" s="595" t="str">
        <f>+'Anx-C'!D61</f>
        <v>Road works</v>
      </c>
      <c r="E57" s="387">
        <f>'Anx-C'!E61</f>
        <v>166.82</v>
      </c>
      <c r="F57" s="387">
        <f>'Anx-C'!F61</f>
        <v>140.13</v>
      </c>
      <c r="G57" s="596">
        <f>100%-'Anx-C'!H61</f>
        <v>0.84000719338208851</v>
      </c>
      <c r="H57" s="370">
        <f>'Anx-C'!I61*'Anx-E'!G57</f>
        <v>0</v>
      </c>
      <c r="I57" s="387">
        <f t="shared" si="49"/>
        <v>0</v>
      </c>
      <c r="J57" s="370">
        <f t="shared" si="50"/>
        <v>0</v>
      </c>
      <c r="K57" s="370">
        <v>0</v>
      </c>
      <c r="L57" s="370">
        <f t="shared" si="51"/>
        <v>0</v>
      </c>
      <c r="M57" s="387">
        <f>'Anx-C'!J61*'Anx-E'!G57</f>
        <v>67.28457618990528</v>
      </c>
      <c r="N57" s="370">
        <f>M57*5%</f>
        <v>3.3642288094952644</v>
      </c>
      <c r="O57" s="370">
        <f t="shared" si="53"/>
        <v>5.1136277904328011</v>
      </c>
      <c r="P57" s="370">
        <v>0</v>
      </c>
      <c r="Q57" s="370">
        <f t="shared" si="46"/>
        <v>58.806719589977213</v>
      </c>
      <c r="R57" s="370">
        <f>+'Anx-C'!K61*'Anx-E'!G57</f>
        <v>0</v>
      </c>
      <c r="S57" s="370">
        <f t="shared" si="54"/>
        <v>0</v>
      </c>
      <c r="T57" s="370">
        <f t="shared" si="55"/>
        <v>0</v>
      </c>
      <c r="U57" s="370">
        <v>0</v>
      </c>
      <c r="V57" s="370">
        <f t="shared" si="56"/>
        <v>0</v>
      </c>
    </row>
    <row r="58" spans="1:22" x14ac:dyDescent="0.25">
      <c r="A58" s="418">
        <f>+A56+1</f>
        <v>16</v>
      </c>
      <c r="B58" s="369" t="str">
        <f>'Anx-C'!B62</f>
        <v>C/2023/P0468/CBD-ADA-Nallah/Pkg-I-14</v>
      </c>
      <c r="C58" s="369" t="str">
        <f>+'Anx-C'!C62</f>
        <v xml:space="preserve">(M/S Saddaqat Builders)    </v>
      </c>
      <c r="D58" s="369" t="str">
        <f>+'Anx-C'!D62</f>
        <v>Road works</v>
      </c>
      <c r="E58" s="370">
        <f>'Anx-C'!E62</f>
        <v>510.06453111000002</v>
      </c>
      <c r="F58" s="370">
        <f>'Anx-C'!F62</f>
        <v>428.45460000000003</v>
      </c>
      <c r="G58" s="357">
        <f>100%-'Anx-C'!H62</f>
        <v>0.8400007721917051</v>
      </c>
      <c r="H58" s="370">
        <f>'Anx-C'!I62*'Anx-E'!G58</f>
        <v>0</v>
      </c>
      <c r="I58" s="370">
        <f t="shared" si="49"/>
        <v>0</v>
      </c>
      <c r="J58" s="370">
        <f t="shared" si="50"/>
        <v>0</v>
      </c>
      <c r="K58" s="370">
        <v>0</v>
      </c>
      <c r="L58" s="370">
        <f t="shared" si="51"/>
        <v>0</v>
      </c>
      <c r="M58" s="387">
        <f>'Anx-C'!J62*'Anx-E'!G58</f>
        <v>145.94173416058683</v>
      </c>
      <c r="N58" s="370">
        <f t="shared" si="52"/>
        <v>7.297086708029342</v>
      </c>
      <c r="O58" s="370">
        <f t="shared" si="53"/>
        <v>11.091571796204599</v>
      </c>
      <c r="P58" s="370">
        <v>0</v>
      </c>
      <c r="Q58" s="370">
        <f t="shared" si="46"/>
        <v>127.55307565635287</v>
      </c>
      <c r="R58" s="370">
        <f>+'Anx-C'!K62*'Anx-E'!G58</f>
        <v>0</v>
      </c>
      <c r="S58" s="370">
        <f t="shared" si="54"/>
        <v>0</v>
      </c>
      <c r="T58" s="370">
        <f t="shared" si="55"/>
        <v>0</v>
      </c>
      <c r="U58" s="370">
        <v>0</v>
      </c>
      <c r="V58" s="370">
        <f t="shared" si="56"/>
        <v>0</v>
      </c>
    </row>
    <row r="59" spans="1:22" x14ac:dyDescent="0.25">
      <c r="A59" s="418">
        <f t="shared" si="48"/>
        <v>17</v>
      </c>
      <c r="B59" s="369" t="str">
        <f>'Anx-C'!B63</f>
        <v>C/2023/P0468/CBD-ADA-Nallah/Pkg-I-08</v>
      </c>
      <c r="C59" s="369" t="str">
        <f>+'Anx-C'!C63</f>
        <v xml:space="preserve"> M/s STC</v>
      </c>
      <c r="D59" s="369" t="str">
        <f>+'Anx-C'!D63</f>
        <v>Road works</v>
      </c>
      <c r="E59" s="370">
        <f>'Anx-C'!E63</f>
        <v>210.714</v>
      </c>
      <c r="F59" s="370">
        <f>'Anx-C'!F63</f>
        <v>177</v>
      </c>
      <c r="G59" s="357">
        <f>100%-'Anx-C'!H63</f>
        <v>0.84000113898459527</v>
      </c>
      <c r="H59" s="370">
        <f>'Anx-C'!I63*'Anx-E'!G59</f>
        <v>0</v>
      </c>
      <c r="I59" s="370">
        <f t="shared" si="49"/>
        <v>0</v>
      </c>
      <c r="J59" s="370">
        <f t="shared" si="50"/>
        <v>0</v>
      </c>
      <c r="K59" s="370">
        <v>0</v>
      </c>
      <c r="L59" s="370">
        <f t="shared" si="51"/>
        <v>0</v>
      </c>
      <c r="M59" s="387">
        <f>'Anx-C'!J63*'Anx-E'!G59</f>
        <v>116.65515817648567</v>
      </c>
      <c r="N59" s="370">
        <f t="shared" si="52"/>
        <v>5.8327579088242842</v>
      </c>
      <c r="O59" s="370">
        <f t="shared" si="53"/>
        <v>8.8657920214129113</v>
      </c>
      <c r="P59" s="370">
        <v>0</v>
      </c>
      <c r="Q59" s="370">
        <f t="shared" si="46"/>
        <v>101.95660824624846</v>
      </c>
      <c r="R59" s="370">
        <f>+'Anx-C'!K63*'Anx-E'!G59</f>
        <v>0</v>
      </c>
      <c r="S59" s="370">
        <f t="shared" si="54"/>
        <v>0</v>
      </c>
      <c r="T59" s="370">
        <f t="shared" si="55"/>
        <v>0</v>
      </c>
      <c r="U59" s="370">
        <v>0</v>
      </c>
      <c r="V59" s="370">
        <f t="shared" si="56"/>
        <v>0</v>
      </c>
    </row>
    <row r="60" spans="1:22" x14ac:dyDescent="0.25">
      <c r="A60" s="418">
        <f t="shared" si="48"/>
        <v>18</v>
      </c>
      <c r="B60" s="369" t="str">
        <f>'Anx-C'!B64</f>
        <v>C/2023/P0468/CBD-ADA-Nallah/Pkg-I-12</v>
      </c>
      <c r="C60" s="369" t="str">
        <f>+'Anx-C'!C64</f>
        <v>M/s EDDCO</v>
      </c>
      <c r="D60" s="369" t="str">
        <f>+'Anx-C'!D64</f>
        <v>Road works</v>
      </c>
      <c r="E60" s="370">
        <f>'Anx-C'!E64</f>
        <v>200.839</v>
      </c>
      <c r="F60" s="370">
        <f>'Anx-C'!F64</f>
        <v>168.70500000000001</v>
      </c>
      <c r="G60" s="357">
        <f>100%-'Anx-C'!H64</f>
        <v>0.84000119498702952</v>
      </c>
      <c r="H60" s="370">
        <f>'Anx-C'!I64*'Anx-E'!G60</f>
        <v>0</v>
      </c>
      <c r="I60" s="370">
        <f t="shared" si="49"/>
        <v>0</v>
      </c>
      <c r="J60" s="370">
        <f t="shared" si="50"/>
        <v>0</v>
      </c>
      <c r="K60" s="370">
        <v>0</v>
      </c>
      <c r="L60" s="370">
        <f t="shared" si="51"/>
        <v>0</v>
      </c>
      <c r="M60" s="387">
        <f>'Anx-C'!J64*'Anx-E'!G60</f>
        <v>93.783613416716918</v>
      </c>
      <c r="N60" s="370">
        <f t="shared" si="52"/>
        <v>4.6891806708358459</v>
      </c>
      <c r="O60" s="370">
        <f t="shared" si="53"/>
        <v>7.1275546196704864</v>
      </c>
      <c r="P60" s="370">
        <v>0</v>
      </c>
      <c r="Q60" s="370">
        <f t="shared" si="46"/>
        <v>81.966878126210588</v>
      </c>
      <c r="R60" s="370">
        <f>+'Anx-C'!K64*'Anx-E'!G60</f>
        <v>0</v>
      </c>
      <c r="S60" s="370">
        <f t="shared" si="54"/>
        <v>0</v>
      </c>
      <c r="T60" s="370">
        <f t="shared" si="55"/>
        <v>0</v>
      </c>
      <c r="U60" s="370">
        <v>0</v>
      </c>
      <c r="V60" s="370">
        <f t="shared" si="56"/>
        <v>0</v>
      </c>
    </row>
    <row r="61" spans="1:22" ht="28.5" x14ac:dyDescent="0.25">
      <c r="A61" s="449">
        <f t="shared" si="48"/>
        <v>19</v>
      </c>
      <c r="B61" s="369" t="str">
        <f>'Anx-C'!B65</f>
        <v>C/2023/PO468/CBD ADA Nullah/Pkg-1/petty- 44&amp;45</v>
      </c>
      <c r="C61" s="369" t="str">
        <f>+'Anx-C'!C65</f>
        <v xml:space="preserve">M/S Yukon Builders &amp; Developers </v>
      </c>
      <c r="D61" s="369" t="str">
        <f>+'Anx-C'!D65</f>
        <v>Machinacal Work</v>
      </c>
      <c r="E61" s="370">
        <f>'Anx-C'!E65</f>
        <v>35.695</v>
      </c>
      <c r="F61" s="370">
        <f>'Anx-C'!F65</f>
        <v>27.841999999999999</v>
      </c>
      <c r="G61" s="357">
        <f>100%-'Anx-C'!H65</f>
        <v>0.77999719848718307</v>
      </c>
      <c r="H61" s="370">
        <f>'Anx-C'!I65*'Anx-E'!G61</f>
        <v>0</v>
      </c>
      <c r="I61" s="370">
        <f t="shared" si="49"/>
        <v>0</v>
      </c>
      <c r="J61" s="370">
        <f t="shared" si="50"/>
        <v>0</v>
      </c>
      <c r="K61" s="370">
        <v>0</v>
      </c>
      <c r="L61" s="370">
        <f t="shared" si="51"/>
        <v>0</v>
      </c>
      <c r="M61" s="387">
        <f>'Anx-C'!J65*'Anx-E'!G61</f>
        <v>17.619356716626978</v>
      </c>
      <c r="N61" s="370">
        <f t="shared" si="52"/>
        <v>0.88096783583134897</v>
      </c>
      <c r="O61" s="370">
        <f t="shared" si="53"/>
        <v>1.3390711104636503</v>
      </c>
      <c r="P61" s="370">
        <v>0</v>
      </c>
      <c r="Q61" s="370">
        <f t="shared" si="46"/>
        <v>15.399317770331979</v>
      </c>
      <c r="R61" s="370">
        <f>+'Anx-C'!K65*'Anx-E'!G61</f>
        <v>0</v>
      </c>
      <c r="S61" s="370">
        <f t="shared" si="54"/>
        <v>0</v>
      </c>
      <c r="T61" s="370">
        <f t="shared" si="55"/>
        <v>0</v>
      </c>
      <c r="U61" s="370">
        <v>0</v>
      </c>
      <c r="V61" s="370">
        <f t="shared" si="56"/>
        <v>0</v>
      </c>
    </row>
    <row r="62" spans="1:22" x14ac:dyDescent="0.25">
      <c r="A62" s="449">
        <f t="shared" si="48"/>
        <v>20</v>
      </c>
      <c r="B62" s="369" t="str">
        <f>'Anx-C'!B67</f>
        <v>C/2023/PO468/CBD ADA Nullah/Pkg-1/petty-16</v>
      </c>
      <c r="C62" s="369" t="str">
        <f>+'Anx-C'!C67</f>
        <v xml:space="preserve">M/S Best Builder </v>
      </c>
      <c r="D62" s="369" t="str">
        <f>+'Anx-C'!D67</f>
        <v>Pedestrain Bridge</v>
      </c>
      <c r="E62" s="370">
        <f>'Anx-C'!E67</f>
        <v>201.62100000000001</v>
      </c>
      <c r="F62" s="370">
        <f>'Anx-C'!F67</f>
        <v>161.87</v>
      </c>
      <c r="G62" s="357">
        <f>100%-'Anx-C'!H67</f>
        <v>0.8028429578268137</v>
      </c>
      <c r="H62" s="370">
        <f>'Anx-C'!I67*'Anx-E'!G62</f>
        <v>0.79401168529072219</v>
      </c>
      <c r="I62" s="370">
        <f t="shared" si="49"/>
        <v>3.9700584264536112E-2</v>
      </c>
      <c r="J62" s="370">
        <f t="shared" si="50"/>
        <v>6.0344888082094886E-2</v>
      </c>
      <c r="K62" s="370">
        <v>0</v>
      </c>
      <c r="L62" s="370">
        <f t="shared" si="51"/>
        <v>0.69396621294409111</v>
      </c>
      <c r="M62" s="387">
        <f>'Anx-C'!J67*'Anx-E'!G62</f>
        <v>106.18240391625874</v>
      </c>
      <c r="N62" s="370">
        <f t="shared" si="52"/>
        <v>5.3091201958129375</v>
      </c>
      <c r="O62" s="370">
        <f t="shared" si="53"/>
        <v>8.0698626976356636</v>
      </c>
      <c r="P62" s="370">
        <v>0</v>
      </c>
      <c r="Q62" s="370">
        <f t="shared" si="46"/>
        <v>92.803421022810141</v>
      </c>
      <c r="R62" s="370">
        <f>+'Anx-C'!K67*'Anx-E'!G62</f>
        <v>0.79401168529071875</v>
      </c>
      <c r="S62" s="370">
        <f t="shared" si="54"/>
        <v>3.9700584264535939E-2</v>
      </c>
      <c r="T62" s="370">
        <f t="shared" si="55"/>
        <v>6.0344888082094629E-2</v>
      </c>
      <c r="U62" s="370">
        <v>0</v>
      </c>
      <c r="V62" s="370">
        <f t="shared" si="56"/>
        <v>0.69396621294408822</v>
      </c>
    </row>
    <row r="63" spans="1:22" x14ac:dyDescent="0.25">
      <c r="A63" s="449">
        <f t="shared" si="48"/>
        <v>21</v>
      </c>
      <c r="B63" s="369" t="str">
        <f>'Anx-C'!B68</f>
        <v>C/2023/PO468/CBD ADA Nullah/Pkg-1/petty-17</v>
      </c>
      <c r="C63" s="369" t="str">
        <f>+'Anx-C'!C68</f>
        <v>M/S BA Construction</v>
      </c>
      <c r="D63" s="369" t="str">
        <f>+'Anx-C'!D68</f>
        <v>Road works</v>
      </c>
      <c r="E63" s="370">
        <f>'Anx-C'!E68</f>
        <v>75.912999999999997</v>
      </c>
      <c r="F63" s="370">
        <f>'Anx-C'!F68</f>
        <v>63.77</v>
      </c>
      <c r="G63" s="357">
        <f>100%-'Anx-C'!H68</f>
        <v>0.8400405727609237</v>
      </c>
      <c r="H63" s="370">
        <f>'Anx-C'!I68*'Anx-E'!G63</f>
        <v>0</v>
      </c>
      <c r="I63" s="370">
        <f t="shared" si="49"/>
        <v>0</v>
      </c>
      <c r="J63" s="370">
        <f t="shared" si="50"/>
        <v>0</v>
      </c>
      <c r="K63" s="370">
        <v>0</v>
      </c>
      <c r="L63" s="370">
        <f t="shared" si="51"/>
        <v>0</v>
      </c>
      <c r="M63" s="387">
        <f>'Anx-C'!J68*'Anx-E'!G63</f>
        <v>34.797000645475741</v>
      </c>
      <c r="N63" s="370">
        <f t="shared" si="52"/>
        <v>1.7398500322737871</v>
      </c>
      <c r="O63" s="370">
        <f t="shared" si="53"/>
        <v>2.6445720490561566</v>
      </c>
      <c r="P63" s="370">
        <v>0</v>
      </c>
      <c r="Q63" s="370">
        <f t="shared" si="46"/>
        <v>30.412578564145797</v>
      </c>
      <c r="R63" s="370">
        <f>+'Anx-C'!K68*'Anx-E'!G63</f>
        <v>0</v>
      </c>
      <c r="S63" s="370">
        <f t="shared" si="54"/>
        <v>0</v>
      </c>
      <c r="T63" s="370">
        <f t="shared" si="55"/>
        <v>0</v>
      </c>
      <c r="U63" s="370">
        <v>0</v>
      </c>
      <c r="V63" s="370">
        <f t="shared" si="56"/>
        <v>0</v>
      </c>
    </row>
    <row r="64" spans="1:22" x14ac:dyDescent="0.25">
      <c r="A64" s="574">
        <f t="shared" si="48"/>
        <v>22</v>
      </c>
      <c r="B64" s="369" t="str">
        <f>'Anx-C'!B69</f>
        <v>C/2023/PO468/CBD ADA Nullah/Pkg-1/petty-15</v>
      </c>
      <c r="C64" s="369" t="str">
        <f>+'Anx-C'!C69</f>
        <v>M/S Shah Developers</v>
      </c>
      <c r="D64" s="369" t="str">
        <f>+'Anx-C'!D69</f>
        <v>Pedestrain Bridge</v>
      </c>
      <c r="E64" s="370">
        <f>'Anx-C'!E69</f>
        <v>104.7</v>
      </c>
      <c r="F64" s="370">
        <f>'Anx-C'!F69</f>
        <v>83.76</v>
      </c>
      <c r="G64" s="499">
        <f>100%-'Anx-C'!H69</f>
        <v>0.8</v>
      </c>
      <c r="H64" s="370">
        <f>'Anx-C'!I69*'Anx-E'!G64</f>
        <v>0</v>
      </c>
      <c r="I64" s="370">
        <f t="shared" si="49"/>
        <v>0</v>
      </c>
      <c r="J64" s="370">
        <f t="shared" si="50"/>
        <v>0</v>
      </c>
      <c r="K64" s="370">
        <v>0</v>
      </c>
      <c r="L64" s="370">
        <f t="shared" si="51"/>
        <v>0</v>
      </c>
      <c r="M64" s="387">
        <f>'Anx-C'!J69*'Anx-E'!G64</f>
        <v>80.921600000000012</v>
      </c>
      <c r="N64" s="370">
        <f>M64*5%</f>
        <v>4.0460800000000008</v>
      </c>
      <c r="O64" s="370">
        <f t="shared" si="53"/>
        <v>6.1500416000000007</v>
      </c>
      <c r="P64" s="370">
        <v>0</v>
      </c>
      <c r="Q64" s="370">
        <f t="shared" si="46"/>
        <v>70.725478400000014</v>
      </c>
      <c r="R64" s="370">
        <f>+'Anx-C'!K69*'Anx-E'!G64</f>
        <v>0</v>
      </c>
      <c r="S64" s="370">
        <f t="shared" si="54"/>
        <v>0</v>
      </c>
      <c r="T64" s="370">
        <f t="shared" si="55"/>
        <v>0</v>
      </c>
      <c r="U64" s="370">
        <v>0</v>
      </c>
      <c r="V64" s="370">
        <f t="shared" si="56"/>
        <v>0</v>
      </c>
    </row>
    <row r="65" spans="1:22" ht="26.45" customHeight="1" x14ac:dyDescent="0.25">
      <c r="A65" s="574">
        <f t="shared" si="48"/>
        <v>23</v>
      </c>
      <c r="B65" s="369" t="s">
        <v>719</v>
      </c>
      <c r="C65" s="369" t="str">
        <f>+'Anx-C'!C70</f>
        <v>(M/S Land Lord</v>
      </c>
      <c r="D65" s="369" t="str">
        <f>+'Anx-C'!D70</f>
        <v>Mechinal Work</v>
      </c>
      <c r="E65" s="370">
        <f>'Anx-C'!E70</f>
        <v>0</v>
      </c>
      <c r="F65" s="370">
        <f>'Anx-C'!F70</f>
        <v>0</v>
      </c>
      <c r="G65" s="499">
        <f>100%-'Anx-C'!H70</f>
        <v>0.85</v>
      </c>
      <c r="H65" s="370">
        <f>'Anx-C'!I70*'Anx-E'!G65</f>
        <v>17.839799999999993</v>
      </c>
      <c r="I65" s="370">
        <f t="shared" si="49"/>
        <v>0.89198999999999973</v>
      </c>
      <c r="J65" s="370">
        <f t="shared" si="50"/>
        <v>1.3558247999999995</v>
      </c>
      <c r="K65" s="370">
        <v>0</v>
      </c>
      <c r="L65" s="370">
        <f t="shared" si="51"/>
        <v>15.591985199999995</v>
      </c>
      <c r="M65" s="387">
        <f>71.76+37.3421-51.45-8.5+4.25+45.546-93.347+23.693+8.123+17.84</f>
        <v>55.257100000000023</v>
      </c>
      <c r="N65" s="370">
        <f>3.588+1.867105-2.573-0.425+0.213+2.277-4.667+1.185+0.892</f>
        <v>2.3571050000000007</v>
      </c>
      <c r="O65" s="370">
        <f>5.588+2.8379996-4.044-0.646+0.323+3.462-7.094+1.801+1.356</f>
        <v>3.5839996000000012</v>
      </c>
      <c r="P65" s="370">
        <v>0</v>
      </c>
      <c r="Q65" s="370">
        <f>M65-N65-O65-P65</f>
        <v>49.31599540000002</v>
      </c>
      <c r="R65" s="370">
        <v>17.84</v>
      </c>
      <c r="S65" s="370">
        <f t="shared" si="54"/>
        <v>0.89200000000000002</v>
      </c>
      <c r="T65" s="370">
        <f t="shared" si="55"/>
        <v>1.3558400000000002</v>
      </c>
      <c r="U65" s="370">
        <v>0</v>
      </c>
      <c r="V65" s="370">
        <f t="shared" si="56"/>
        <v>15.59216</v>
      </c>
    </row>
    <row r="66" spans="1:22" ht="19.899999999999999" customHeight="1" x14ac:dyDescent="0.25">
      <c r="A66" s="574">
        <f t="shared" si="48"/>
        <v>24</v>
      </c>
      <c r="B66" s="369" t="s">
        <v>719</v>
      </c>
      <c r="C66" s="369" t="str">
        <f>+'Anx-C'!C71</f>
        <v xml:space="preserve">Ne M Shafi </v>
      </c>
      <c r="D66" s="369" t="str">
        <f>+'Anx-C'!D71</f>
        <v>Electrical &amp; Machinacal Work</v>
      </c>
      <c r="E66" s="370">
        <f>'Anx-C'!E71</f>
        <v>13.836</v>
      </c>
      <c r="F66" s="370">
        <f>'Anx-C'!F71</f>
        <v>12.037000000000001</v>
      </c>
      <c r="G66" s="499">
        <f>100%-'Anx-C'!H71</f>
        <v>0.86997687192830297</v>
      </c>
      <c r="H66" s="370">
        <f>'Anx-C'!I71*'Anx-E'!G66</f>
        <v>0</v>
      </c>
      <c r="I66" s="370">
        <f t="shared" si="49"/>
        <v>0</v>
      </c>
      <c r="J66" s="370">
        <f t="shared" si="50"/>
        <v>0</v>
      </c>
      <c r="K66" s="370">
        <v>0</v>
      </c>
      <c r="L66" s="370">
        <f t="shared" si="51"/>
        <v>0</v>
      </c>
      <c r="M66" s="387">
        <f>'Anx-C'!J71*'Anx-E'!G66</f>
        <v>12.110948034113907</v>
      </c>
      <c r="N66" s="370">
        <f>M66*5%</f>
        <v>0.60554740170569543</v>
      </c>
      <c r="O66" s="370">
        <f>(M66-N66-P66)*8%</f>
        <v>0.92043205059265687</v>
      </c>
      <c r="P66" s="370">
        <v>0</v>
      </c>
      <c r="Q66" s="370">
        <f t="shared" si="46"/>
        <v>10.584968581815554</v>
      </c>
      <c r="R66" s="370">
        <f>+'Anx-C'!K71*'Anx-E'!G66</f>
        <v>0</v>
      </c>
      <c r="S66" s="370">
        <f>R66*5%</f>
        <v>0</v>
      </c>
      <c r="T66" s="370">
        <f>(R66-S66-U66)*8%</f>
        <v>0</v>
      </c>
      <c r="U66" s="370">
        <v>0</v>
      </c>
      <c r="V66" s="370">
        <f t="shared" si="56"/>
        <v>0</v>
      </c>
    </row>
    <row r="67" spans="1:22" x14ac:dyDescent="0.25">
      <c r="A67" s="479"/>
      <c r="B67" s="369" t="s">
        <v>719</v>
      </c>
      <c r="C67" s="369">
        <f>+'Anx-C'!C72</f>
        <v>0</v>
      </c>
      <c r="D67" s="369" t="str">
        <f>+'Anx-C'!D72</f>
        <v>Cobble Stone</v>
      </c>
      <c r="E67" s="370">
        <f>'Anx-C'!E72</f>
        <v>0</v>
      </c>
      <c r="F67" s="370">
        <f>'Anx-C'!F72</f>
        <v>0</v>
      </c>
      <c r="G67" s="499">
        <v>0.85</v>
      </c>
      <c r="H67" s="370">
        <f>'Anx-C'!I72*'Anx-E'!G67</f>
        <v>0</v>
      </c>
      <c r="I67" s="370">
        <f t="shared" si="49"/>
        <v>0</v>
      </c>
      <c r="J67" s="370">
        <f t="shared" ref="J67" si="57">(H67-I67-K67)*8%</f>
        <v>0</v>
      </c>
      <c r="K67" s="370">
        <v>0</v>
      </c>
      <c r="L67" s="370">
        <f t="shared" ref="L67" si="58">H67-I67-J67-K67</f>
        <v>0</v>
      </c>
      <c r="M67" s="387">
        <f>'Anx-C'!J72*'Anx-E'!G67</f>
        <v>34.2652</v>
      </c>
      <c r="N67" s="370">
        <f>M67*5%</f>
        <v>1.71326</v>
      </c>
      <c r="O67" s="370">
        <f>(M67-N67-P67)*8%</f>
        <v>2.6041552000000001</v>
      </c>
      <c r="P67" s="370">
        <v>0</v>
      </c>
      <c r="Q67" s="370">
        <f t="shared" ref="Q67" si="59">M67-N67-O67-P67</f>
        <v>29.947784800000001</v>
      </c>
      <c r="R67" s="370">
        <f>+'Anx-C'!K72*'Anx-E'!G67</f>
        <v>0</v>
      </c>
      <c r="S67" s="370">
        <f>R67*5%</f>
        <v>0</v>
      </c>
      <c r="T67" s="370">
        <f>(R67-S67-U67)*8%</f>
        <v>0</v>
      </c>
      <c r="U67" s="370">
        <v>0</v>
      </c>
      <c r="V67" s="370">
        <f t="shared" ref="V67" si="60">R67-S67-T67-U67</f>
        <v>0</v>
      </c>
    </row>
    <row r="68" spans="1:22" x14ac:dyDescent="0.25">
      <c r="A68" s="791" t="s">
        <v>272</v>
      </c>
      <c r="B68" s="791"/>
      <c r="C68" s="791"/>
      <c r="D68" s="791"/>
      <c r="E68" s="371">
        <f>SUM(E7:E59)</f>
        <v>7598.1531256709659</v>
      </c>
      <c r="F68" s="371">
        <f>SUM(F7:F56)</f>
        <v>5826.8554838825739</v>
      </c>
      <c r="G68" s="371"/>
      <c r="H68" s="372">
        <f>SUM(H39:H67)</f>
        <v>31.077953755459035</v>
      </c>
      <c r="I68" s="372">
        <f t="shared" ref="I68:V68" si="61">SUM(I39:I67)</f>
        <v>1.5538976877729516</v>
      </c>
      <c r="J68" s="372">
        <f t="shared" si="61"/>
        <v>2.3619244854148866</v>
      </c>
      <c r="K68" s="372">
        <f t="shared" si="61"/>
        <v>0</v>
      </c>
      <c r="L68" s="372">
        <f t="shared" si="61"/>
        <v>27.162131582271194</v>
      </c>
      <c r="M68" s="372">
        <f>SUM(M39:M67)</f>
        <v>6059.9139203729346</v>
      </c>
      <c r="N68" s="372">
        <f>SUM(N39:N67)</f>
        <v>302.5899460186468</v>
      </c>
      <c r="O68" s="372">
        <f>SUM(O39:O67)</f>
        <v>459.937917948343</v>
      </c>
      <c r="P68" s="372">
        <f t="shared" si="61"/>
        <v>0</v>
      </c>
      <c r="Q68" s="372">
        <f>SUM(Q39:Q67)</f>
        <v>5297.3860564059441</v>
      </c>
      <c r="R68" s="372">
        <f>SUM(R39:R67)</f>
        <v>31.078153755459034</v>
      </c>
      <c r="S68" s="372">
        <f t="shared" si="61"/>
        <v>1.5539076877729519</v>
      </c>
      <c r="T68" s="372">
        <f t="shared" si="61"/>
        <v>2.3619396854148871</v>
      </c>
      <c r="U68" s="372">
        <f t="shared" si="61"/>
        <v>0</v>
      </c>
      <c r="V68" s="372">
        <f t="shared" si="61"/>
        <v>27.162306382271197</v>
      </c>
    </row>
    <row r="69" spans="1:22" x14ac:dyDescent="0.25">
      <c r="A69" s="508"/>
      <c r="B69" s="508"/>
      <c r="C69" s="508"/>
      <c r="D69" s="508"/>
      <c r="E69" s="509"/>
      <c r="F69" s="509"/>
      <c r="G69" s="509"/>
      <c r="H69" s="510"/>
      <c r="I69" s="510"/>
      <c r="J69" s="510"/>
      <c r="K69" s="510"/>
      <c r="L69" s="510"/>
      <c r="M69" s="510">
        <v>6028.8357666174752</v>
      </c>
      <c r="N69" s="510">
        <v>301.03603833087379</v>
      </c>
      <c r="O69" s="510">
        <v>457.57581826292807</v>
      </c>
      <c r="P69" s="510">
        <v>0</v>
      </c>
      <c r="Q69" s="510">
        <v>5270.2239100236729</v>
      </c>
      <c r="R69" s="510"/>
      <c r="S69" s="510"/>
      <c r="T69" s="510"/>
      <c r="U69" s="510"/>
      <c r="V69" s="510"/>
    </row>
    <row r="70" spans="1:22" x14ac:dyDescent="0.25">
      <c r="A70" s="508"/>
      <c r="B70" s="508"/>
      <c r="C70" s="508"/>
      <c r="D70" s="508"/>
      <c r="E70" s="509"/>
      <c r="F70" s="509"/>
      <c r="G70" s="509"/>
      <c r="H70" s="510"/>
      <c r="I70" s="510"/>
      <c r="J70" s="510">
        <f>29.294-5.601</f>
        <v>23.693000000000001</v>
      </c>
      <c r="K70" s="510"/>
      <c r="L70" s="510"/>
      <c r="M70" s="510">
        <f>+M68-M69</f>
        <v>31.078153755459425</v>
      </c>
      <c r="N70" s="510">
        <f t="shared" ref="N70:V70" si="62">+N68-N69</f>
        <v>1.5539076877730054</v>
      </c>
      <c r="O70" s="510">
        <f t="shared" si="62"/>
        <v>2.3620996854149325</v>
      </c>
      <c r="P70" s="510">
        <f t="shared" si="62"/>
        <v>0</v>
      </c>
      <c r="Q70" s="510">
        <f t="shared" si="62"/>
        <v>27.162146382271203</v>
      </c>
      <c r="R70" s="510">
        <f>+R68-R69</f>
        <v>31.078153755459034</v>
      </c>
      <c r="S70" s="510">
        <f t="shared" si="62"/>
        <v>1.5539076877729519</v>
      </c>
      <c r="T70" s="510">
        <f t="shared" si="62"/>
        <v>2.3619396854148871</v>
      </c>
      <c r="U70" s="510">
        <f t="shared" si="62"/>
        <v>0</v>
      </c>
      <c r="V70" s="510">
        <f t="shared" si="62"/>
        <v>27.162306382271197</v>
      </c>
    </row>
    <row r="71" spans="1:22" x14ac:dyDescent="0.25">
      <c r="M71" s="530"/>
      <c r="N71" s="530"/>
      <c r="O71" s="530"/>
      <c r="P71" s="530"/>
      <c r="Q71" s="530"/>
      <c r="R71" s="530"/>
      <c r="S71" s="530"/>
      <c r="T71" s="530"/>
      <c r="U71" s="530"/>
      <c r="V71" s="530"/>
    </row>
    <row r="72" spans="1:22" x14ac:dyDescent="0.25">
      <c r="A72" s="792" t="s">
        <v>141</v>
      </c>
      <c r="B72" s="793" t="s">
        <v>262</v>
      </c>
      <c r="C72" s="791" t="s">
        <v>263</v>
      </c>
      <c r="D72" s="791" t="s">
        <v>96</v>
      </c>
      <c r="E72" s="791" t="s">
        <v>264</v>
      </c>
      <c r="F72" s="791" t="s">
        <v>265</v>
      </c>
      <c r="G72" s="502"/>
      <c r="H72" s="791" t="s">
        <v>5</v>
      </c>
      <c r="I72" s="791"/>
      <c r="J72" s="791"/>
      <c r="K72" s="791"/>
      <c r="L72" s="791"/>
      <c r="M72" s="791" t="s">
        <v>266</v>
      </c>
      <c r="N72" s="791"/>
      <c r="O72" s="791"/>
      <c r="P72" s="791"/>
      <c r="Q72" s="791"/>
      <c r="R72" s="791" t="s">
        <v>267</v>
      </c>
      <c r="S72" s="791"/>
      <c r="T72" s="791"/>
      <c r="U72" s="791"/>
      <c r="V72" s="791"/>
    </row>
    <row r="73" spans="1:22" ht="75" x14ac:dyDescent="0.25">
      <c r="A73" s="792"/>
      <c r="B73" s="793"/>
      <c r="C73" s="791"/>
      <c r="D73" s="791"/>
      <c r="E73" s="791"/>
      <c r="F73" s="791"/>
      <c r="G73" s="502" t="s">
        <v>268</v>
      </c>
      <c r="H73" s="502" t="s">
        <v>269</v>
      </c>
      <c r="I73" s="502" t="s">
        <v>197</v>
      </c>
      <c r="J73" s="502" t="s">
        <v>198</v>
      </c>
      <c r="K73" s="502" t="s">
        <v>270</v>
      </c>
      <c r="L73" s="502" t="s">
        <v>271</v>
      </c>
      <c r="M73" s="502" t="s">
        <v>269</v>
      </c>
      <c r="N73" s="502" t="s">
        <v>197</v>
      </c>
      <c r="O73" s="502" t="s">
        <v>198</v>
      </c>
      <c r="P73" s="502" t="s">
        <v>270</v>
      </c>
      <c r="Q73" s="502" t="s">
        <v>271</v>
      </c>
      <c r="R73" s="502" t="s">
        <v>269</v>
      </c>
      <c r="S73" s="502" t="s">
        <v>197</v>
      </c>
      <c r="T73" s="502" t="s">
        <v>198</v>
      </c>
      <c r="U73" s="502" t="s">
        <v>270</v>
      </c>
      <c r="V73" s="502" t="s">
        <v>271</v>
      </c>
    </row>
    <row r="75" spans="1:22" x14ac:dyDescent="0.25">
      <c r="H75" s="363">
        <f>'Anx-A'!D27</f>
        <v>37.4955</v>
      </c>
    </row>
    <row r="76" spans="1:22" x14ac:dyDescent="0.25">
      <c r="M76" s="363">
        <v>40.311999999999998</v>
      </c>
    </row>
    <row r="77" spans="1:22" x14ac:dyDescent="0.25">
      <c r="M77" s="530">
        <f>+M76-M67</f>
        <v>6.0467999999999975</v>
      </c>
    </row>
  </sheetData>
  <mergeCells count="22">
    <mergeCell ref="M5:Q5"/>
    <mergeCell ref="A2:V2"/>
    <mergeCell ref="A3:V3"/>
    <mergeCell ref="R5:V5"/>
    <mergeCell ref="A68:D68"/>
    <mergeCell ref="A5:A6"/>
    <mergeCell ref="B5:B6"/>
    <mergeCell ref="B39:D39"/>
    <mergeCell ref="D5:D6"/>
    <mergeCell ref="E5:E6"/>
    <mergeCell ref="F5:F6"/>
    <mergeCell ref="H5:L5"/>
    <mergeCell ref="C5:C6"/>
    <mergeCell ref="F72:F73"/>
    <mergeCell ref="H72:L72"/>
    <mergeCell ref="M72:Q72"/>
    <mergeCell ref="R72:V72"/>
    <mergeCell ref="A72:A73"/>
    <mergeCell ref="B72:B73"/>
    <mergeCell ref="C72:C73"/>
    <mergeCell ref="D72:D73"/>
    <mergeCell ref="E72:E73"/>
  </mergeCells>
  <pageMargins left="0" right="0" top="0.75" bottom="0.75" header="0.3" footer="0.3"/>
  <pageSetup scale="36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2" r:id="rId4">
          <objectPr defaultSize="0" autoPict="0" r:id="rId5">
            <anchor moveWithCells="1" sizeWithCells="1">
              <from>
                <xdr:col>0</xdr:col>
                <xdr:colOff>9525</xdr:colOff>
                <xdr:row>70</xdr:row>
                <xdr:rowOff>0</xdr:rowOff>
              </from>
              <to>
                <xdr:col>0</xdr:col>
                <xdr:colOff>142875</xdr:colOff>
                <xdr:row>70</xdr:row>
                <xdr:rowOff>0</xdr:rowOff>
              </to>
            </anchor>
          </objectPr>
        </oleObject>
      </mc:Choice>
      <mc:Fallback>
        <oleObject progId="Word.Picture.8" shapeId="7170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81"/>
  <sheetViews>
    <sheetView workbookViewId="0">
      <pane xSplit="3" ySplit="4" topLeftCell="D374" activePane="bottomRight" state="frozen"/>
      <selection pane="topRight" activeCell="D1" sqref="D1"/>
      <selection pane="bottomLeft" activeCell="A5" sqref="A5"/>
      <selection pane="bottomRight" activeCell="B379" sqref="B379"/>
    </sheetView>
  </sheetViews>
  <sheetFormatPr defaultColWidth="9.140625" defaultRowHeight="15" x14ac:dyDescent="0.25"/>
  <cols>
    <col min="1" max="1" width="15.140625" style="338" customWidth="1"/>
    <col min="2" max="2" width="16.85546875" style="338" bestFit="1" customWidth="1"/>
    <col min="3" max="3" width="14.28515625" style="338" bestFit="1" customWidth="1"/>
    <col min="4" max="5" width="16.85546875" style="338" bestFit="1" customWidth="1"/>
    <col min="6" max="6" width="15.28515625" style="338" bestFit="1" customWidth="1"/>
    <col min="7" max="7" width="13.5703125" style="338" customWidth="1"/>
    <col min="8" max="8" width="15.28515625" style="338" bestFit="1" customWidth="1"/>
    <col min="9" max="9" width="16.85546875" style="338" bestFit="1" customWidth="1"/>
    <col min="10" max="10" width="16.5703125" style="338" customWidth="1"/>
    <col min="11" max="11" width="15.28515625" style="338" bestFit="1" customWidth="1"/>
    <col min="12" max="12" width="14.140625" style="338" customWidth="1"/>
    <col min="13" max="13" width="16.85546875" style="338" bestFit="1" customWidth="1"/>
    <col min="14" max="14" width="15.28515625" style="338" bestFit="1" customWidth="1"/>
    <col min="15" max="16384" width="9.140625" style="338"/>
  </cols>
  <sheetData>
    <row r="3" spans="1:14" x14ac:dyDescent="0.25">
      <c r="A3" s="798" t="s">
        <v>695</v>
      </c>
      <c r="B3" s="798" t="s">
        <v>68</v>
      </c>
      <c r="C3" s="799" t="s">
        <v>244</v>
      </c>
      <c r="D3" s="798" t="s">
        <v>245</v>
      </c>
      <c r="E3" s="800" t="s">
        <v>247</v>
      </c>
      <c r="F3" s="800"/>
      <c r="G3" s="800"/>
      <c r="H3" s="800"/>
      <c r="I3" s="800"/>
      <c r="J3" s="798" t="s">
        <v>248</v>
      </c>
      <c r="K3" s="798" t="s">
        <v>249</v>
      </c>
      <c r="L3" s="798" t="s">
        <v>250</v>
      </c>
      <c r="M3" s="798" t="s">
        <v>251</v>
      </c>
      <c r="N3" s="798" t="s">
        <v>252</v>
      </c>
    </row>
    <row r="4" spans="1:14" ht="30" x14ac:dyDescent="0.25">
      <c r="A4" s="798"/>
      <c r="B4" s="798"/>
      <c r="C4" s="799"/>
      <c r="D4" s="798"/>
      <c r="E4" s="531" t="s">
        <v>253</v>
      </c>
      <c r="F4" s="533" t="s">
        <v>254</v>
      </c>
      <c r="G4" s="531" t="s">
        <v>690</v>
      </c>
      <c r="H4" s="533" t="s">
        <v>255</v>
      </c>
      <c r="I4" s="531" t="s">
        <v>256</v>
      </c>
      <c r="J4" s="798"/>
      <c r="K4" s="798"/>
      <c r="L4" s="798"/>
      <c r="M4" s="798"/>
      <c r="N4" s="798"/>
    </row>
    <row r="5" spans="1:14" x14ac:dyDescent="0.25">
      <c r="A5" s="429" t="s">
        <v>258</v>
      </c>
      <c r="B5" s="358">
        <v>21360698</v>
      </c>
      <c r="C5" s="555"/>
      <c r="D5" s="358">
        <f>SUM(B5:C5)</f>
        <v>21360698</v>
      </c>
      <c r="E5" s="358">
        <v>8109898</v>
      </c>
      <c r="F5" s="358">
        <f t="shared" ref="F5:F16" si="0">B5*5%</f>
        <v>1068034.9000000001</v>
      </c>
      <c r="G5" s="358"/>
      <c r="H5" s="358">
        <v>0</v>
      </c>
      <c r="I5" s="358">
        <f>SUM(E5:H5)</f>
        <v>9177932.9000000004</v>
      </c>
      <c r="J5" s="358">
        <f t="shared" ref="J5:J20" si="1">D5-I5</f>
        <v>12182765.1</v>
      </c>
      <c r="K5" s="359">
        <f>ROUND(J5*7.5%,0)</f>
        <v>913707</v>
      </c>
      <c r="L5" s="358">
        <f t="shared" ref="L5:L29" si="2">ROUND(J5-K5,0)</f>
        <v>11269058</v>
      </c>
      <c r="M5" s="358">
        <f>6000000+4000000+281127+987931</f>
        <v>11269058</v>
      </c>
      <c r="N5" s="358">
        <f t="shared" ref="N5:N29" si="3">L5-M5</f>
        <v>0</v>
      </c>
    </row>
    <row r="6" spans="1:14" x14ac:dyDescent="0.25">
      <c r="A6" s="429" t="s">
        <v>258</v>
      </c>
      <c r="B6" s="358">
        <v>32399413</v>
      </c>
      <c r="C6" s="555"/>
      <c r="D6" s="358">
        <f>SUM(B6:C6)</f>
        <v>32399413</v>
      </c>
      <c r="E6" s="358">
        <v>9455014</v>
      </c>
      <c r="F6" s="358">
        <f t="shared" si="0"/>
        <v>1619970.6500000001</v>
      </c>
      <c r="G6" s="358"/>
      <c r="H6" s="358">
        <v>8083120</v>
      </c>
      <c r="I6" s="358">
        <f>SUM(E6:H6)</f>
        <v>19158104.649999999</v>
      </c>
      <c r="J6" s="358">
        <f t="shared" si="1"/>
        <v>13241308.350000001</v>
      </c>
      <c r="K6" s="359">
        <f t="shared" ref="K6:K29" si="4">ROUND(J6*7.5%,0)</f>
        <v>993098</v>
      </c>
      <c r="L6" s="358">
        <f t="shared" si="2"/>
        <v>12248210</v>
      </c>
      <c r="M6" s="358">
        <f>10000000+2182005+66205</f>
        <v>12248210</v>
      </c>
      <c r="N6" s="358">
        <f t="shared" si="3"/>
        <v>0</v>
      </c>
    </row>
    <row r="7" spans="1:14" x14ac:dyDescent="0.25">
      <c r="A7" s="429" t="s">
        <v>258</v>
      </c>
      <c r="B7" s="358">
        <v>62576602</v>
      </c>
      <c r="C7" s="555"/>
      <c r="D7" s="358">
        <f>SUM(B7:C7)</f>
        <v>62576602</v>
      </c>
      <c r="E7" s="358">
        <v>29571259</v>
      </c>
      <c r="F7" s="358">
        <f t="shared" si="0"/>
        <v>3128830.1</v>
      </c>
      <c r="G7" s="358"/>
      <c r="H7" s="358">
        <v>23776931</v>
      </c>
      <c r="I7" s="358">
        <f t="shared" ref="I7:I25" si="5">SUM(E7:H7)</f>
        <v>56477020.100000001</v>
      </c>
      <c r="J7" s="358">
        <f t="shared" si="1"/>
        <v>6099581.8999999985</v>
      </c>
      <c r="K7" s="359">
        <f t="shared" si="4"/>
        <v>457469</v>
      </c>
      <c r="L7" s="358">
        <f t="shared" si="2"/>
        <v>5642113</v>
      </c>
      <c r="M7" s="358">
        <f>1000000+2500000+1500000+642113</f>
        <v>5642113</v>
      </c>
      <c r="N7" s="358">
        <f t="shared" si="3"/>
        <v>0</v>
      </c>
    </row>
    <row r="8" spans="1:14" x14ac:dyDescent="0.25">
      <c r="A8" s="429" t="s">
        <v>258</v>
      </c>
      <c r="B8" s="358">
        <v>62389264</v>
      </c>
      <c r="C8" s="555"/>
      <c r="D8" s="358">
        <f>SUM(B8:C8)</f>
        <v>62389264</v>
      </c>
      <c r="E8" s="358">
        <v>22370045</v>
      </c>
      <c r="F8" s="358">
        <f t="shared" si="0"/>
        <v>3119463.2</v>
      </c>
      <c r="G8" s="358"/>
      <c r="H8" s="358">
        <v>14950149</v>
      </c>
      <c r="I8" s="358">
        <f t="shared" si="5"/>
        <v>40439657.200000003</v>
      </c>
      <c r="J8" s="358">
        <f t="shared" si="1"/>
        <v>21949606.799999997</v>
      </c>
      <c r="K8" s="359">
        <f t="shared" si="4"/>
        <v>1646221</v>
      </c>
      <c r="L8" s="358">
        <f t="shared" si="2"/>
        <v>20303386</v>
      </c>
      <c r="M8" s="358">
        <f>20000000+303386</f>
        <v>20303386</v>
      </c>
      <c r="N8" s="358">
        <f t="shared" si="3"/>
        <v>0</v>
      </c>
    </row>
    <row r="9" spans="1:14" x14ac:dyDescent="0.25">
      <c r="A9" s="429" t="s">
        <v>258</v>
      </c>
      <c r="B9" s="358">
        <v>18420521</v>
      </c>
      <c r="C9" s="555"/>
      <c r="D9" s="358">
        <f>SUM(B9:C9)</f>
        <v>18420521</v>
      </c>
      <c r="E9" s="358"/>
      <c r="F9" s="358">
        <f t="shared" si="0"/>
        <v>921026.05</v>
      </c>
      <c r="G9" s="358"/>
      <c r="H9" s="358"/>
      <c r="I9" s="358">
        <f t="shared" si="5"/>
        <v>921026.05</v>
      </c>
      <c r="J9" s="358">
        <f t="shared" si="1"/>
        <v>17499494.949999999</v>
      </c>
      <c r="K9" s="359">
        <f t="shared" si="4"/>
        <v>1312462</v>
      </c>
      <c r="L9" s="358">
        <f t="shared" si="2"/>
        <v>16187033</v>
      </c>
      <c r="M9" s="358">
        <f>2500000+2500000+5000000+5000000+1187033</f>
        <v>16187033</v>
      </c>
      <c r="N9" s="358">
        <f t="shared" si="3"/>
        <v>0</v>
      </c>
    </row>
    <row r="10" spans="1:14" x14ac:dyDescent="0.25">
      <c r="A10" s="429" t="s">
        <v>258</v>
      </c>
      <c r="B10" s="358">
        <v>7894509</v>
      </c>
      <c r="C10" s="555"/>
      <c r="D10" s="358">
        <f t="shared" ref="D10:D22" si="6">SUM(B10:C10)</f>
        <v>7894509</v>
      </c>
      <c r="E10" s="534" t="s">
        <v>691</v>
      </c>
      <c r="F10" s="358">
        <f t="shared" si="0"/>
        <v>394725.45</v>
      </c>
      <c r="G10" s="358"/>
      <c r="H10" s="535"/>
      <c r="I10" s="358">
        <f t="shared" si="5"/>
        <v>394725.45</v>
      </c>
      <c r="J10" s="358">
        <f t="shared" si="1"/>
        <v>7499783.5499999998</v>
      </c>
      <c r="K10" s="359">
        <f t="shared" si="4"/>
        <v>562484</v>
      </c>
      <c r="L10" s="358">
        <f t="shared" si="2"/>
        <v>6937300</v>
      </c>
      <c r="M10" s="358">
        <v>6937300</v>
      </c>
      <c r="N10" s="358">
        <f t="shared" si="3"/>
        <v>0</v>
      </c>
    </row>
    <row r="11" spans="1:14" x14ac:dyDescent="0.25">
      <c r="A11" s="429" t="s">
        <v>258</v>
      </c>
      <c r="B11" s="358">
        <v>37340472</v>
      </c>
      <c r="C11" s="555"/>
      <c r="D11" s="358">
        <f t="shared" si="6"/>
        <v>37340472</v>
      </c>
      <c r="E11" s="536">
        <v>16150462</v>
      </c>
      <c r="F11" s="358">
        <f t="shared" si="0"/>
        <v>1867023.6</v>
      </c>
      <c r="G11" s="358"/>
      <c r="H11" s="537" t="s">
        <v>691</v>
      </c>
      <c r="I11" s="358">
        <f t="shared" si="5"/>
        <v>18017485.600000001</v>
      </c>
      <c r="J11" s="358">
        <f t="shared" si="1"/>
        <v>19322986.399999999</v>
      </c>
      <c r="K11" s="359">
        <f t="shared" si="4"/>
        <v>1449224</v>
      </c>
      <c r="L11" s="358">
        <f t="shared" si="2"/>
        <v>17873762</v>
      </c>
      <c r="M11" s="358">
        <f>10000000+5817500+2056262</f>
        <v>17873762</v>
      </c>
      <c r="N11" s="358">
        <f t="shared" si="3"/>
        <v>0</v>
      </c>
    </row>
    <row r="12" spans="1:14" x14ac:dyDescent="0.25">
      <c r="A12" s="429" t="s">
        <v>258</v>
      </c>
      <c r="B12" s="358">
        <v>16003059</v>
      </c>
      <c r="C12" s="555"/>
      <c r="D12" s="358">
        <f t="shared" si="6"/>
        <v>16003059</v>
      </c>
      <c r="E12" s="534" t="s">
        <v>691</v>
      </c>
      <c r="F12" s="358">
        <f t="shared" si="0"/>
        <v>800152.95000000007</v>
      </c>
      <c r="G12" s="358">
        <v>14150895</v>
      </c>
      <c r="H12" s="537" t="s">
        <v>691</v>
      </c>
      <c r="I12" s="358">
        <f t="shared" si="5"/>
        <v>14951047.949999999</v>
      </c>
      <c r="J12" s="358">
        <f t="shared" si="1"/>
        <v>1052011.0500000007</v>
      </c>
      <c r="K12" s="359">
        <f t="shared" si="4"/>
        <v>78901</v>
      </c>
      <c r="L12" s="358">
        <f t="shared" si="2"/>
        <v>973110</v>
      </c>
      <c r="M12" s="358">
        <v>973110</v>
      </c>
      <c r="N12" s="358">
        <f t="shared" si="3"/>
        <v>0</v>
      </c>
    </row>
    <row r="13" spans="1:14" x14ac:dyDescent="0.25">
      <c r="A13" s="429" t="s">
        <v>258</v>
      </c>
      <c r="B13" s="358">
        <v>2684680</v>
      </c>
      <c r="C13" s="555"/>
      <c r="D13" s="358">
        <f t="shared" si="6"/>
        <v>2684680</v>
      </c>
      <c r="E13" s="534"/>
      <c r="F13" s="358">
        <f t="shared" si="0"/>
        <v>134234</v>
      </c>
      <c r="G13" s="358"/>
      <c r="H13" s="537">
        <v>2010000</v>
      </c>
      <c r="I13" s="358">
        <f t="shared" si="5"/>
        <v>2144234</v>
      </c>
      <c r="J13" s="358">
        <f t="shared" si="1"/>
        <v>540446</v>
      </c>
      <c r="K13" s="359">
        <f t="shared" si="4"/>
        <v>40533</v>
      </c>
      <c r="L13" s="358">
        <f t="shared" si="2"/>
        <v>499913</v>
      </c>
      <c r="M13" s="358">
        <v>499913</v>
      </c>
      <c r="N13" s="358">
        <f t="shared" si="3"/>
        <v>0</v>
      </c>
    </row>
    <row r="14" spans="1:14" x14ac:dyDescent="0.25">
      <c r="A14" s="429" t="s">
        <v>258</v>
      </c>
      <c r="B14" s="358">
        <v>1150578</v>
      </c>
      <c r="C14" s="555"/>
      <c r="D14" s="358">
        <f t="shared" si="6"/>
        <v>1150578</v>
      </c>
      <c r="E14" s="534"/>
      <c r="F14" s="358">
        <f t="shared" si="0"/>
        <v>57528.9</v>
      </c>
      <c r="G14" s="358"/>
      <c r="H14" s="537"/>
      <c r="I14" s="358">
        <f t="shared" si="5"/>
        <v>57528.9</v>
      </c>
      <c r="J14" s="358">
        <f t="shared" si="1"/>
        <v>1093049.1000000001</v>
      </c>
      <c r="K14" s="359">
        <f t="shared" si="4"/>
        <v>81979</v>
      </c>
      <c r="L14" s="358">
        <f t="shared" si="2"/>
        <v>1011070</v>
      </c>
      <c r="M14" s="358">
        <v>1011070</v>
      </c>
      <c r="N14" s="358">
        <f t="shared" si="3"/>
        <v>0</v>
      </c>
    </row>
    <row r="15" spans="1:14" x14ac:dyDescent="0.25">
      <c r="A15" s="429" t="s">
        <v>258</v>
      </c>
      <c r="B15" s="358">
        <v>625036</v>
      </c>
      <c r="C15" s="555"/>
      <c r="D15" s="358">
        <f t="shared" si="6"/>
        <v>625036</v>
      </c>
      <c r="E15" s="534"/>
      <c r="F15" s="358">
        <f t="shared" si="0"/>
        <v>31251.800000000003</v>
      </c>
      <c r="G15" s="358"/>
      <c r="H15" s="537"/>
      <c r="I15" s="358">
        <f t="shared" si="5"/>
        <v>31251.800000000003</v>
      </c>
      <c r="J15" s="358">
        <f t="shared" si="1"/>
        <v>593784.19999999995</v>
      </c>
      <c r="K15" s="359">
        <f t="shared" si="4"/>
        <v>44534</v>
      </c>
      <c r="L15" s="358">
        <f t="shared" si="2"/>
        <v>549250</v>
      </c>
      <c r="M15" s="358">
        <v>549250</v>
      </c>
      <c r="N15" s="358">
        <f t="shared" si="3"/>
        <v>0</v>
      </c>
    </row>
    <row r="16" spans="1:14" x14ac:dyDescent="0.25">
      <c r="A16" s="429" t="s">
        <v>258</v>
      </c>
      <c r="B16" s="358">
        <v>267872.71999999997</v>
      </c>
      <c r="C16" s="555"/>
      <c r="D16" s="358">
        <f t="shared" si="6"/>
        <v>267872.71999999997</v>
      </c>
      <c r="E16" s="534"/>
      <c r="F16" s="358">
        <f t="shared" si="0"/>
        <v>13393.635999999999</v>
      </c>
      <c r="G16" s="358"/>
      <c r="H16" s="537"/>
      <c r="I16" s="358">
        <f t="shared" si="5"/>
        <v>13393.635999999999</v>
      </c>
      <c r="J16" s="358">
        <f t="shared" si="1"/>
        <v>254479.08399999997</v>
      </c>
      <c r="K16" s="359">
        <f t="shared" si="4"/>
        <v>19086</v>
      </c>
      <c r="L16" s="358">
        <f t="shared" si="2"/>
        <v>235393</v>
      </c>
      <c r="M16" s="358">
        <v>235393</v>
      </c>
      <c r="N16" s="358">
        <f t="shared" si="3"/>
        <v>0</v>
      </c>
    </row>
    <row r="17" spans="1:14" x14ac:dyDescent="0.25">
      <c r="A17" s="429" t="s">
        <v>258</v>
      </c>
      <c r="B17" s="358">
        <v>2892367</v>
      </c>
      <c r="C17" s="555"/>
      <c r="D17" s="358">
        <f t="shared" si="6"/>
        <v>2892367</v>
      </c>
      <c r="E17" s="534"/>
      <c r="F17" s="358">
        <v>144618.35</v>
      </c>
      <c r="G17" s="358"/>
      <c r="H17" s="537">
        <v>2703450</v>
      </c>
      <c r="I17" s="358">
        <f t="shared" si="5"/>
        <v>2848068.35</v>
      </c>
      <c r="J17" s="358">
        <f t="shared" si="1"/>
        <v>44298.649999999907</v>
      </c>
      <c r="K17" s="359">
        <f>ROUND(J17*7.5%,0)</f>
        <v>3322</v>
      </c>
      <c r="L17" s="358">
        <f>ROUND(J17-K17,0)</f>
        <v>40977</v>
      </c>
      <c r="M17" s="358">
        <v>40977</v>
      </c>
      <c r="N17" s="358">
        <f>L17-M17</f>
        <v>0</v>
      </c>
    </row>
    <row r="18" spans="1:14" x14ac:dyDescent="0.25">
      <c r="A18" s="429" t="s">
        <v>258</v>
      </c>
      <c r="B18" s="358">
        <v>1239586</v>
      </c>
      <c r="C18" s="555"/>
      <c r="D18" s="358">
        <f t="shared" si="6"/>
        <v>1239586</v>
      </c>
      <c r="E18" s="534"/>
      <c r="F18" s="358">
        <v>61979.3</v>
      </c>
      <c r="G18" s="358"/>
      <c r="H18" s="537">
        <v>1153800</v>
      </c>
      <c r="I18" s="358">
        <f t="shared" si="5"/>
        <v>1215779.3</v>
      </c>
      <c r="J18" s="358">
        <f t="shared" si="1"/>
        <v>23806.699999999953</v>
      </c>
      <c r="K18" s="359">
        <f t="shared" ref="K18:K20" si="7">ROUND(J18*7.5%,0)</f>
        <v>1786</v>
      </c>
      <c r="L18" s="358">
        <f t="shared" ref="L18:L20" si="8">ROUND(J18-K18,0)</f>
        <v>22021</v>
      </c>
      <c r="M18" s="358">
        <v>22021</v>
      </c>
      <c r="N18" s="358">
        <f>L18-M18</f>
        <v>0</v>
      </c>
    </row>
    <row r="19" spans="1:14" x14ac:dyDescent="0.25">
      <c r="A19" s="429" t="s">
        <v>258</v>
      </c>
      <c r="B19" s="358">
        <v>1073098</v>
      </c>
      <c r="C19" s="555"/>
      <c r="D19" s="358">
        <f t="shared" si="6"/>
        <v>1073098</v>
      </c>
      <c r="E19" s="534"/>
      <c r="F19" s="583">
        <f>D19*5%</f>
        <v>53654.9</v>
      </c>
      <c r="G19" s="358">
        <v>-14150895</v>
      </c>
      <c r="H19" s="537">
        <v>984900</v>
      </c>
      <c r="I19" s="358">
        <f t="shared" si="5"/>
        <v>-13112340.1</v>
      </c>
      <c r="J19" s="358">
        <f t="shared" si="1"/>
        <v>14185438.1</v>
      </c>
      <c r="K19" s="359">
        <f t="shared" si="7"/>
        <v>1063908</v>
      </c>
      <c r="L19" s="358">
        <f t="shared" si="8"/>
        <v>13121530</v>
      </c>
      <c r="M19" s="358">
        <v>13121530</v>
      </c>
      <c r="N19" s="358">
        <f t="shared" ref="N19:N20" si="9">L19-M19</f>
        <v>0</v>
      </c>
    </row>
    <row r="20" spans="1:14" x14ac:dyDescent="0.25">
      <c r="A20" s="429" t="s">
        <v>258</v>
      </c>
      <c r="B20" s="358">
        <v>459900</v>
      </c>
      <c r="C20" s="555"/>
      <c r="D20" s="358">
        <f t="shared" si="6"/>
        <v>459900</v>
      </c>
      <c r="E20" s="534"/>
      <c r="F20" s="583">
        <f>D20*5%</f>
        <v>22995</v>
      </c>
      <c r="G20" s="358"/>
      <c r="H20" s="537">
        <v>427485</v>
      </c>
      <c r="I20" s="358">
        <f t="shared" si="5"/>
        <v>450480</v>
      </c>
      <c r="J20" s="358">
        <f t="shared" si="1"/>
        <v>9420</v>
      </c>
      <c r="K20" s="359">
        <f t="shared" si="7"/>
        <v>707</v>
      </c>
      <c r="L20" s="358">
        <f t="shared" si="8"/>
        <v>8713</v>
      </c>
      <c r="M20" s="358"/>
      <c r="N20" s="358">
        <f t="shared" si="9"/>
        <v>8713</v>
      </c>
    </row>
    <row r="21" spans="1:14" x14ac:dyDescent="0.25">
      <c r="A21" s="558"/>
      <c r="B21" s="582">
        <f>SUM(B5:B20)</f>
        <v>268777655.72000003</v>
      </c>
      <c r="C21" s="582">
        <f t="shared" ref="C21:N21" si="10">SUM(C5:C20)</f>
        <v>0</v>
      </c>
      <c r="D21" s="582">
        <f t="shared" si="10"/>
        <v>268777655.72000003</v>
      </c>
      <c r="E21" s="582">
        <f t="shared" si="10"/>
        <v>85656678</v>
      </c>
      <c r="F21" s="582">
        <f t="shared" si="10"/>
        <v>13438882.786000002</v>
      </c>
      <c r="G21" s="582">
        <f t="shared" si="10"/>
        <v>0</v>
      </c>
      <c r="H21" s="582">
        <f t="shared" si="10"/>
        <v>54089835</v>
      </c>
      <c r="I21" s="582">
        <f t="shared" si="10"/>
        <v>153185395.78600004</v>
      </c>
      <c r="J21" s="582">
        <f t="shared" si="10"/>
        <v>115592259.93399999</v>
      </c>
      <c r="K21" s="582">
        <f t="shared" si="10"/>
        <v>8669421</v>
      </c>
      <c r="L21" s="582">
        <f t="shared" si="10"/>
        <v>106922839</v>
      </c>
      <c r="M21" s="582">
        <f t="shared" si="10"/>
        <v>106914126</v>
      </c>
      <c r="N21" s="582">
        <f t="shared" si="10"/>
        <v>8713</v>
      </c>
    </row>
    <row r="22" spans="1:14" x14ac:dyDescent="0.25">
      <c r="A22" s="429" t="s">
        <v>258</v>
      </c>
      <c r="B22" s="358">
        <v>24111717</v>
      </c>
      <c r="C22" s="555"/>
      <c r="D22" s="358">
        <f t="shared" si="6"/>
        <v>24111717</v>
      </c>
      <c r="E22" s="358">
        <v>6047550</v>
      </c>
      <c r="F22" s="358">
        <f t="shared" ref="F22:F31" si="11">B22*5%</f>
        <v>1205585.8500000001</v>
      </c>
      <c r="G22" s="358"/>
      <c r="H22" s="537"/>
      <c r="I22" s="358">
        <f t="shared" si="5"/>
        <v>7253135.8499999996</v>
      </c>
      <c r="J22" s="358">
        <f t="shared" ref="J22:J31" si="12">D22-I22</f>
        <v>16858581.149999999</v>
      </c>
      <c r="K22" s="359">
        <f t="shared" si="4"/>
        <v>1264394</v>
      </c>
      <c r="L22" s="358">
        <f t="shared" si="2"/>
        <v>15594187</v>
      </c>
      <c r="M22" s="358">
        <f>10000000+5594187</f>
        <v>15594187</v>
      </c>
      <c r="N22" s="358">
        <f t="shared" si="3"/>
        <v>0</v>
      </c>
    </row>
    <row r="23" spans="1:14" x14ac:dyDescent="0.25">
      <c r="A23" s="429" t="s">
        <v>258</v>
      </c>
      <c r="B23" s="358">
        <v>10333593</v>
      </c>
      <c r="C23" s="555"/>
      <c r="D23" s="358">
        <f t="shared" ref="D23:D31" si="13">SUM(B23:C23)</f>
        <v>10333593</v>
      </c>
      <c r="E23" s="534" t="s">
        <v>691</v>
      </c>
      <c r="F23" s="358">
        <f t="shared" si="11"/>
        <v>516679.65</v>
      </c>
      <c r="G23" s="358"/>
      <c r="H23" s="538"/>
      <c r="I23" s="358">
        <f t="shared" si="5"/>
        <v>516679.65</v>
      </c>
      <c r="J23" s="358">
        <f t="shared" si="12"/>
        <v>9816913.3499999996</v>
      </c>
      <c r="K23" s="359">
        <f t="shared" si="4"/>
        <v>736269</v>
      </c>
      <c r="L23" s="358">
        <f t="shared" si="2"/>
        <v>9080644</v>
      </c>
      <c r="M23" s="358">
        <v>9080644</v>
      </c>
      <c r="N23" s="358">
        <f t="shared" si="3"/>
        <v>0</v>
      </c>
    </row>
    <row r="24" spans="1:14" x14ac:dyDescent="0.25">
      <c r="A24" s="429" t="s">
        <v>258</v>
      </c>
      <c r="B24" s="358">
        <v>196942328</v>
      </c>
      <c r="C24" s="555"/>
      <c r="D24" s="358">
        <f t="shared" si="13"/>
        <v>196942328</v>
      </c>
      <c r="E24" s="536">
        <v>76289775</v>
      </c>
      <c r="F24" s="358">
        <f t="shared" si="11"/>
        <v>9847116.4000000004</v>
      </c>
      <c r="G24" s="358"/>
      <c r="H24" s="536">
        <v>43576300</v>
      </c>
      <c r="I24" s="358">
        <f t="shared" si="5"/>
        <v>129713191.40000001</v>
      </c>
      <c r="J24" s="358">
        <f t="shared" si="12"/>
        <v>67229136.599999994</v>
      </c>
      <c r="K24" s="359">
        <f t="shared" si="4"/>
        <v>5042185</v>
      </c>
      <c r="L24" s="358">
        <f t="shared" si="2"/>
        <v>62186952</v>
      </c>
      <c r="M24" s="358">
        <f>50000000+3164556-1713137+5000000+5735533</f>
        <v>62186952</v>
      </c>
      <c r="N24" s="358">
        <f t="shared" si="3"/>
        <v>0</v>
      </c>
    </row>
    <row r="25" spans="1:14" x14ac:dyDescent="0.25">
      <c r="A25" s="429" t="s">
        <v>258</v>
      </c>
      <c r="B25" s="358">
        <v>84403855</v>
      </c>
      <c r="C25" s="555"/>
      <c r="D25" s="358">
        <f t="shared" si="13"/>
        <v>84403855</v>
      </c>
      <c r="E25" s="536">
        <v>23081182</v>
      </c>
      <c r="F25" s="358">
        <f t="shared" si="11"/>
        <v>4220192.75</v>
      </c>
      <c r="G25" s="358">
        <v>14396847</v>
      </c>
      <c r="H25" s="539">
        <f>40250950+257912</f>
        <v>40508862</v>
      </c>
      <c r="I25" s="358">
        <f t="shared" si="5"/>
        <v>82207083.75</v>
      </c>
      <c r="J25" s="358">
        <f t="shared" si="12"/>
        <v>2196771.25</v>
      </c>
      <c r="K25" s="359">
        <f t="shared" si="4"/>
        <v>164758</v>
      </c>
      <c r="L25" s="358">
        <f t="shared" si="2"/>
        <v>2032013</v>
      </c>
      <c r="M25" s="358">
        <v>2032013</v>
      </c>
      <c r="N25" s="358">
        <f t="shared" si="3"/>
        <v>0</v>
      </c>
    </row>
    <row r="26" spans="1:14" x14ac:dyDescent="0.25">
      <c r="A26" s="429" t="s">
        <v>258</v>
      </c>
      <c r="B26" s="358">
        <v>11843036</v>
      </c>
      <c r="C26" s="555"/>
      <c r="D26" s="358">
        <f t="shared" si="13"/>
        <v>11843036</v>
      </c>
      <c r="E26" s="536">
        <f>5293200+158796</f>
        <v>5451996</v>
      </c>
      <c r="F26" s="358">
        <f t="shared" si="11"/>
        <v>592151.80000000005</v>
      </c>
      <c r="G26" s="358"/>
      <c r="H26" s="539">
        <f>84500+5145600</f>
        <v>5230100</v>
      </c>
      <c r="I26" s="358">
        <f t="shared" ref="I26:I31" si="14">SUM(E26:H26)</f>
        <v>11274247.800000001</v>
      </c>
      <c r="J26" s="358">
        <f t="shared" si="12"/>
        <v>568788.19999999925</v>
      </c>
      <c r="K26" s="359">
        <f t="shared" si="4"/>
        <v>42659</v>
      </c>
      <c r="L26" s="358">
        <f t="shared" si="2"/>
        <v>526129</v>
      </c>
      <c r="M26" s="358">
        <v>526129</v>
      </c>
      <c r="N26" s="358">
        <f t="shared" si="3"/>
        <v>0</v>
      </c>
    </row>
    <row r="27" spans="1:14" x14ac:dyDescent="0.25">
      <c r="A27" s="429" t="s">
        <v>258</v>
      </c>
      <c r="B27" s="358">
        <v>5075586</v>
      </c>
      <c r="C27" s="555"/>
      <c r="D27" s="358">
        <f t="shared" si="13"/>
        <v>5075586</v>
      </c>
      <c r="E27" s="536"/>
      <c r="F27" s="358">
        <f t="shared" si="11"/>
        <v>253779.30000000002</v>
      </c>
      <c r="G27" s="358"/>
      <c r="H27" s="539">
        <v>1015385</v>
      </c>
      <c r="I27" s="358">
        <f t="shared" si="14"/>
        <v>1269164.3</v>
      </c>
      <c r="J27" s="358">
        <f t="shared" si="12"/>
        <v>3806421.7</v>
      </c>
      <c r="K27" s="359">
        <f t="shared" si="4"/>
        <v>285482</v>
      </c>
      <c r="L27" s="358">
        <f t="shared" si="2"/>
        <v>3520940</v>
      </c>
      <c r="M27" s="358">
        <v>3520940</v>
      </c>
      <c r="N27" s="358">
        <f t="shared" si="3"/>
        <v>0</v>
      </c>
    </row>
    <row r="28" spans="1:14" x14ac:dyDescent="0.25">
      <c r="A28" s="429" t="s">
        <v>258</v>
      </c>
      <c r="B28" s="358">
        <v>2934564</v>
      </c>
      <c r="C28" s="555"/>
      <c r="D28" s="358">
        <f t="shared" si="13"/>
        <v>2934564</v>
      </c>
      <c r="E28" s="536"/>
      <c r="F28" s="358">
        <f t="shared" si="11"/>
        <v>146728.20000000001</v>
      </c>
      <c r="G28" s="358"/>
      <c r="H28" s="539">
        <v>0</v>
      </c>
      <c r="I28" s="358">
        <f t="shared" si="14"/>
        <v>146728.20000000001</v>
      </c>
      <c r="J28" s="358">
        <f t="shared" si="12"/>
        <v>2787835.8</v>
      </c>
      <c r="K28" s="359">
        <f t="shared" si="4"/>
        <v>209088</v>
      </c>
      <c r="L28" s="358">
        <f t="shared" si="2"/>
        <v>2578748</v>
      </c>
      <c r="M28" s="358">
        <v>2578748</v>
      </c>
      <c r="N28" s="358">
        <f t="shared" si="3"/>
        <v>0</v>
      </c>
    </row>
    <row r="29" spans="1:14" x14ac:dyDescent="0.25">
      <c r="A29" s="429" t="s">
        <v>258</v>
      </c>
      <c r="B29" s="358">
        <v>1257670</v>
      </c>
      <c r="C29" s="555"/>
      <c r="D29" s="358">
        <f t="shared" si="13"/>
        <v>1257670</v>
      </c>
      <c r="E29" s="536"/>
      <c r="F29" s="358">
        <f t="shared" si="11"/>
        <v>62883.5</v>
      </c>
      <c r="G29" s="358"/>
      <c r="H29" s="539">
        <v>1005000</v>
      </c>
      <c r="I29" s="358">
        <f t="shared" si="14"/>
        <v>1067883.5</v>
      </c>
      <c r="J29" s="358">
        <f t="shared" si="12"/>
        <v>189786.5</v>
      </c>
      <c r="K29" s="359">
        <f t="shared" si="4"/>
        <v>14234</v>
      </c>
      <c r="L29" s="358">
        <f t="shared" si="2"/>
        <v>175553</v>
      </c>
      <c r="M29" s="358">
        <v>175553</v>
      </c>
      <c r="N29" s="358">
        <f t="shared" si="3"/>
        <v>0</v>
      </c>
    </row>
    <row r="30" spans="1:14" x14ac:dyDescent="0.25">
      <c r="A30" s="429" t="s">
        <v>258</v>
      </c>
      <c r="B30" s="358">
        <v>10721942</v>
      </c>
      <c r="C30" s="555"/>
      <c r="D30" s="358">
        <f t="shared" si="13"/>
        <v>10721942</v>
      </c>
      <c r="E30" s="536">
        <v>4456444</v>
      </c>
      <c r="F30" s="645">
        <f t="shared" si="11"/>
        <v>536097.1</v>
      </c>
      <c r="G30" s="358">
        <v>-14396847</v>
      </c>
      <c r="H30" s="539">
        <v>5714300</v>
      </c>
      <c r="I30" s="358">
        <f t="shared" si="14"/>
        <v>-3690005.9000000004</v>
      </c>
      <c r="J30" s="358">
        <f t="shared" si="12"/>
        <v>14411947.9</v>
      </c>
      <c r="K30" s="359">
        <f>ROUND(J30*7.5%,0)</f>
        <v>1080896</v>
      </c>
      <c r="L30" s="358">
        <f>ROUND(J30-K30,0)</f>
        <v>13331052</v>
      </c>
      <c r="M30" s="358">
        <v>13331052</v>
      </c>
      <c r="N30" s="358">
        <f>L30-M30</f>
        <v>0</v>
      </c>
    </row>
    <row r="31" spans="1:14" x14ac:dyDescent="0.25">
      <c r="A31" s="429" t="s">
        <v>258</v>
      </c>
      <c r="B31" s="358">
        <v>4595114</v>
      </c>
      <c r="C31" s="555"/>
      <c r="D31" s="358">
        <f t="shared" si="13"/>
        <v>4595114</v>
      </c>
      <c r="E31" s="536">
        <v>4259150</v>
      </c>
      <c r="F31" s="645">
        <f t="shared" si="11"/>
        <v>229755.7</v>
      </c>
      <c r="G31" s="358"/>
      <c r="H31" s="539">
        <v>0</v>
      </c>
      <c r="I31" s="358">
        <f t="shared" si="14"/>
        <v>4488905.7</v>
      </c>
      <c r="J31" s="358">
        <f t="shared" si="12"/>
        <v>106208.29999999981</v>
      </c>
      <c r="K31" s="359">
        <f>ROUND(J31*7.5%,0)</f>
        <v>7966</v>
      </c>
      <c r="L31" s="358">
        <f>ROUND(J31-K31,0)</f>
        <v>98242</v>
      </c>
      <c r="M31" s="358">
        <v>0</v>
      </c>
      <c r="N31" s="358">
        <f>L31-M31</f>
        <v>98242</v>
      </c>
    </row>
    <row r="32" spans="1:14" x14ac:dyDescent="0.25">
      <c r="A32" s="563" t="s">
        <v>258</v>
      </c>
      <c r="B32" s="582">
        <f t="shared" ref="B32:N32" si="15">SUM(B22:B31)</f>
        <v>352219405</v>
      </c>
      <c r="C32" s="582">
        <f t="shared" si="15"/>
        <v>0</v>
      </c>
      <c r="D32" s="582">
        <f t="shared" si="15"/>
        <v>352219405</v>
      </c>
      <c r="E32" s="582">
        <f t="shared" si="15"/>
        <v>119586097</v>
      </c>
      <c r="F32" s="582">
        <f t="shared" si="15"/>
        <v>17610970.250000004</v>
      </c>
      <c r="G32" s="582">
        <f t="shared" si="15"/>
        <v>0</v>
      </c>
      <c r="H32" s="582">
        <f t="shared" si="15"/>
        <v>97049947</v>
      </c>
      <c r="I32" s="582">
        <f t="shared" si="15"/>
        <v>234247014.25</v>
      </c>
      <c r="J32" s="582">
        <f t="shared" si="15"/>
        <v>117972390.75</v>
      </c>
      <c r="K32" s="582">
        <f t="shared" si="15"/>
        <v>8847931</v>
      </c>
      <c r="L32" s="582">
        <f t="shared" si="15"/>
        <v>109124460</v>
      </c>
      <c r="M32" s="582">
        <f t="shared" si="15"/>
        <v>109026218</v>
      </c>
      <c r="N32" s="582">
        <f t="shared" si="15"/>
        <v>98242</v>
      </c>
    </row>
    <row r="33" spans="1:14" x14ac:dyDescent="0.25">
      <c r="A33" s="429" t="s">
        <v>258</v>
      </c>
      <c r="B33" s="358">
        <v>19211500</v>
      </c>
      <c r="C33" s="555"/>
      <c r="D33" s="358">
        <f t="shared" ref="D33:D40" si="16">SUM(B33:C33)</f>
        <v>19211500</v>
      </c>
      <c r="E33" s="358">
        <f>11120912+333627</f>
        <v>11454539</v>
      </c>
      <c r="F33" s="358">
        <f>B33*5%</f>
        <v>960575</v>
      </c>
      <c r="G33" s="358">
        <v>5000000</v>
      </c>
      <c r="H33" s="539">
        <v>1139909</v>
      </c>
      <c r="I33" s="358">
        <f t="shared" ref="I33:I40" si="17">SUM(E33:H33)</f>
        <v>18555023</v>
      </c>
      <c r="J33" s="358">
        <f t="shared" ref="J33:J40" si="18">D33-I33</f>
        <v>656477</v>
      </c>
      <c r="K33" s="359">
        <f t="shared" ref="K33:K39" si="19">ROUND(J33*7.5%,0)</f>
        <v>49236</v>
      </c>
      <c r="L33" s="358">
        <f t="shared" ref="L33:L39" si="20">ROUND(J33-K33,0)</f>
        <v>607241</v>
      </c>
      <c r="M33" s="358">
        <v>607241</v>
      </c>
      <c r="N33" s="358">
        <f t="shared" ref="N33:N39" si="21">L33-M33</f>
        <v>0</v>
      </c>
    </row>
    <row r="34" spans="1:14" x14ac:dyDescent="0.25">
      <c r="A34" s="429" t="s">
        <v>258</v>
      </c>
      <c r="B34" s="358">
        <v>8233500</v>
      </c>
      <c r="C34" s="555"/>
      <c r="D34" s="358">
        <f t="shared" si="16"/>
        <v>8233500</v>
      </c>
      <c r="E34" s="536"/>
      <c r="F34" s="358">
        <f>B34*5%</f>
        <v>411675</v>
      </c>
      <c r="G34" s="358"/>
      <c r="H34" s="539">
        <v>3618000</v>
      </c>
      <c r="I34" s="358">
        <f t="shared" si="17"/>
        <v>4029675</v>
      </c>
      <c r="J34" s="358">
        <f t="shared" si="18"/>
        <v>4203825</v>
      </c>
      <c r="K34" s="359">
        <f t="shared" si="19"/>
        <v>315287</v>
      </c>
      <c r="L34" s="358">
        <f t="shared" si="20"/>
        <v>3888538</v>
      </c>
      <c r="M34" s="358">
        <v>3888538</v>
      </c>
      <c r="N34" s="358">
        <f t="shared" si="21"/>
        <v>0</v>
      </c>
    </row>
    <row r="35" spans="1:14" x14ac:dyDescent="0.25">
      <c r="A35" s="429" t="s">
        <v>258</v>
      </c>
      <c r="B35" s="358">
        <v>18377512</v>
      </c>
      <c r="C35" s="555"/>
      <c r="D35" s="358">
        <f t="shared" si="16"/>
        <v>18377512</v>
      </c>
      <c r="E35" s="358">
        <v>10003777</v>
      </c>
      <c r="F35" s="358">
        <f>B35*5%</f>
        <v>918875.60000000009</v>
      </c>
      <c r="G35" s="358"/>
      <c r="H35" s="539">
        <f>135318+31700</f>
        <v>167018</v>
      </c>
      <c r="I35" s="358">
        <f t="shared" si="17"/>
        <v>11089670.6</v>
      </c>
      <c r="J35" s="358">
        <f t="shared" si="18"/>
        <v>7287841.4000000004</v>
      </c>
      <c r="K35" s="359">
        <f t="shared" si="19"/>
        <v>546588</v>
      </c>
      <c r="L35" s="358">
        <f t="shared" si="20"/>
        <v>6741253</v>
      </c>
      <c r="M35" s="358">
        <v>6741253</v>
      </c>
      <c r="N35" s="358">
        <f t="shared" si="21"/>
        <v>0</v>
      </c>
    </row>
    <row r="36" spans="1:14" x14ac:dyDescent="0.25">
      <c r="A36" s="429" t="s">
        <v>258</v>
      </c>
      <c r="B36" s="358">
        <v>7876077</v>
      </c>
      <c r="C36" s="555"/>
      <c r="D36" s="358">
        <f t="shared" si="16"/>
        <v>7876077</v>
      </c>
      <c r="E36" s="536"/>
      <c r="F36" s="358">
        <f>B36*5%</f>
        <v>393803.85000000003</v>
      </c>
      <c r="G36" s="358"/>
      <c r="H36" s="539">
        <f>4919915+2180850</f>
        <v>7100765</v>
      </c>
      <c r="I36" s="358">
        <f t="shared" si="17"/>
        <v>7494568.8499999996</v>
      </c>
      <c r="J36" s="358">
        <f t="shared" si="18"/>
        <v>381508.15000000037</v>
      </c>
      <c r="K36" s="359">
        <f t="shared" si="19"/>
        <v>28613</v>
      </c>
      <c r="L36" s="358">
        <f t="shared" si="20"/>
        <v>352895</v>
      </c>
      <c r="M36" s="358">
        <v>352895</v>
      </c>
      <c r="N36" s="358">
        <f t="shared" si="21"/>
        <v>0</v>
      </c>
    </row>
    <row r="37" spans="1:14" x14ac:dyDescent="0.25">
      <c r="A37" s="429" t="s">
        <v>258</v>
      </c>
      <c r="B37" s="358">
        <v>11138976</v>
      </c>
      <c r="C37" s="555"/>
      <c r="D37" s="358">
        <f t="shared" si="16"/>
        <v>11138976</v>
      </c>
      <c r="E37" s="536"/>
      <c r="F37" s="358">
        <v>556948.80000000005</v>
      </c>
      <c r="G37" s="358"/>
      <c r="H37" s="539">
        <v>10512300</v>
      </c>
      <c r="I37" s="358">
        <f t="shared" si="17"/>
        <v>11069248.800000001</v>
      </c>
      <c r="J37" s="358">
        <f t="shared" si="18"/>
        <v>69727.199999999255</v>
      </c>
      <c r="K37" s="359">
        <f t="shared" si="19"/>
        <v>5230</v>
      </c>
      <c r="L37" s="358">
        <f t="shared" si="20"/>
        <v>64497</v>
      </c>
      <c r="M37" s="358">
        <v>64497</v>
      </c>
      <c r="N37" s="358">
        <f t="shared" si="21"/>
        <v>0</v>
      </c>
    </row>
    <row r="38" spans="1:14" x14ac:dyDescent="0.25">
      <c r="A38" s="429" t="s">
        <v>258</v>
      </c>
      <c r="B38" s="358">
        <v>5388646</v>
      </c>
      <c r="C38" s="555"/>
      <c r="D38" s="358">
        <f t="shared" si="16"/>
        <v>5388646</v>
      </c>
      <c r="E38" s="536"/>
      <c r="F38" s="358">
        <v>238692.35</v>
      </c>
      <c r="G38" s="358"/>
      <c r="H38" s="539">
        <v>0</v>
      </c>
      <c r="I38" s="358">
        <f t="shared" si="17"/>
        <v>238692.35</v>
      </c>
      <c r="J38" s="358">
        <f t="shared" si="18"/>
        <v>5149953.6500000004</v>
      </c>
      <c r="K38" s="359">
        <f t="shared" si="19"/>
        <v>386247</v>
      </c>
      <c r="L38" s="358">
        <f t="shared" si="20"/>
        <v>4763707</v>
      </c>
      <c r="M38" s="358">
        <v>4763707</v>
      </c>
      <c r="N38" s="358">
        <f t="shared" si="21"/>
        <v>0</v>
      </c>
    </row>
    <row r="39" spans="1:14" x14ac:dyDescent="0.25">
      <c r="A39" s="429" t="s">
        <v>258</v>
      </c>
      <c r="B39" s="358">
        <v>4825145</v>
      </c>
      <c r="C39" s="555"/>
      <c r="D39" s="358">
        <f t="shared" si="16"/>
        <v>4825145</v>
      </c>
      <c r="E39" s="536"/>
      <c r="F39" s="583">
        <f>D39*5%</f>
        <v>241257.25</v>
      </c>
      <c r="G39" s="358"/>
      <c r="H39" s="539"/>
      <c r="I39" s="358">
        <f t="shared" si="17"/>
        <v>241257.25</v>
      </c>
      <c r="J39" s="358">
        <f t="shared" si="18"/>
        <v>4583887.75</v>
      </c>
      <c r="K39" s="359">
        <f t="shared" si="19"/>
        <v>343792</v>
      </c>
      <c r="L39" s="358">
        <f t="shared" si="20"/>
        <v>4240096</v>
      </c>
      <c r="M39" s="358">
        <v>4240096</v>
      </c>
      <c r="N39" s="358">
        <f t="shared" si="21"/>
        <v>0</v>
      </c>
    </row>
    <row r="40" spans="1:14" x14ac:dyDescent="0.25">
      <c r="A40" s="429" t="s">
        <v>258</v>
      </c>
      <c r="B40" s="358">
        <v>12965842</v>
      </c>
      <c r="C40" s="555"/>
      <c r="D40" s="358">
        <f t="shared" si="16"/>
        <v>12965842</v>
      </c>
      <c r="E40" s="645">
        <v>12107529</v>
      </c>
      <c r="F40" s="645">
        <f>B40*5%</f>
        <v>648292.10000000009</v>
      </c>
      <c r="G40" s="645"/>
      <c r="H40" s="646">
        <v>0</v>
      </c>
      <c r="I40" s="358">
        <f t="shared" si="17"/>
        <v>12755821.1</v>
      </c>
      <c r="J40" s="358">
        <f t="shared" si="18"/>
        <v>210020.90000000037</v>
      </c>
      <c r="K40" s="359">
        <f t="shared" ref="K40" si="22">ROUND(J40*7.5%,0)</f>
        <v>15752</v>
      </c>
      <c r="L40" s="358">
        <f t="shared" ref="L40" si="23">ROUND(J40-K40,0)</f>
        <v>194269</v>
      </c>
      <c r="M40" s="358">
        <v>194269</v>
      </c>
      <c r="N40" s="358">
        <f t="shared" ref="N40" si="24">L40-M40</f>
        <v>0</v>
      </c>
    </row>
    <row r="41" spans="1:14" x14ac:dyDescent="0.25">
      <c r="A41" s="429" t="s">
        <v>258</v>
      </c>
      <c r="B41" s="582">
        <f t="shared" ref="B41:N41" si="25">SUM(B33:B40)</f>
        <v>88017198</v>
      </c>
      <c r="C41" s="582">
        <f t="shared" si="25"/>
        <v>0</v>
      </c>
      <c r="D41" s="582">
        <f t="shared" si="25"/>
        <v>88017198</v>
      </c>
      <c r="E41" s="582">
        <f t="shared" si="25"/>
        <v>33565845</v>
      </c>
      <c r="F41" s="582">
        <f t="shared" si="25"/>
        <v>4370119.95</v>
      </c>
      <c r="G41" s="582">
        <f t="shared" si="25"/>
        <v>5000000</v>
      </c>
      <c r="H41" s="582">
        <f t="shared" si="25"/>
        <v>22537992</v>
      </c>
      <c r="I41" s="582">
        <f t="shared" si="25"/>
        <v>65473956.950000003</v>
      </c>
      <c r="J41" s="582">
        <f t="shared" si="25"/>
        <v>22543241.049999997</v>
      </c>
      <c r="K41" s="582">
        <f t="shared" si="25"/>
        <v>1690745</v>
      </c>
      <c r="L41" s="582">
        <f t="shared" si="25"/>
        <v>20852496</v>
      </c>
      <c r="M41" s="582">
        <f t="shared" si="25"/>
        <v>20852496</v>
      </c>
      <c r="N41" s="582">
        <f t="shared" si="25"/>
        <v>0</v>
      </c>
    </row>
    <row r="42" spans="1:14" x14ac:dyDescent="0.25">
      <c r="A42" s="429" t="s">
        <v>696</v>
      </c>
      <c r="B42" s="559">
        <v>10500000</v>
      </c>
      <c r="C42" s="555"/>
      <c r="D42" s="358">
        <f>SUM(B42:C42)</f>
        <v>10500000</v>
      </c>
      <c r="E42" s="358"/>
      <c r="F42" s="358">
        <f>B42*5%</f>
        <v>525000</v>
      </c>
      <c r="G42" s="358"/>
      <c r="H42" s="358"/>
      <c r="I42" s="358">
        <f>SUM(E42:H42)</f>
        <v>525000</v>
      </c>
      <c r="J42" s="358">
        <f>D42-I42</f>
        <v>9975000</v>
      </c>
      <c r="K42" s="359">
        <f>ROUND(J42*8%,0)</f>
        <v>798000</v>
      </c>
      <c r="L42" s="358">
        <f>J42-K42</f>
        <v>9177000</v>
      </c>
      <c r="M42" s="358">
        <f>5000000+2500000+1677000</f>
        <v>9177000</v>
      </c>
      <c r="N42" s="358">
        <f>L42-M42</f>
        <v>0</v>
      </c>
    </row>
    <row r="43" spans="1:14" x14ac:dyDescent="0.25">
      <c r="A43" s="429" t="s">
        <v>696</v>
      </c>
      <c r="B43" s="559">
        <v>4500000</v>
      </c>
      <c r="C43" s="555"/>
      <c r="D43" s="358">
        <f>SUM(B43:C43)</f>
        <v>4500000</v>
      </c>
      <c r="E43" s="358"/>
      <c r="F43" s="358">
        <f>B43*5%</f>
        <v>225000</v>
      </c>
      <c r="G43" s="358"/>
      <c r="H43" s="358"/>
      <c r="I43" s="358">
        <f>SUM(E43:H43)</f>
        <v>225000</v>
      </c>
      <c r="J43" s="358">
        <f>D43-I43</f>
        <v>4275000</v>
      </c>
      <c r="K43" s="359">
        <f>ROUND(J43*8%,0)</f>
        <v>342000</v>
      </c>
      <c r="L43" s="358">
        <f>J43-K43</f>
        <v>3933000</v>
      </c>
      <c r="M43" s="358">
        <v>3933000</v>
      </c>
      <c r="N43" s="358">
        <f>L43-M43</f>
        <v>0</v>
      </c>
    </row>
    <row r="44" spans="1:14" x14ac:dyDescent="0.25">
      <c r="A44" s="429" t="s">
        <v>696</v>
      </c>
      <c r="B44" s="584">
        <f>SUM(B42:B43)</f>
        <v>15000000</v>
      </c>
      <c r="C44" s="557">
        <f t="shared" ref="C44:N44" si="26">SUM(C42:C43)</f>
        <v>0</v>
      </c>
      <c r="D44" s="505">
        <f t="shared" si="26"/>
        <v>15000000</v>
      </c>
      <c r="E44" s="505">
        <f t="shared" si="26"/>
        <v>0</v>
      </c>
      <c r="F44" s="505">
        <f t="shared" si="26"/>
        <v>750000</v>
      </c>
      <c r="G44" s="505"/>
      <c r="H44" s="505">
        <f t="shared" si="26"/>
        <v>0</v>
      </c>
      <c r="I44" s="505">
        <f t="shared" si="26"/>
        <v>750000</v>
      </c>
      <c r="J44" s="505">
        <f t="shared" si="26"/>
        <v>14250000</v>
      </c>
      <c r="K44" s="505">
        <f t="shared" si="26"/>
        <v>1140000</v>
      </c>
      <c r="L44" s="505">
        <f t="shared" si="26"/>
        <v>13110000</v>
      </c>
      <c r="M44" s="505">
        <f t="shared" si="26"/>
        <v>13110000</v>
      </c>
      <c r="N44" s="505">
        <f t="shared" si="26"/>
        <v>0</v>
      </c>
    </row>
    <row r="45" spans="1:14" x14ac:dyDescent="0.25">
      <c r="A45" s="429" t="s">
        <v>696</v>
      </c>
      <c r="B45" s="559">
        <v>5362190</v>
      </c>
      <c r="C45" s="555"/>
      <c r="D45" s="358">
        <f>SUM(B45:C45)</f>
        <v>5362190</v>
      </c>
      <c r="E45" s="358"/>
      <c r="F45" s="358">
        <f>B45*5%</f>
        <v>268109.5</v>
      </c>
      <c r="G45" s="358"/>
      <c r="H45" s="358"/>
      <c r="I45" s="358">
        <f>SUM(E45:H45)</f>
        <v>268109.5</v>
      </c>
      <c r="J45" s="358">
        <f>D45-I45</f>
        <v>5094080.5</v>
      </c>
      <c r="K45" s="359">
        <f>ROUND(J45*8%,0)</f>
        <v>407526</v>
      </c>
      <c r="L45" s="358">
        <f>J45-K45</f>
        <v>4686554.5</v>
      </c>
      <c r="M45" s="358">
        <f>5000000-1677000+1363555</f>
        <v>4686555</v>
      </c>
      <c r="N45" s="358">
        <f>L45-M45</f>
        <v>-0.5</v>
      </c>
    </row>
    <row r="46" spans="1:14" x14ac:dyDescent="0.25">
      <c r="A46" s="429" t="s">
        <v>696</v>
      </c>
      <c r="B46" s="559">
        <v>2298081</v>
      </c>
      <c r="C46" s="555"/>
      <c r="D46" s="358">
        <f>SUM(B46:C46)</f>
        <v>2298081</v>
      </c>
      <c r="E46" s="358"/>
      <c r="F46" s="358">
        <f>B46*5%</f>
        <v>114904.05</v>
      </c>
      <c r="G46" s="358"/>
      <c r="H46" s="358"/>
      <c r="I46" s="358">
        <f>SUM(E46:H46)</f>
        <v>114904.05</v>
      </c>
      <c r="J46" s="358">
        <f>D46-I46</f>
        <v>2183176.9500000002</v>
      </c>
      <c r="K46" s="359">
        <f>ROUND(J46*8%,0)</f>
        <v>174654</v>
      </c>
      <c r="L46" s="358">
        <f>J46-K46</f>
        <v>2008522.9500000002</v>
      </c>
      <c r="M46" s="358">
        <v>2008522</v>
      </c>
      <c r="N46" s="358">
        <f>L46-M46</f>
        <v>0.95000000018626451</v>
      </c>
    </row>
    <row r="47" spans="1:14" x14ac:dyDescent="0.25">
      <c r="A47" s="429"/>
      <c r="B47" s="559">
        <v>1998918</v>
      </c>
      <c r="C47" s="555"/>
      <c r="D47" s="358">
        <f>SUM(B47:C47)</f>
        <v>1998918</v>
      </c>
      <c r="E47" s="358"/>
      <c r="F47" s="358">
        <f>B47*5%</f>
        <v>99945.900000000009</v>
      </c>
      <c r="G47" s="358"/>
      <c r="H47" s="358"/>
      <c r="I47" s="358">
        <f>SUM(E47:H47)</f>
        <v>99945.900000000009</v>
      </c>
      <c r="J47" s="358">
        <f>D47-I47</f>
        <v>1898972.1</v>
      </c>
      <c r="K47" s="359">
        <f>ROUND(J47*8%,0)</f>
        <v>151918</v>
      </c>
      <c r="L47" s="358">
        <f>J47-K47</f>
        <v>1747054.1</v>
      </c>
      <c r="M47" s="358">
        <v>1747054</v>
      </c>
      <c r="N47" s="358">
        <f>L47-M47</f>
        <v>0.10000000009313226</v>
      </c>
    </row>
    <row r="48" spans="1:14" x14ac:dyDescent="0.25">
      <c r="A48" s="429" t="s">
        <v>696</v>
      </c>
      <c r="B48" s="585">
        <f>SUM(B45:B47)</f>
        <v>9659189</v>
      </c>
      <c r="C48" s="506">
        <f t="shared" ref="C48:N48" si="27">SUM(C45:C47)</f>
        <v>0</v>
      </c>
      <c r="D48" s="506">
        <f t="shared" si="27"/>
        <v>9659189</v>
      </c>
      <c r="E48" s="506">
        <f t="shared" si="27"/>
        <v>0</v>
      </c>
      <c r="F48" s="506">
        <f t="shared" si="27"/>
        <v>482959.45</v>
      </c>
      <c r="G48" s="506">
        <f t="shared" si="27"/>
        <v>0</v>
      </c>
      <c r="H48" s="506">
        <f t="shared" si="27"/>
        <v>0</v>
      </c>
      <c r="I48" s="506">
        <f t="shared" si="27"/>
        <v>482959.45</v>
      </c>
      <c r="J48" s="506">
        <f t="shared" si="27"/>
        <v>9176229.5500000007</v>
      </c>
      <c r="K48" s="506">
        <f t="shared" si="27"/>
        <v>734098</v>
      </c>
      <c r="L48" s="506">
        <f t="shared" si="27"/>
        <v>8442131.5500000007</v>
      </c>
      <c r="M48" s="506">
        <f t="shared" si="27"/>
        <v>8442131</v>
      </c>
      <c r="N48" s="506">
        <f t="shared" si="27"/>
        <v>0.55000000027939677</v>
      </c>
    </row>
    <row r="49" spans="1:14" x14ac:dyDescent="0.25">
      <c r="A49" s="429" t="s">
        <v>696</v>
      </c>
      <c r="B49" s="559">
        <v>6276463</v>
      </c>
      <c r="C49" s="555"/>
      <c r="D49" s="358">
        <f>SUM(B49:C49)</f>
        <v>6276463</v>
      </c>
      <c r="E49" s="358"/>
      <c r="F49" s="358">
        <f>B49*5%</f>
        <v>313823.15000000002</v>
      </c>
      <c r="G49" s="358"/>
      <c r="H49" s="358">
        <v>150000</v>
      </c>
      <c r="I49" s="358">
        <f>SUM(E49:H49)</f>
        <v>463823.15</v>
      </c>
      <c r="J49" s="358">
        <f>D49-I49</f>
        <v>5812639.8499999996</v>
      </c>
      <c r="K49" s="359">
        <f>ROUND(J49*8%,0)</f>
        <v>465011</v>
      </c>
      <c r="L49" s="358">
        <f>J49-K49</f>
        <v>5347628.8499999996</v>
      </c>
      <c r="M49" s="358">
        <f>5000000+347629</f>
        <v>5347629</v>
      </c>
      <c r="N49" s="358">
        <f>L49-M49</f>
        <v>-0.15000000037252903</v>
      </c>
    </row>
    <row r="50" spans="1:14" x14ac:dyDescent="0.25">
      <c r="A50" s="429" t="s">
        <v>696</v>
      </c>
      <c r="B50" s="559">
        <v>2689913</v>
      </c>
      <c r="C50" s="555"/>
      <c r="D50" s="358">
        <f>SUM(B50:C50)</f>
        <v>2689913</v>
      </c>
      <c r="E50" s="358"/>
      <c r="F50" s="358">
        <f>B50*5%</f>
        <v>134495.65</v>
      </c>
      <c r="G50" s="358"/>
      <c r="H50" s="358"/>
      <c r="I50" s="358">
        <f>SUM(E50:H50)</f>
        <v>134495.65</v>
      </c>
      <c r="J50" s="358">
        <f>D50-I50</f>
        <v>2555417.35</v>
      </c>
      <c r="K50" s="359">
        <f>ROUND(J50*8%,0)</f>
        <v>204433</v>
      </c>
      <c r="L50" s="358">
        <f>J50-K50</f>
        <v>2350984.35</v>
      </c>
      <c r="M50" s="358">
        <v>2350984</v>
      </c>
      <c r="N50" s="358">
        <f>L50-M50</f>
        <v>0.35000000009313226</v>
      </c>
    </row>
    <row r="51" spans="1:14" x14ac:dyDescent="0.25">
      <c r="A51" s="429" t="s">
        <v>696</v>
      </c>
      <c r="B51" s="584">
        <f>SUM(B49:B50)</f>
        <v>8966376</v>
      </c>
      <c r="C51" s="507">
        <f t="shared" ref="C51:N51" si="28">SUM(C49:C50)</f>
        <v>0</v>
      </c>
      <c r="D51" s="507">
        <f t="shared" si="28"/>
        <v>8966376</v>
      </c>
      <c r="E51" s="507">
        <f t="shared" si="28"/>
        <v>0</v>
      </c>
      <c r="F51" s="507">
        <f t="shared" si="28"/>
        <v>448318.80000000005</v>
      </c>
      <c r="G51" s="507"/>
      <c r="H51" s="507">
        <f t="shared" si="28"/>
        <v>150000</v>
      </c>
      <c r="I51" s="507">
        <f t="shared" si="28"/>
        <v>598318.80000000005</v>
      </c>
      <c r="J51" s="507">
        <f t="shared" si="28"/>
        <v>8368057.1999999993</v>
      </c>
      <c r="K51" s="507">
        <f t="shared" si="28"/>
        <v>669444</v>
      </c>
      <c r="L51" s="507">
        <f t="shared" si="28"/>
        <v>7698613.1999999993</v>
      </c>
      <c r="M51" s="507">
        <f t="shared" si="28"/>
        <v>7698613</v>
      </c>
      <c r="N51" s="507">
        <f t="shared" si="28"/>
        <v>0.19999999972060323</v>
      </c>
    </row>
    <row r="52" spans="1:14" x14ac:dyDescent="0.25">
      <c r="A52" s="429" t="s">
        <v>696</v>
      </c>
      <c r="B52" s="559">
        <v>5088842</v>
      </c>
      <c r="C52" s="555"/>
      <c r="D52" s="358">
        <f>SUM(B52:C52)</f>
        <v>5088842</v>
      </c>
      <c r="E52" s="358"/>
      <c r="F52" s="358">
        <f>B52*5%</f>
        <v>254442.1</v>
      </c>
      <c r="G52" s="358"/>
      <c r="H52" s="358"/>
      <c r="I52" s="358">
        <f>SUM(E52:H52)</f>
        <v>254442.1</v>
      </c>
      <c r="J52" s="358">
        <f>D52-I52</f>
        <v>4834399.9000000004</v>
      </c>
      <c r="K52" s="359">
        <f>ROUND(J52*8%,0)</f>
        <v>386752</v>
      </c>
      <c r="L52" s="358">
        <f>J52-K52</f>
        <v>4447647.9000000004</v>
      </c>
      <c r="M52" s="358">
        <v>4447648</v>
      </c>
      <c r="N52" s="358">
        <f>L52-M52</f>
        <v>-9.999999962747097E-2</v>
      </c>
    </row>
    <row r="53" spans="1:14" x14ac:dyDescent="0.25">
      <c r="A53" s="429" t="s">
        <v>696</v>
      </c>
      <c r="B53" s="559">
        <v>2180932</v>
      </c>
      <c r="C53" s="555"/>
      <c r="D53" s="540">
        <v>2180932</v>
      </c>
      <c r="E53" s="358"/>
      <c r="F53" s="358">
        <f>B53*5%</f>
        <v>109046.6</v>
      </c>
      <c r="G53" s="358"/>
      <c r="H53" s="358"/>
      <c r="I53" s="358">
        <f>SUM(E53:H53)</f>
        <v>109046.6</v>
      </c>
      <c r="J53" s="358">
        <f>D53-I53</f>
        <v>2071885.4</v>
      </c>
      <c r="K53" s="359">
        <f>ROUND(J53*8%,0)</f>
        <v>165751</v>
      </c>
      <c r="L53" s="358">
        <f>J53-K53</f>
        <v>1906134.4</v>
      </c>
      <c r="M53" s="358">
        <v>1906134</v>
      </c>
      <c r="N53" s="358">
        <f>L53-M53</f>
        <v>0.39999999990686774</v>
      </c>
    </row>
    <row r="54" spans="1:14" x14ac:dyDescent="0.25">
      <c r="A54" s="429" t="s">
        <v>696</v>
      </c>
      <c r="B54" s="559">
        <v>4568324</v>
      </c>
      <c r="C54" s="555"/>
      <c r="D54" s="540">
        <v>2180932</v>
      </c>
      <c r="E54" s="358"/>
      <c r="F54" s="358">
        <f>B54*5%</f>
        <v>228416.2</v>
      </c>
      <c r="G54" s="358"/>
      <c r="H54" s="358"/>
      <c r="I54" s="358">
        <f>SUM(E54:H54)</f>
        <v>228416.2</v>
      </c>
      <c r="J54" s="358">
        <f>D54-I54</f>
        <v>1952515.8</v>
      </c>
      <c r="K54" s="359">
        <f>ROUND(J54*8%,0)</f>
        <v>156201</v>
      </c>
      <c r="L54" s="358">
        <f>J54-K54</f>
        <v>1796314.8</v>
      </c>
      <c r="M54" s="358">
        <v>1796315</v>
      </c>
      <c r="N54" s="358">
        <f>L54-M54</f>
        <v>-0.19999999995343387</v>
      </c>
    </row>
    <row r="55" spans="1:14" x14ac:dyDescent="0.25">
      <c r="A55" s="429" t="s">
        <v>696</v>
      </c>
      <c r="B55" s="586">
        <f>SUM(B52:B54)</f>
        <v>11838098</v>
      </c>
      <c r="C55" s="560">
        <f t="shared" ref="C55:N55" si="29">SUM(C52:C54)</f>
        <v>0</v>
      </c>
      <c r="D55" s="560">
        <f t="shared" si="29"/>
        <v>9450706</v>
      </c>
      <c r="E55" s="560">
        <f t="shared" si="29"/>
        <v>0</v>
      </c>
      <c r="F55" s="560">
        <f t="shared" si="29"/>
        <v>591904.9</v>
      </c>
      <c r="G55" s="560">
        <f t="shared" si="29"/>
        <v>0</v>
      </c>
      <c r="H55" s="560">
        <f t="shared" si="29"/>
        <v>0</v>
      </c>
      <c r="I55" s="560">
        <f t="shared" si="29"/>
        <v>591904.9</v>
      </c>
      <c r="J55" s="560">
        <f t="shared" si="29"/>
        <v>8858801.1000000015</v>
      </c>
      <c r="K55" s="560">
        <f t="shared" si="29"/>
        <v>708704</v>
      </c>
      <c r="L55" s="560">
        <f t="shared" si="29"/>
        <v>8150097.1000000006</v>
      </c>
      <c r="M55" s="560">
        <f t="shared" si="29"/>
        <v>8150097</v>
      </c>
      <c r="N55" s="560">
        <f t="shared" si="29"/>
        <v>0.1000000003259629</v>
      </c>
    </row>
    <row r="56" spans="1:14" x14ac:dyDescent="0.25">
      <c r="A56" s="429" t="s">
        <v>257</v>
      </c>
      <c r="B56" s="358">
        <v>6240389</v>
      </c>
      <c r="C56" s="555">
        <v>0</v>
      </c>
      <c r="D56" s="358">
        <f>SUM(B56:C56)</f>
        <v>6240389</v>
      </c>
      <c r="E56" s="358">
        <v>0</v>
      </c>
      <c r="F56" s="358">
        <f t="shared" ref="F56:F70" si="30">B56*5%</f>
        <v>312019.45</v>
      </c>
      <c r="G56" s="358"/>
      <c r="H56" s="358">
        <v>0</v>
      </c>
      <c r="I56" s="358">
        <f t="shared" ref="I56:I72" si="31">SUM(E56:H56)</f>
        <v>312019.45</v>
      </c>
      <c r="J56" s="358">
        <f t="shared" ref="J56:J73" si="32">D56-I56</f>
        <v>5928369.5499999998</v>
      </c>
      <c r="K56" s="359">
        <f>ROUND(J56*8%,0)</f>
        <v>474270</v>
      </c>
      <c r="L56" s="358">
        <f t="shared" ref="L56:L101" si="33">ROUND(J56-K56,0)</f>
        <v>5454100</v>
      </c>
      <c r="M56" s="358">
        <f>2500000+2954099</f>
        <v>5454099</v>
      </c>
      <c r="N56" s="358">
        <f t="shared" ref="N56:N78" si="34">L56-M56</f>
        <v>1</v>
      </c>
    </row>
    <row r="57" spans="1:14" x14ac:dyDescent="0.25">
      <c r="A57" s="429" t="s">
        <v>257</v>
      </c>
      <c r="B57" s="358">
        <v>3039338</v>
      </c>
      <c r="C57" s="555">
        <v>0</v>
      </c>
      <c r="D57" s="358">
        <f>SUM(B57:C57)</f>
        <v>3039338</v>
      </c>
      <c r="E57" s="358">
        <v>0</v>
      </c>
      <c r="F57" s="358">
        <f t="shared" si="30"/>
        <v>151966.9</v>
      </c>
      <c r="G57" s="358"/>
      <c r="H57" s="358">
        <v>0</v>
      </c>
      <c r="I57" s="358">
        <f t="shared" si="31"/>
        <v>151966.9</v>
      </c>
      <c r="J57" s="358">
        <f t="shared" si="32"/>
        <v>2887371.1</v>
      </c>
      <c r="K57" s="359">
        <f t="shared" ref="K57:K97" si="35">ROUND(J57*8%,0)</f>
        <v>230990</v>
      </c>
      <c r="L57" s="358">
        <f t="shared" si="33"/>
        <v>2656381</v>
      </c>
      <c r="M57" s="358">
        <v>2656381</v>
      </c>
      <c r="N57" s="358">
        <f t="shared" si="34"/>
        <v>0</v>
      </c>
    </row>
    <row r="58" spans="1:14" x14ac:dyDescent="0.25">
      <c r="A58" s="429" t="s">
        <v>257</v>
      </c>
      <c r="B58" s="358">
        <v>14161007</v>
      </c>
      <c r="C58" s="555"/>
      <c r="D58" s="358">
        <f>SUM(B58:C58)</f>
        <v>14161007</v>
      </c>
      <c r="E58" s="358">
        <v>1037354</v>
      </c>
      <c r="F58" s="358">
        <f t="shared" si="30"/>
        <v>708050.35000000009</v>
      </c>
      <c r="G58" s="358"/>
      <c r="H58" s="358">
        <f>443485+696828</f>
        <v>1140313</v>
      </c>
      <c r="I58" s="358">
        <f t="shared" si="31"/>
        <v>2885717.35</v>
      </c>
      <c r="J58" s="358">
        <f t="shared" si="32"/>
        <v>11275289.65</v>
      </c>
      <c r="K58" s="359">
        <f t="shared" si="35"/>
        <v>902023</v>
      </c>
      <c r="L58" s="358">
        <f t="shared" si="33"/>
        <v>10373267</v>
      </c>
      <c r="M58" s="358">
        <f>2500000+2000000+2000000+2000000+1873267</f>
        <v>10373267</v>
      </c>
      <c r="N58" s="358">
        <f t="shared" si="34"/>
        <v>0</v>
      </c>
    </row>
    <row r="59" spans="1:14" x14ac:dyDescent="0.25">
      <c r="A59" s="429" t="s">
        <v>257</v>
      </c>
      <c r="B59" s="358">
        <v>15923063</v>
      </c>
      <c r="C59" s="555"/>
      <c r="D59" s="358">
        <f>SUM(B59:C59)</f>
        <v>15923063</v>
      </c>
      <c r="E59" s="358">
        <v>0</v>
      </c>
      <c r="F59" s="358">
        <f t="shared" si="30"/>
        <v>796153.15</v>
      </c>
      <c r="G59" s="358"/>
      <c r="H59" s="358">
        <v>0</v>
      </c>
      <c r="I59" s="358">
        <f t="shared" si="31"/>
        <v>796153.15</v>
      </c>
      <c r="J59" s="358">
        <f t="shared" si="32"/>
        <v>15126909.85</v>
      </c>
      <c r="K59" s="359">
        <f t="shared" si="35"/>
        <v>1210153</v>
      </c>
      <c r="L59" s="358">
        <f>ROUND(J59-K59,0)</f>
        <v>13916757</v>
      </c>
      <c r="M59" s="358">
        <f>5000000+726731+6540002+1650024</f>
        <v>13916757</v>
      </c>
      <c r="N59" s="358">
        <f t="shared" si="34"/>
        <v>0</v>
      </c>
    </row>
    <row r="60" spans="1:14" x14ac:dyDescent="0.25">
      <c r="A60" s="429" t="s">
        <v>257</v>
      </c>
      <c r="B60" s="358">
        <v>2730091</v>
      </c>
      <c r="C60" s="555"/>
      <c r="D60" s="358">
        <f>SUM(B60:C60)</f>
        <v>2730091</v>
      </c>
      <c r="E60" s="358"/>
      <c r="F60" s="358">
        <f t="shared" si="30"/>
        <v>136504.55000000002</v>
      </c>
      <c r="G60" s="358"/>
      <c r="H60" s="358">
        <f>1228867+505842</f>
        <v>1734709</v>
      </c>
      <c r="I60" s="358">
        <f t="shared" si="31"/>
        <v>1871213.55</v>
      </c>
      <c r="J60" s="358">
        <f t="shared" si="32"/>
        <v>858877.45</v>
      </c>
      <c r="K60" s="359">
        <f t="shared" si="35"/>
        <v>68710</v>
      </c>
      <c r="L60" s="358">
        <f>ROUND(J60-K60,0)</f>
        <v>790167</v>
      </c>
      <c r="M60" s="358">
        <v>790167</v>
      </c>
      <c r="N60" s="358">
        <f t="shared" si="34"/>
        <v>0</v>
      </c>
    </row>
    <row r="61" spans="1:14" x14ac:dyDescent="0.25">
      <c r="A61" s="429" t="s">
        <v>257</v>
      </c>
      <c r="B61" s="358">
        <v>26046017</v>
      </c>
      <c r="C61" s="555"/>
      <c r="D61" s="358">
        <f t="shared" ref="D61:D68" si="36">SUM(B61:C61)</f>
        <v>26046017</v>
      </c>
      <c r="E61" s="358"/>
      <c r="F61" s="358">
        <f t="shared" si="30"/>
        <v>1302300.8500000001</v>
      </c>
      <c r="G61" s="358"/>
      <c r="H61" s="358">
        <v>0</v>
      </c>
      <c r="I61" s="358">
        <f t="shared" si="31"/>
        <v>1302300.8500000001</v>
      </c>
      <c r="J61" s="358">
        <f t="shared" si="32"/>
        <v>24743716.149999999</v>
      </c>
      <c r="K61" s="359">
        <f t="shared" si="35"/>
        <v>1979497</v>
      </c>
      <c r="L61" s="358">
        <f>ROUND(J61-K61,0)</f>
        <v>22764219</v>
      </c>
      <c r="M61" s="358">
        <f>2500000+5000000+5000000+7500000+2764219</f>
        <v>22764219</v>
      </c>
      <c r="N61" s="358">
        <f t="shared" si="34"/>
        <v>0</v>
      </c>
    </row>
    <row r="62" spans="1:14" x14ac:dyDescent="0.25">
      <c r="A62" s="429" t="s">
        <v>257</v>
      </c>
      <c r="B62" s="358">
        <v>25481594</v>
      </c>
      <c r="C62" s="555"/>
      <c r="D62" s="358">
        <f t="shared" si="36"/>
        <v>25481594</v>
      </c>
      <c r="E62" s="358">
        <v>0</v>
      </c>
      <c r="F62" s="358">
        <f t="shared" si="30"/>
        <v>1274079.7000000002</v>
      </c>
      <c r="G62" s="358"/>
      <c r="H62" s="358">
        <v>247973</v>
      </c>
      <c r="I62" s="358">
        <f t="shared" si="31"/>
        <v>1522052.7000000002</v>
      </c>
      <c r="J62" s="358">
        <f t="shared" si="32"/>
        <v>23959541.300000001</v>
      </c>
      <c r="K62" s="359">
        <f t="shared" si="35"/>
        <v>1916763</v>
      </c>
      <c r="L62" s="358">
        <f t="shared" ref="L62:L69" si="37">ROUND(J62-K62,0)</f>
        <v>22042778</v>
      </c>
      <c r="M62" s="358">
        <f>5000000+14703274+1340000+999504</f>
        <v>22042778</v>
      </c>
      <c r="N62" s="358">
        <f t="shared" si="34"/>
        <v>0</v>
      </c>
    </row>
    <row r="63" spans="1:14" x14ac:dyDescent="0.25">
      <c r="A63" s="429" t="s">
        <v>257</v>
      </c>
      <c r="B63" s="358">
        <v>9170838</v>
      </c>
      <c r="C63" s="555"/>
      <c r="D63" s="358">
        <f t="shared" si="36"/>
        <v>9170838</v>
      </c>
      <c r="E63" s="358"/>
      <c r="F63" s="358">
        <f t="shared" si="30"/>
        <v>458541.9</v>
      </c>
      <c r="G63" s="358"/>
      <c r="H63" s="358">
        <v>2205800</v>
      </c>
      <c r="I63" s="358">
        <f t="shared" si="31"/>
        <v>2664341.9</v>
      </c>
      <c r="J63" s="358">
        <f t="shared" si="32"/>
        <v>6506496.0999999996</v>
      </c>
      <c r="K63" s="359">
        <f t="shared" si="35"/>
        <v>520520</v>
      </c>
      <c r="L63" s="358">
        <f t="shared" si="37"/>
        <v>5985976</v>
      </c>
      <c r="M63" s="358">
        <v>5985976</v>
      </c>
      <c r="N63" s="358">
        <f t="shared" si="34"/>
        <v>0</v>
      </c>
    </row>
    <row r="64" spans="1:14" x14ac:dyDescent="0.25">
      <c r="A64" s="429" t="s">
        <v>257</v>
      </c>
      <c r="B64" s="358">
        <v>3930359</v>
      </c>
      <c r="C64" s="555"/>
      <c r="D64" s="358">
        <f t="shared" si="36"/>
        <v>3930359</v>
      </c>
      <c r="E64" s="358"/>
      <c r="F64" s="358">
        <f t="shared" si="30"/>
        <v>196517.95</v>
      </c>
      <c r="G64" s="358"/>
      <c r="H64" s="358"/>
      <c r="I64" s="358">
        <f t="shared" si="31"/>
        <v>196517.95</v>
      </c>
      <c r="J64" s="358">
        <f t="shared" si="32"/>
        <v>3733841.05</v>
      </c>
      <c r="K64" s="359">
        <f t="shared" si="35"/>
        <v>298707</v>
      </c>
      <c r="L64" s="358">
        <f t="shared" si="37"/>
        <v>3435134</v>
      </c>
      <c r="M64" s="358">
        <v>3435134</v>
      </c>
      <c r="N64" s="358">
        <f t="shared" si="34"/>
        <v>0</v>
      </c>
    </row>
    <row r="65" spans="1:14" x14ac:dyDescent="0.25">
      <c r="A65" s="429" t="s">
        <v>257</v>
      </c>
      <c r="B65" s="358">
        <v>2083315</v>
      </c>
      <c r="C65" s="555"/>
      <c r="D65" s="358">
        <f t="shared" si="36"/>
        <v>2083315</v>
      </c>
      <c r="E65" s="358"/>
      <c r="F65" s="358">
        <f t="shared" si="30"/>
        <v>104165.75</v>
      </c>
      <c r="G65" s="358"/>
      <c r="H65" s="358"/>
      <c r="I65" s="358">
        <f t="shared" si="31"/>
        <v>104165.75</v>
      </c>
      <c r="J65" s="358">
        <f t="shared" si="32"/>
        <v>1979149.25</v>
      </c>
      <c r="K65" s="359">
        <f t="shared" si="35"/>
        <v>158332</v>
      </c>
      <c r="L65" s="358">
        <f t="shared" si="37"/>
        <v>1820817</v>
      </c>
      <c r="M65" s="358">
        <v>1820817</v>
      </c>
      <c r="N65" s="358">
        <f t="shared" si="34"/>
        <v>0</v>
      </c>
    </row>
    <row r="66" spans="1:14" x14ac:dyDescent="0.25">
      <c r="A66" s="429" t="s">
        <v>257</v>
      </c>
      <c r="B66" s="358">
        <v>892849</v>
      </c>
      <c r="C66" s="555"/>
      <c r="D66" s="358">
        <f t="shared" si="36"/>
        <v>892849</v>
      </c>
      <c r="E66" s="358"/>
      <c r="F66" s="358">
        <f t="shared" si="30"/>
        <v>44642.450000000004</v>
      </c>
      <c r="G66" s="358"/>
      <c r="H66" s="358">
        <v>829400</v>
      </c>
      <c r="I66" s="358">
        <f t="shared" si="31"/>
        <v>874042.45</v>
      </c>
      <c r="J66" s="358">
        <f t="shared" si="32"/>
        <v>18806.550000000047</v>
      </c>
      <c r="K66" s="359">
        <f t="shared" si="35"/>
        <v>1505</v>
      </c>
      <c r="L66" s="358">
        <f t="shared" si="37"/>
        <v>17302</v>
      </c>
      <c r="M66" s="358">
        <v>17302</v>
      </c>
      <c r="N66" s="358">
        <f t="shared" si="34"/>
        <v>0</v>
      </c>
    </row>
    <row r="67" spans="1:14" x14ac:dyDescent="0.25">
      <c r="A67" s="429" t="s">
        <v>257</v>
      </c>
      <c r="B67" s="358">
        <v>2840581</v>
      </c>
      <c r="C67" s="555"/>
      <c r="D67" s="358">
        <f t="shared" si="36"/>
        <v>2840581</v>
      </c>
      <c r="E67" s="358"/>
      <c r="F67" s="358">
        <f t="shared" si="30"/>
        <v>142029.05000000002</v>
      </c>
      <c r="G67" s="358">
        <v>1505000</v>
      </c>
      <c r="H67" s="358">
        <f>75137+152500+965658</f>
        <v>1193295</v>
      </c>
      <c r="I67" s="358">
        <f t="shared" si="31"/>
        <v>2840324.05</v>
      </c>
      <c r="J67" s="358">
        <f t="shared" si="32"/>
        <v>256.95000000018626</v>
      </c>
      <c r="K67" s="359">
        <f t="shared" si="35"/>
        <v>21</v>
      </c>
      <c r="L67" s="358">
        <f t="shared" si="37"/>
        <v>236</v>
      </c>
      <c r="M67" s="358">
        <v>0</v>
      </c>
      <c r="N67" s="358">
        <f t="shared" si="34"/>
        <v>236</v>
      </c>
    </row>
    <row r="68" spans="1:14" x14ac:dyDescent="0.25">
      <c r="A68" s="429" t="s">
        <v>257</v>
      </c>
      <c r="B68" s="358">
        <v>1217392</v>
      </c>
      <c r="C68" s="555"/>
      <c r="D68" s="358">
        <f t="shared" si="36"/>
        <v>1217392</v>
      </c>
      <c r="E68" s="358"/>
      <c r="F68" s="358">
        <f t="shared" si="30"/>
        <v>60869.600000000006</v>
      </c>
      <c r="G68" s="358">
        <v>995000</v>
      </c>
      <c r="H68" s="358">
        <v>160523</v>
      </c>
      <c r="I68" s="358">
        <f t="shared" si="31"/>
        <v>1216392.6000000001</v>
      </c>
      <c r="J68" s="358">
        <f t="shared" si="32"/>
        <v>999.39999999990687</v>
      </c>
      <c r="K68" s="359">
        <f t="shared" si="35"/>
        <v>80</v>
      </c>
      <c r="L68" s="358">
        <f t="shared" si="37"/>
        <v>919</v>
      </c>
      <c r="M68" s="358">
        <v>0</v>
      </c>
      <c r="N68" s="358">
        <f t="shared" si="34"/>
        <v>919</v>
      </c>
    </row>
    <row r="69" spans="1:14" x14ac:dyDescent="0.25">
      <c r="A69" s="429" t="s">
        <v>257</v>
      </c>
      <c r="B69" s="358">
        <v>3390476</v>
      </c>
      <c r="C69" s="555"/>
      <c r="D69" s="358">
        <f>SUM(B69:C69)</f>
        <v>3390476</v>
      </c>
      <c r="E69" s="358"/>
      <c r="F69" s="358">
        <f t="shared" si="30"/>
        <v>169523.80000000002</v>
      </c>
      <c r="G69" s="358"/>
      <c r="H69" s="358">
        <v>405363</v>
      </c>
      <c r="I69" s="358">
        <f t="shared" si="31"/>
        <v>574886.80000000005</v>
      </c>
      <c r="J69" s="358">
        <f t="shared" si="32"/>
        <v>2815589.2</v>
      </c>
      <c r="K69" s="359">
        <f t="shared" si="35"/>
        <v>225247</v>
      </c>
      <c r="L69" s="358">
        <f t="shared" si="37"/>
        <v>2590342</v>
      </c>
      <c r="M69" s="358">
        <v>2590342</v>
      </c>
      <c r="N69" s="358">
        <f t="shared" si="34"/>
        <v>0</v>
      </c>
    </row>
    <row r="70" spans="1:14" x14ac:dyDescent="0.25">
      <c r="A70" s="429" t="s">
        <v>257</v>
      </c>
      <c r="B70" s="358">
        <v>1453061</v>
      </c>
      <c r="C70" s="555"/>
      <c r="D70" s="358">
        <f>SUM(B70:C70)</f>
        <v>1453061</v>
      </c>
      <c r="E70" s="358"/>
      <c r="F70" s="541">
        <f t="shared" si="30"/>
        <v>72653.05</v>
      </c>
      <c r="G70" s="358"/>
      <c r="H70" s="358"/>
      <c r="I70" s="358">
        <f t="shared" si="31"/>
        <v>72653.05</v>
      </c>
      <c r="J70" s="358">
        <f t="shared" si="32"/>
        <v>1380407.95</v>
      </c>
      <c r="K70" s="359">
        <f>ROUND(J70*8%,0)</f>
        <v>110433</v>
      </c>
      <c r="L70" s="358">
        <f>ROUND(J70-K70,0)</f>
        <v>1269975</v>
      </c>
      <c r="M70" s="116">
        <v>1269975</v>
      </c>
      <c r="N70" s="358">
        <f>L70-M70</f>
        <v>0</v>
      </c>
    </row>
    <row r="71" spans="1:14" x14ac:dyDescent="0.25">
      <c r="A71" s="429" t="s">
        <v>257</v>
      </c>
      <c r="B71" s="358">
        <v>2553885</v>
      </c>
      <c r="C71" s="555"/>
      <c r="D71" s="358">
        <f>SUM(B71:C71)</f>
        <v>2553885</v>
      </c>
      <c r="E71" s="358"/>
      <c r="F71" s="541">
        <v>127694.25</v>
      </c>
      <c r="G71" s="358"/>
      <c r="H71" s="358"/>
      <c r="I71" s="358">
        <f t="shared" si="31"/>
        <v>127694.25</v>
      </c>
      <c r="J71" s="358">
        <f t="shared" si="32"/>
        <v>2426190.75</v>
      </c>
      <c r="K71" s="359">
        <f>ROUND(J71*8%,0)</f>
        <v>194095</v>
      </c>
      <c r="L71" s="358">
        <f>ROUND(J71-K71,0)</f>
        <v>2232096</v>
      </c>
      <c r="M71" s="116">
        <v>2232096</v>
      </c>
      <c r="N71" s="358">
        <f>L71-M71</f>
        <v>0</v>
      </c>
    </row>
    <row r="72" spans="1:14" x14ac:dyDescent="0.25">
      <c r="A72" s="429" t="s">
        <v>257</v>
      </c>
      <c r="B72" s="358">
        <v>1094522</v>
      </c>
      <c r="C72" s="555"/>
      <c r="D72" s="358">
        <f>SUM(B72:C72)</f>
        <v>1094522</v>
      </c>
      <c r="E72" s="358"/>
      <c r="F72" s="541">
        <v>54726.100000000006</v>
      </c>
      <c r="G72" s="358"/>
      <c r="H72" s="358"/>
      <c r="I72" s="358">
        <f t="shared" si="31"/>
        <v>54726.100000000006</v>
      </c>
      <c r="J72" s="358">
        <f t="shared" si="32"/>
        <v>1039795.9</v>
      </c>
      <c r="K72" s="359">
        <f>ROUND(J72*8%,0)</f>
        <v>83184</v>
      </c>
      <c r="L72" s="358">
        <f>ROUND(J72-K72,0)</f>
        <v>956612</v>
      </c>
      <c r="M72" s="116">
        <v>956612</v>
      </c>
      <c r="N72" s="358">
        <f>L72-M72</f>
        <v>0</v>
      </c>
    </row>
    <row r="73" spans="1:14" x14ac:dyDescent="0.25">
      <c r="A73" s="429" t="s">
        <v>257</v>
      </c>
      <c r="B73" s="358">
        <v>1051837</v>
      </c>
      <c r="C73" s="555"/>
      <c r="D73" s="358">
        <f>SUM(B73:C73)</f>
        <v>1051837</v>
      </c>
      <c r="E73" s="358"/>
      <c r="F73" s="647">
        <f>B73*5%</f>
        <v>52591.850000000006</v>
      </c>
      <c r="G73" s="358"/>
      <c r="H73" s="358"/>
      <c r="I73" s="358">
        <f t="shared" ref="I73" si="38">SUM(E73:H73)</f>
        <v>52591.850000000006</v>
      </c>
      <c r="J73" s="358">
        <f t="shared" si="32"/>
        <v>999245.15</v>
      </c>
      <c r="K73" s="359">
        <f>ROUND(J73*8%,0)</f>
        <v>79940</v>
      </c>
      <c r="L73" s="358">
        <f>ROUND(J73-K73,0)</f>
        <v>919305</v>
      </c>
      <c r="M73" s="116">
        <v>919305</v>
      </c>
      <c r="N73" s="358">
        <f>L73-M73</f>
        <v>0</v>
      </c>
    </row>
    <row r="74" spans="1:14" x14ac:dyDescent="0.25">
      <c r="A74" s="429"/>
      <c r="B74" s="582">
        <f>SUM(B56:B73)</f>
        <v>123300614</v>
      </c>
      <c r="C74" s="582">
        <f t="shared" ref="C74:N74" si="39">SUM(C56:C73)</f>
        <v>0</v>
      </c>
      <c r="D74" s="582">
        <f t="shared" si="39"/>
        <v>123300614</v>
      </c>
      <c r="E74" s="582">
        <f t="shared" si="39"/>
        <v>1037354</v>
      </c>
      <c r="F74" s="582">
        <f t="shared" si="39"/>
        <v>6165030.6999999993</v>
      </c>
      <c r="G74" s="582">
        <f t="shared" si="39"/>
        <v>2500000</v>
      </c>
      <c r="H74" s="582">
        <f t="shared" si="39"/>
        <v>7917376</v>
      </c>
      <c r="I74" s="582">
        <f t="shared" si="39"/>
        <v>17619760.699999999</v>
      </c>
      <c r="J74" s="582">
        <f t="shared" si="39"/>
        <v>105680853.30000001</v>
      </c>
      <c r="K74" s="582">
        <f t="shared" si="39"/>
        <v>8454470</v>
      </c>
      <c r="L74" s="582">
        <f t="shared" si="39"/>
        <v>97226383</v>
      </c>
      <c r="M74" s="582">
        <f t="shared" si="39"/>
        <v>97225227</v>
      </c>
      <c r="N74" s="582">
        <f t="shared" si="39"/>
        <v>1156</v>
      </c>
    </row>
    <row r="75" spans="1:14" x14ac:dyDescent="0.25">
      <c r="A75" s="429" t="s">
        <v>257</v>
      </c>
      <c r="B75" s="358">
        <v>8838957</v>
      </c>
      <c r="C75" s="555"/>
      <c r="D75" s="358">
        <f>SUM(B75:C75)</f>
        <v>8838957</v>
      </c>
      <c r="E75" s="358">
        <v>0</v>
      </c>
      <c r="F75" s="358">
        <f>B75*5%</f>
        <v>441947.85000000003</v>
      </c>
      <c r="G75" s="358"/>
      <c r="H75" s="358">
        <v>0</v>
      </c>
      <c r="I75" s="358">
        <f>SUM(E75:H75)</f>
        <v>441947.85000000003</v>
      </c>
      <c r="J75" s="358">
        <f>D75-I75</f>
        <v>8397009.1500000004</v>
      </c>
      <c r="K75" s="359">
        <f t="shared" si="35"/>
        <v>671761</v>
      </c>
      <c r="L75" s="358">
        <f t="shared" si="33"/>
        <v>7725248</v>
      </c>
      <c r="M75" s="358">
        <f>5000000+2725248</f>
        <v>7725248</v>
      </c>
      <c r="N75" s="358">
        <f t="shared" si="34"/>
        <v>0</v>
      </c>
    </row>
    <row r="76" spans="1:14" x14ac:dyDescent="0.25">
      <c r="A76" s="429" t="s">
        <v>257</v>
      </c>
      <c r="B76" s="358">
        <v>2667316</v>
      </c>
      <c r="C76" s="555">
        <v>0</v>
      </c>
      <c r="D76" s="358">
        <f>SUM(B76:C76)</f>
        <v>2667316</v>
      </c>
      <c r="E76" s="358">
        <v>0</v>
      </c>
      <c r="F76" s="358">
        <f>B76*5%</f>
        <v>133365.80000000002</v>
      </c>
      <c r="G76" s="358"/>
      <c r="H76" s="358">
        <v>0</v>
      </c>
      <c r="I76" s="358">
        <f>SUM(E76:H76)</f>
        <v>133365.80000000002</v>
      </c>
      <c r="J76" s="358">
        <f>D76-I76</f>
        <v>2533950.2000000002</v>
      </c>
      <c r="K76" s="359">
        <f t="shared" si="35"/>
        <v>202716</v>
      </c>
      <c r="L76" s="358">
        <f t="shared" si="33"/>
        <v>2331234</v>
      </c>
      <c r="M76" s="358">
        <v>2331234</v>
      </c>
      <c r="N76" s="358">
        <f t="shared" si="34"/>
        <v>0</v>
      </c>
    </row>
    <row r="77" spans="1:14" x14ac:dyDescent="0.25">
      <c r="A77" s="429" t="s">
        <v>257</v>
      </c>
      <c r="B77" s="358">
        <v>2349110</v>
      </c>
      <c r="C77" s="555">
        <v>0</v>
      </c>
      <c r="D77" s="358">
        <f>SUM(B77:C77)</f>
        <v>2349110</v>
      </c>
      <c r="E77" s="358">
        <v>0</v>
      </c>
      <c r="F77" s="358">
        <f>B77*5%</f>
        <v>117455.5</v>
      </c>
      <c r="G77" s="358"/>
      <c r="H77" s="358">
        <v>0</v>
      </c>
      <c r="I77" s="358">
        <f>SUM(E77:H77)</f>
        <v>117455.5</v>
      </c>
      <c r="J77" s="358">
        <f>D77-I77</f>
        <v>2231654.5</v>
      </c>
      <c r="K77" s="359">
        <f t="shared" si="35"/>
        <v>178532</v>
      </c>
      <c r="L77" s="358">
        <f t="shared" si="33"/>
        <v>2053123</v>
      </c>
      <c r="M77" s="358">
        <f>2000000+53123</f>
        <v>2053123</v>
      </c>
      <c r="N77" s="358">
        <f t="shared" si="34"/>
        <v>0</v>
      </c>
    </row>
    <row r="78" spans="1:14" x14ac:dyDescent="0.25">
      <c r="A78" s="429" t="s">
        <v>257</v>
      </c>
      <c r="B78" s="358">
        <v>289087</v>
      </c>
      <c r="C78" s="555"/>
      <c r="D78" s="358">
        <f>SUM(B78:C78)</f>
        <v>289087</v>
      </c>
      <c r="E78" s="358"/>
      <c r="F78" s="358">
        <f>B78*5%</f>
        <v>14454.35</v>
      </c>
      <c r="G78" s="358"/>
      <c r="H78" s="358"/>
      <c r="I78" s="358">
        <f>SUM(E78:H78)</f>
        <v>14454.35</v>
      </c>
      <c r="J78" s="358">
        <f>D78-I78</f>
        <v>274632.65000000002</v>
      </c>
      <c r="K78" s="359">
        <f t="shared" si="35"/>
        <v>21971</v>
      </c>
      <c r="L78" s="358">
        <f t="shared" si="33"/>
        <v>252662</v>
      </c>
      <c r="M78" s="358">
        <v>252662</v>
      </c>
      <c r="N78" s="358">
        <f t="shared" si="34"/>
        <v>0</v>
      </c>
    </row>
    <row r="79" spans="1:14" x14ac:dyDescent="0.25">
      <c r="A79" s="429" t="s">
        <v>257</v>
      </c>
      <c r="B79" s="582">
        <f>SUM(B75:B78)</f>
        <v>14144470</v>
      </c>
      <c r="C79" s="556">
        <f t="shared" ref="C79:N79" si="40">SUM(C75:C78)</f>
        <v>0</v>
      </c>
      <c r="D79" s="360">
        <f t="shared" si="40"/>
        <v>14144470</v>
      </c>
      <c r="E79" s="360">
        <f t="shared" si="40"/>
        <v>0</v>
      </c>
      <c r="F79" s="360">
        <f t="shared" si="40"/>
        <v>707223.5</v>
      </c>
      <c r="G79" s="360"/>
      <c r="H79" s="360">
        <f t="shared" si="40"/>
        <v>0</v>
      </c>
      <c r="I79" s="360">
        <f t="shared" si="40"/>
        <v>707223.5</v>
      </c>
      <c r="J79" s="360">
        <f t="shared" si="40"/>
        <v>13437246.500000002</v>
      </c>
      <c r="K79" s="360">
        <f t="shared" si="40"/>
        <v>1074980</v>
      </c>
      <c r="L79" s="360">
        <f t="shared" si="40"/>
        <v>12362267</v>
      </c>
      <c r="M79" s="360">
        <f t="shared" si="40"/>
        <v>12362267</v>
      </c>
      <c r="N79" s="360">
        <f t="shared" si="40"/>
        <v>0</v>
      </c>
    </row>
    <row r="80" spans="1:14" x14ac:dyDescent="0.25">
      <c r="A80" s="429" t="s">
        <v>257</v>
      </c>
      <c r="B80" s="358">
        <v>6608962</v>
      </c>
      <c r="C80" s="555"/>
      <c r="D80" s="358">
        <f>SUM(B80:C80)</f>
        <v>6608962</v>
      </c>
      <c r="E80" s="358"/>
      <c r="F80" s="358">
        <f>B80*5%</f>
        <v>330448.10000000003</v>
      </c>
      <c r="G80" s="358"/>
      <c r="H80" s="358">
        <v>6221589</v>
      </c>
      <c r="I80" s="358">
        <f>SUM(E80:H80)</f>
        <v>6552037.0999999996</v>
      </c>
      <c r="J80" s="358">
        <f>D80-I80</f>
        <v>56924.900000000373</v>
      </c>
      <c r="K80" s="359">
        <f t="shared" si="35"/>
        <v>4554</v>
      </c>
      <c r="L80" s="358">
        <f t="shared" si="33"/>
        <v>52371</v>
      </c>
      <c r="M80" s="358">
        <v>52371</v>
      </c>
      <c r="N80" s="358">
        <f>L80-M80</f>
        <v>0</v>
      </c>
    </row>
    <row r="81" spans="1:14" x14ac:dyDescent="0.25">
      <c r="A81" s="429" t="s">
        <v>257</v>
      </c>
      <c r="B81" s="358">
        <v>1820138</v>
      </c>
      <c r="C81" s="555"/>
      <c r="D81" s="358">
        <f>SUM(B81:C81)</f>
        <v>1820138</v>
      </c>
      <c r="E81" s="358"/>
      <c r="F81" s="358">
        <f>B81*5%</f>
        <v>91006.900000000009</v>
      </c>
      <c r="G81" s="358"/>
      <c r="H81" s="358"/>
      <c r="I81" s="358">
        <f>SUM(E81:H81)</f>
        <v>91006.900000000009</v>
      </c>
      <c r="J81" s="358">
        <f>D81-I81</f>
        <v>1729131.1</v>
      </c>
      <c r="K81" s="359">
        <f t="shared" si="35"/>
        <v>138330</v>
      </c>
      <c r="L81" s="358">
        <f t="shared" si="33"/>
        <v>1590801</v>
      </c>
      <c r="M81" s="358">
        <v>1590801</v>
      </c>
      <c r="N81" s="358">
        <f>L81-M81</f>
        <v>0</v>
      </c>
    </row>
    <row r="82" spans="1:14" x14ac:dyDescent="0.25">
      <c r="A82" s="429" t="s">
        <v>257</v>
      </c>
      <c r="B82" s="358">
        <v>4533291</v>
      </c>
      <c r="C82" s="555"/>
      <c r="D82" s="358">
        <f t="shared" ref="D82:D97" si="41">SUM(B82:C82)</f>
        <v>4533291</v>
      </c>
      <c r="E82" s="358">
        <v>0</v>
      </c>
      <c r="F82" s="358">
        <f>B82*5%</f>
        <v>226664.55000000002</v>
      </c>
      <c r="G82" s="358"/>
      <c r="H82" s="358">
        <v>0</v>
      </c>
      <c r="I82" s="358">
        <f>SUM(E82:H82)</f>
        <v>226664.55000000002</v>
      </c>
      <c r="J82" s="358">
        <f>D82-I82</f>
        <v>4306626.45</v>
      </c>
      <c r="K82" s="359">
        <f t="shared" si="35"/>
        <v>344530</v>
      </c>
      <c r="L82" s="358">
        <f t="shared" si="33"/>
        <v>3962096</v>
      </c>
      <c r="M82" s="358">
        <v>3962097</v>
      </c>
      <c r="N82" s="358">
        <f>L82-M82</f>
        <v>-1</v>
      </c>
    </row>
    <row r="83" spans="1:14" x14ac:dyDescent="0.25">
      <c r="A83" s="429" t="s">
        <v>257</v>
      </c>
      <c r="B83" s="358">
        <v>1027046</v>
      </c>
      <c r="C83" s="555"/>
      <c r="D83" s="358">
        <f t="shared" si="41"/>
        <v>1027046</v>
      </c>
      <c r="E83" s="358">
        <v>0</v>
      </c>
      <c r="F83" s="358">
        <f>B83*5%</f>
        <v>51352.3</v>
      </c>
      <c r="G83" s="358"/>
      <c r="H83" s="358">
        <v>0</v>
      </c>
      <c r="I83" s="358">
        <f>SUM(E83:H83)</f>
        <v>51352.3</v>
      </c>
      <c r="J83" s="358">
        <f>D83-I83</f>
        <v>975693.7</v>
      </c>
      <c r="K83" s="359">
        <f t="shared" si="35"/>
        <v>78055</v>
      </c>
      <c r="L83" s="358">
        <f t="shared" si="33"/>
        <v>897639</v>
      </c>
      <c r="M83" s="358">
        <v>897639</v>
      </c>
      <c r="N83" s="358">
        <f>L83-M83</f>
        <v>0</v>
      </c>
    </row>
    <row r="84" spans="1:14" x14ac:dyDescent="0.25">
      <c r="A84" s="429" t="s">
        <v>257</v>
      </c>
      <c r="B84" s="358">
        <v>156811</v>
      </c>
      <c r="C84" s="555"/>
      <c r="D84" s="358">
        <f t="shared" si="41"/>
        <v>156811</v>
      </c>
      <c r="E84" s="358">
        <v>0</v>
      </c>
      <c r="F84" s="358">
        <f>B84*5%</f>
        <v>7840.55</v>
      </c>
      <c r="G84" s="358"/>
      <c r="H84" s="358">
        <v>0</v>
      </c>
      <c r="I84" s="358">
        <f>SUM(E84:H84)</f>
        <v>7840.55</v>
      </c>
      <c r="J84" s="358">
        <f>D84-I84</f>
        <v>148970.45000000001</v>
      </c>
      <c r="K84" s="359">
        <f t="shared" si="35"/>
        <v>11918</v>
      </c>
      <c r="L84" s="358">
        <f t="shared" si="33"/>
        <v>137052</v>
      </c>
      <c r="M84" s="358">
        <v>137052</v>
      </c>
      <c r="N84" s="358">
        <f>L84-M84</f>
        <v>0</v>
      </c>
    </row>
    <row r="85" spans="1:14" x14ac:dyDescent="0.25">
      <c r="A85" s="429" t="s">
        <v>257</v>
      </c>
      <c r="B85" s="582">
        <f>SUM(B80:B84)</f>
        <v>14146248</v>
      </c>
      <c r="C85" s="556">
        <f t="shared" ref="C85:N85" si="42">SUM(C80:C84)</f>
        <v>0</v>
      </c>
      <c r="D85" s="360">
        <f t="shared" si="42"/>
        <v>14146248</v>
      </c>
      <c r="E85" s="360">
        <f t="shared" si="42"/>
        <v>0</v>
      </c>
      <c r="F85" s="360">
        <f t="shared" si="42"/>
        <v>707312.40000000014</v>
      </c>
      <c r="G85" s="360"/>
      <c r="H85" s="360">
        <f t="shared" si="42"/>
        <v>6221589</v>
      </c>
      <c r="I85" s="360">
        <f t="shared" si="42"/>
        <v>6928901.3999999994</v>
      </c>
      <c r="J85" s="360">
        <f t="shared" si="42"/>
        <v>7217346.6000000015</v>
      </c>
      <c r="K85" s="360">
        <f t="shared" si="42"/>
        <v>577387</v>
      </c>
      <c r="L85" s="360">
        <f t="shared" si="42"/>
        <v>6639959</v>
      </c>
      <c r="M85" s="360">
        <f t="shared" si="42"/>
        <v>6639960</v>
      </c>
      <c r="N85" s="360">
        <f t="shared" si="42"/>
        <v>-1</v>
      </c>
    </row>
    <row r="86" spans="1:14" x14ac:dyDescent="0.25">
      <c r="A86" s="429" t="s">
        <v>257</v>
      </c>
      <c r="B86" s="358">
        <v>1788361</v>
      </c>
      <c r="C86" s="555"/>
      <c r="D86" s="358">
        <f t="shared" si="41"/>
        <v>1788361</v>
      </c>
      <c r="E86" s="358"/>
      <c r="F86" s="358">
        <f t="shared" ref="F86:F92" si="43">B86*5%</f>
        <v>89418.05</v>
      </c>
      <c r="G86" s="358"/>
      <c r="H86" s="358"/>
      <c r="I86" s="358">
        <f t="shared" ref="I86:I92" si="44">SUM(E86:H86)</f>
        <v>89418.05</v>
      </c>
      <c r="J86" s="358">
        <f t="shared" ref="J86:J92" si="45">D86-I86</f>
        <v>1698942.95</v>
      </c>
      <c r="K86" s="359">
        <f t="shared" si="35"/>
        <v>135915</v>
      </c>
      <c r="L86" s="358">
        <f t="shared" si="33"/>
        <v>1563028</v>
      </c>
      <c r="M86" s="358">
        <v>1563028</v>
      </c>
      <c r="N86" s="358">
        <f t="shared" ref="N86:N92" si="46">L86-M86</f>
        <v>0</v>
      </c>
    </row>
    <row r="87" spans="1:14" x14ac:dyDescent="0.25">
      <c r="A87" s="429" t="s">
        <v>257</v>
      </c>
      <c r="B87" s="358">
        <v>3188729</v>
      </c>
      <c r="C87" s="555"/>
      <c r="D87" s="358">
        <f t="shared" si="41"/>
        <v>3188729</v>
      </c>
      <c r="E87" s="358"/>
      <c r="F87" s="358">
        <f t="shared" si="43"/>
        <v>159436.45000000001</v>
      </c>
      <c r="G87" s="358"/>
      <c r="H87" s="358"/>
      <c r="I87" s="358">
        <f t="shared" si="44"/>
        <v>159436.45000000001</v>
      </c>
      <c r="J87" s="358">
        <f t="shared" si="45"/>
        <v>3029292.55</v>
      </c>
      <c r="K87" s="359">
        <f t="shared" si="35"/>
        <v>242343</v>
      </c>
      <c r="L87" s="358">
        <f t="shared" si="33"/>
        <v>2786950</v>
      </c>
      <c r="M87" s="358">
        <v>2786949</v>
      </c>
      <c r="N87" s="358">
        <f t="shared" si="46"/>
        <v>1</v>
      </c>
    </row>
    <row r="88" spans="1:14" x14ac:dyDescent="0.25">
      <c r="A88" s="429" t="s">
        <v>257</v>
      </c>
      <c r="B88" s="358">
        <v>2469892</v>
      </c>
      <c r="C88" s="555"/>
      <c r="D88" s="358">
        <f t="shared" si="41"/>
        <v>2469892</v>
      </c>
      <c r="E88" s="358">
        <v>0</v>
      </c>
      <c r="F88" s="358">
        <f t="shared" si="43"/>
        <v>123494.6</v>
      </c>
      <c r="G88" s="358"/>
      <c r="H88" s="358">
        <v>0</v>
      </c>
      <c r="I88" s="358">
        <f t="shared" si="44"/>
        <v>123494.6</v>
      </c>
      <c r="J88" s="358">
        <f t="shared" si="45"/>
        <v>2346397.4</v>
      </c>
      <c r="K88" s="359">
        <f t="shared" si="35"/>
        <v>187712</v>
      </c>
      <c r="L88" s="358">
        <f t="shared" si="33"/>
        <v>2158685</v>
      </c>
      <c r="M88" s="358">
        <v>2158686</v>
      </c>
      <c r="N88" s="358">
        <f t="shared" si="46"/>
        <v>-1</v>
      </c>
    </row>
    <row r="89" spans="1:14" x14ac:dyDescent="0.25">
      <c r="A89" s="429" t="s">
        <v>257</v>
      </c>
      <c r="B89" s="358">
        <v>2048062</v>
      </c>
      <c r="C89" s="555"/>
      <c r="D89" s="358">
        <f t="shared" si="41"/>
        <v>2048062</v>
      </c>
      <c r="E89" s="358"/>
      <c r="F89" s="358">
        <f t="shared" si="43"/>
        <v>102403.1</v>
      </c>
      <c r="G89" s="358"/>
      <c r="H89" s="358"/>
      <c r="I89" s="358">
        <f t="shared" si="44"/>
        <v>102403.1</v>
      </c>
      <c r="J89" s="358">
        <f t="shared" si="45"/>
        <v>1945658.9</v>
      </c>
      <c r="K89" s="359">
        <f t="shared" si="35"/>
        <v>155653</v>
      </c>
      <c r="L89" s="358">
        <f>ROUND(J89-K89,0)</f>
        <v>1790006</v>
      </c>
      <c r="M89" s="358">
        <v>1790006</v>
      </c>
      <c r="N89" s="358">
        <f t="shared" si="46"/>
        <v>0</v>
      </c>
    </row>
    <row r="90" spans="1:14" x14ac:dyDescent="0.25">
      <c r="A90" s="429" t="s">
        <v>257</v>
      </c>
      <c r="B90" s="358">
        <v>1428538</v>
      </c>
      <c r="C90" s="555"/>
      <c r="D90" s="358">
        <f t="shared" si="41"/>
        <v>1428538</v>
      </c>
      <c r="E90" s="358"/>
      <c r="F90" s="358">
        <f t="shared" si="43"/>
        <v>71426.900000000009</v>
      </c>
      <c r="G90" s="358"/>
      <c r="H90" s="358"/>
      <c r="I90" s="358">
        <f t="shared" si="44"/>
        <v>71426.900000000009</v>
      </c>
      <c r="J90" s="358">
        <f t="shared" si="45"/>
        <v>1357111.1</v>
      </c>
      <c r="K90" s="359">
        <f t="shared" si="35"/>
        <v>108569</v>
      </c>
      <c r="L90" s="358">
        <f>ROUND(J90-K90,0)</f>
        <v>1248542</v>
      </c>
      <c r="M90" s="358">
        <v>1248542</v>
      </c>
      <c r="N90" s="358">
        <f t="shared" si="46"/>
        <v>0</v>
      </c>
    </row>
    <row r="91" spans="1:14" x14ac:dyDescent="0.25">
      <c r="A91" s="429" t="s">
        <v>257</v>
      </c>
      <c r="B91" s="358">
        <v>222494</v>
      </c>
      <c r="C91" s="555"/>
      <c r="D91" s="358">
        <f t="shared" si="41"/>
        <v>222494</v>
      </c>
      <c r="E91" s="358"/>
      <c r="F91" s="358">
        <f t="shared" si="43"/>
        <v>11124.7</v>
      </c>
      <c r="G91" s="358"/>
      <c r="H91" s="358"/>
      <c r="I91" s="358">
        <f t="shared" si="44"/>
        <v>11124.7</v>
      </c>
      <c r="J91" s="358">
        <f t="shared" si="45"/>
        <v>211369.3</v>
      </c>
      <c r="K91" s="359">
        <f t="shared" si="35"/>
        <v>16910</v>
      </c>
      <c r="L91" s="358">
        <f>ROUND(J91-K91,0)</f>
        <v>194459</v>
      </c>
      <c r="M91" s="358">
        <v>194459</v>
      </c>
      <c r="N91" s="358">
        <f t="shared" si="46"/>
        <v>0</v>
      </c>
    </row>
    <row r="92" spans="1:14" x14ac:dyDescent="0.25">
      <c r="A92" s="429" t="s">
        <v>257</v>
      </c>
      <c r="B92" s="358">
        <v>601725</v>
      </c>
      <c r="C92" s="555"/>
      <c r="D92" s="358">
        <f t="shared" si="41"/>
        <v>601725</v>
      </c>
      <c r="E92" s="358"/>
      <c r="F92" s="358">
        <f t="shared" si="43"/>
        <v>30086.25</v>
      </c>
      <c r="G92" s="358"/>
      <c r="H92" s="358"/>
      <c r="I92" s="358">
        <f t="shared" si="44"/>
        <v>30086.25</v>
      </c>
      <c r="J92" s="358">
        <f t="shared" si="45"/>
        <v>571638.75</v>
      </c>
      <c r="K92" s="359">
        <f t="shared" si="35"/>
        <v>45731</v>
      </c>
      <c r="L92" s="358">
        <f>ROUND(J92-K92,0)</f>
        <v>525908</v>
      </c>
      <c r="M92" s="358">
        <v>525908</v>
      </c>
      <c r="N92" s="358">
        <f t="shared" si="46"/>
        <v>0</v>
      </c>
    </row>
    <row r="93" spans="1:14" x14ac:dyDescent="0.25">
      <c r="A93" s="429" t="s">
        <v>257</v>
      </c>
      <c r="B93" s="582">
        <f>SUM(B86:B92)</f>
        <v>11747801</v>
      </c>
      <c r="C93" s="556">
        <f t="shared" ref="C93:N93" si="47">SUM(C86:C92)</f>
        <v>0</v>
      </c>
      <c r="D93" s="360">
        <f t="shared" si="47"/>
        <v>11747801</v>
      </c>
      <c r="E93" s="360">
        <f t="shared" si="47"/>
        <v>0</v>
      </c>
      <c r="F93" s="360">
        <f t="shared" si="47"/>
        <v>587390.04999999993</v>
      </c>
      <c r="G93" s="360">
        <f t="shared" si="47"/>
        <v>0</v>
      </c>
      <c r="H93" s="360">
        <f t="shared" si="47"/>
        <v>0</v>
      </c>
      <c r="I93" s="360">
        <f t="shared" si="47"/>
        <v>587390.04999999993</v>
      </c>
      <c r="J93" s="360">
        <f t="shared" si="47"/>
        <v>11160410.950000001</v>
      </c>
      <c r="K93" s="360">
        <f t="shared" si="47"/>
        <v>892833</v>
      </c>
      <c r="L93" s="360">
        <f t="shared" si="47"/>
        <v>10267578</v>
      </c>
      <c r="M93" s="360">
        <f t="shared" si="47"/>
        <v>10267578</v>
      </c>
      <c r="N93" s="360">
        <f t="shared" si="47"/>
        <v>0</v>
      </c>
    </row>
    <row r="94" spans="1:14" x14ac:dyDescent="0.25">
      <c r="A94" s="429" t="s">
        <v>257</v>
      </c>
      <c r="B94" s="358">
        <v>1415979</v>
      </c>
      <c r="C94" s="555"/>
      <c r="D94" s="358">
        <f t="shared" si="41"/>
        <v>1415979</v>
      </c>
      <c r="E94" s="358"/>
      <c r="F94" s="358">
        <f>B94*5%</f>
        <v>70798.95</v>
      </c>
      <c r="G94" s="358"/>
      <c r="H94" s="358"/>
      <c r="I94" s="358">
        <f>SUM(E94:H94)</f>
        <v>70798.95</v>
      </c>
      <c r="J94" s="358">
        <f>D94-I94</f>
        <v>1345180.05</v>
      </c>
      <c r="K94" s="359">
        <f t="shared" si="35"/>
        <v>107614</v>
      </c>
      <c r="L94" s="358">
        <f t="shared" si="33"/>
        <v>1237566</v>
      </c>
      <c r="M94" s="116">
        <v>1237566</v>
      </c>
      <c r="N94" s="358">
        <f>L94-M94</f>
        <v>0</v>
      </c>
    </row>
    <row r="95" spans="1:14" x14ac:dyDescent="0.25">
      <c r="A95" s="429" t="s">
        <v>257</v>
      </c>
      <c r="B95" s="358">
        <v>851276</v>
      </c>
      <c r="C95" s="555"/>
      <c r="D95" s="358">
        <f t="shared" si="41"/>
        <v>851276</v>
      </c>
      <c r="E95" s="358"/>
      <c r="F95" s="358">
        <f>B95*5%</f>
        <v>42563.8</v>
      </c>
      <c r="G95" s="358"/>
      <c r="H95" s="358"/>
      <c r="I95" s="358">
        <f>SUM(E95:H95)</f>
        <v>42563.8</v>
      </c>
      <c r="J95" s="358">
        <f>D95-I95</f>
        <v>808712.2</v>
      </c>
      <c r="K95" s="359">
        <f t="shared" si="35"/>
        <v>64697</v>
      </c>
      <c r="L95" s="358">
        <f t="shared" si="33"/>
        <v>744015</v>
      </c>
      <c r="M95" s="116">
        <v>744015</v>
      </c>
      <c r="N95" s="358">
        <f>L95-M95</f>
        <v>0</v>
      </c>
    </row>
    <row r="96" spans="1:14" x14ac:dyDescent="0.25">
      <c r="A96" s="429" t="s">
        <v>257</v>
      </c>
      <c r="B96" s="358">
        <v>2021302</v>
      </c>
      <c r="C96" s="555"/>
      <c r="D96" s="358">
        <f t="shared" si="41"/>
        <v>2021302</v>
      </c>
      <c r="E96" s="358"/>
      <c r="F96" s="358">
        <f>B96*5%</f>
        <v>101065.1</v>
      </c>
      <c r="G96" s="358"/>
      <c r="H96" s="358"/>
      <c r="I96" s="358">
        <f>SUM(E96:H96)</f>
        <v>101065.1</v>
      </c>
      <c r="J96" s="358">
        <f>D96-I96</f>
        <v>1920236.9</v>
      </c>
      <c r="K96" s="359">
        <f t="shared" si="35"/>
        <v>153619</v>
      </c>
      <c r="L96" s="358">
        <f t="shared" si="33"/>
        <v>1766618</v>
      </c>
      <c r="M96" s="116">
        <v>1766618</v>
      </c>
      <c r="N96" s="358">
        <f>L96-M96</f>
        <v>0</v>
      </c>
    </row>
    <row r="97" spans="1:14" x14ac:dyDescent="0.25">
      <c r="A97" s="429" t="s">
        <v>257</v>
      </c>
      <c r="B97" s="358">
        <v>2115093</v>
      </c>
      <c r="C97" s="555"/>
      <c r="D97" s="358">
        <f t="shared" si="41"/>
        <v>2115093</v>
      </c>
      <c r="E97" s="358"/>
      <c r="F97" s="358">
        <f>B97*5%</f>
        <v>105754.65000000001</v>
      </c>
      <c r="G97" s="358"/>
      <c r="H97" s="358"/>
      <c r="I97" s="358">
        <f>SUM(E97:H97)</f>
        <v>105754.65000000001</v>
      </c>
      <c r="J97" s="358">
        <f>D97-I97</f>
        <v>2009338.35</v>
      </c>
      <c r="K97" s="359">
        <f t="shared" si="35"/>
        <v>160747</v>
      </c>
      <c r="L97" s="358">
        <f t="shared" si="33"/>
        <v>1848591</v>
      </c>
      <c r="M97" s="116">
        <v>1848591</v>
      </c>
      <c r="N97" s="358">
        <f>L97-M97</f>
        <v>0</v>
      </c>
    </row>
    <row r="98" spans="1:14" x14ac:dyDescent="0.25">
      <c r="A98" s="429" t="s">
        <v>257</v>
      </c>
      <c r="B98" s="582">
        <f>SUM(B94:B97)</f>
        <v>6403650</v>
      </c>
      <c r="C98" s="556">
        <f t="shared" ref="C98:N98" si="48">SUM(C94:C97)</f>
        <v>0</v>
      </c>
      <c r="D98" s="360">
        <f t="shared" si="48"/>
        <v>6403650</v>
      </c>
      <c r="E98" s="360">
        <f t="shared" si="48"/>
        <v>0</v>
      </c>
      <c r="F98" s="360">
        <f t="shared" si="48"/>
        <v>320182.5</v>
      </c>
      <c r="G98" s="360">
        <f t="shared" si="48"/>
        <v>0</v>
      </c>
      <c r="H98" s="360">
        <f t="shared" si="48"/>
        <v>0</v>
      </c>
      <c r="I98" s="360">
        <f t="shared" si="48"/>
        <v>320182.5</v>
      </c>
      <c r="J98" s="360">
        <f t="shared" si="48"/>
        <v>6083467.5</v>
      </c>
      <c r="K98" s="360">
        <f t="shared" si="48"/>
        <v>486677</v>
      </c>
      <c r="L98" s="360">
        <f t="shared" si="48"/>
        <v>5596790</v>
      </c>
      <c r="M98" s="360">
        <f t="shared" si="48"/>
        <v>5596790</v>
      </c>
      <c r="N98" s="360">
        <f t="shared" si="48"/>
        <v>0</v>
      </c>
    </row>
    <row r="99" spans="1:14" x14ac:dyDescent="0.25">
      <c r="A99" s="429" t="s">
        <v>257</v>
      </c>
      <c r="B99" s="358">
        <v>18816388</v>
      </c>
      <c r="C99" s="555"/>
      <c r="D99" s="358">
        <f>SUM(B99:C99)</f>
        <v>18816388</v>
      </c>
      <c r="E99" s="358">
        <f>3749303+6110400</f>
        <v>9859703</v>
      </c>
      <c r="F99" s="358">
        <f>B99*5%</f>
        <v>940819.4</v>
      </c>
      <c r="G99" s="358">
        <v>6308951</v>
      </c>
      <c r="H99" s="358">
        <v>0</v>
      </c>
      <c r="I99" s="358">
        <f t="shared" ref="I99:I104" si="49">SUM(E99:H99)</f>
        <v>17109473.399999999</v>
      </c>
      <c r="J99" s="358">
        <f t="shared" ref="J99:J106" si="50">D99-I99</f>
        <v>1706914.6000000015</v>
      </c>
      <c r="K99" s="359">
        <f t="shared" ref="K99:K104" si="51">ROUND(J99*8%,0)</f>
        <v>136553</v>
      </c>
      <c r="L99" s="358">
        <f t="shared" si="33"/>
        <v>1570362</v>
      </c>
      <c r="M99" s="116">
        <v>1570362</v>
      </c>
      <c r="N99" s="358">
        <f t="shared" ref="N99:N106" si="52">L99-M99</f>
        <v>0</v>
      </c>
    </row>
    <row r="100" spans="1:14" x14ac:dyDescent="0.25">
      <c r="A100" s="429" t="s">
        <v>257</v>
      </c>
      <c r="B100" s="358">
        <v>8064166</v>
      </c>
      <c r="C100" s="555"/>
      <c r="D100" s="358">
        <f>SUM(B100:C100)</f>
        <v>8064166</v>
      </c>
      <c r="E100" s="358"/>
      <c r="F100" s="358">
        <f>B100*5%</f>
        <v>403208.30000000005</v>
      </c>
      <c r="G100" s="358"/>
      <c r="H100" s="358">
        <v>1443953</v>
      </c>
      <c r="I100" s="358">
        <f t="shared" si="49"/>
        <v>1847161.3</v>
      </c>
      <c r="J100" s="358">
        <f t="shared" si="50"/>
        <v>6217004.7000000002</v>
      </c>
      <c r="K100" s="359">
        <f t="shared" si="51"/>
        <v>497360</v>
      </c>
      <c r="L100" s="358">
        <f t="shared" si="33"/>
        <v>5719645</v>
      </c>
      <c r="M100" s="116">
        <v>5719645</v>
      </c>
      <c r="N100" s="358">
        <f t="shared" si="52"/>
        <v>0</v>
      </c>
    </row>
    <row r="101" spans="1:14" x14ac:dyDescent="0.25">
      <c r="A101" s="429" t="s">
        <v>257</v>
      </c>
      <c r="B101" s="358">
        <v>37921823</v>
      </c>
      <c r="C101" s="555"/>
      <c r="D101" s="358">
        <f>SUM(B101:C101)</f>
        <v>37921823</v>
      </c>
      <c r="E101" s="358"/>
      <c r="F101" s="358">
        <f>B101*5%</f>
        <v>1896091.1500000001</v>
      </c>
      <c r="G101" s="358"/>
      <c r="H101" s="358">
        <v>0</v>
      </c>
      <c r="I101" s="358">
        <f t="shared" si="49"/>
        <v>1896091.1500000001</v>
      </c>
      <c r="J101" s="358">
        <f t="shared" si="50"/>
        <v>36025731.850000001</v>
      </c>
      <c r="K101" s="359">
        <f t="shared" si="51"/>
        <v>2882059</v>
      </c>
      <c r="L101" s="358">
        <f t="shared" si="33"/>
        <v>33143673</v>
      </c>
      <c r="M101" s="116">
        <v>33143673</v>
      </c>
      <c r="N101" s="358">
        <f t="shared" si="52"/>
        <v>0</v>
      </c>
    </row>
    <row r="102" spans="1:14" x14ac:dyDescent="0.25">
      <c r="A102" s="429" t="s">
        <v>257</v>
      </c>
      <c r="B102" s="358">
        <v>16252210</v>
      </c>
      <c r="C102" s="555"/>
      <c r="D102" s="358">
        <f>B102</f>
        <v>16252210</v>
      </c>
      <c r="E102" s="358">
        <v>4851575</v>
      </c>
      <c r="F102" s="541">
        <f>B102*5%</f>
        <v>812610.5</v>
      </c>
      <c r="G102" s="358"/>
      <c r="H102" s="358">
        <f>513494+334845</f>
        <v>848339</v>
      </c>
      <c r="I102" s="358">
        <f t="shared" si="49"/>
        <v>6512524.5</v>
      </c>
      <c r="J102" s="358">
        <f t="shared" si="50"/>
        <v>9739685.5</v>
      </c>
      <c r="K102" s="359">
        <f t="shared" si="51"/>
        <v>779175</v>
      </c>
      <c r="L102" s="358">
        <f>ROUND(J102-K102,0)</f>
        <v>8960511</v>
      </c>
      <c r="M102" s="116">
        <v>8960511</v>
      </c>
      <c r="N102" s="358">
        <f t="shared" si="52"/>
        <v>0</v>
      </c>
    </row>
    <row r="103" spans="1:14" x14ac:dyDescent="0.25">
      <c r="A103" s="429" t="s">
        <v>257</v>
      </c>
      <c r="B103" s="358">
        <v>5459976</v>
      </c>
      <c r="C103" s="555"/>
      <c r="D103" s="358">
        <f>B103</f>
        <v>5459976</v>
      </c>
      <c r="E103" s="358"/>
      <c r="F103" s="541">
        <v>272998.8</v>
      </c>
      <c r="G103" s="358"/>
      <c r="H103" s="358"/>
      <c r="I103" s="358">
        <f t="shared" si="49"/>
        <v>272998.8</v>
      </c>
      <c r="J103" s="358">
        <f t="shared" si="50"/>
        <v>5186977.2</v>
      </c>
      <c r="K103" s="359">
        <f t="shared" si="51"/>
        <v>414958</v>
      </c>
      <c r="L103" s="358">
        <f>ROUND(J103-K103,0)</f>
        <v>4772019</v>
      </c>
      <c r="M103" s="116">
        <v>4772019</v>
      </c>
      <c r="N103" s="358">
        <f t="shared" si="52"/>
        <v>0</v>
      </c>
    </row>
    <row r="104" spans="1:14" x14ac:dyDescent="0.25">
      <c r="A104" s="429" t="s">
        <v>257</v>
      </c>
      <c r="B104" s="358">
        <v>2339990</v>
      </c>
      <c r="C104" s="555"/>
      <c r="D104" s="358">
        <f>B104</f>
        <v>2339990</v>
      </c>
      <c r="E104" s="358"/>
      <c r="F104" s="541">
        <v>116999.5</v>
      </c>
      <c r="G104" s="358"/>
      <c r="H104" s="358"/>
      <c r="I104" s="358">
        <f t="shared" si="49"/>
        <v>116999.5</v>
      </c>
      <c r="J104" s="358">
        <f t="shared" si="50"/>
        <v>2222990.5</v>
      </c>
      <c r="K104" s="359">
        <f t="shared" si="51"/>
        <v>177839</v>
      </c>
      <c r="L104" s="358">
        <f>ROUND(J104-K104,0)</f>
        <v>2045152</v>
      </c>
      <c r="M104" s="116">
        <v>2045152</v>
      </c>
      <c r="N104" s="358">
        <f t="shared" si="52"/>
        <v>0</v>
      </c>
    </row>
    <row r="105" spans="1:14" x14ac:dyDescent="0.25">
      <c r="A105" s="429" t="s">
        <v>257</v>
      </c>
      <c r="B105" s="358">
        <v>28381199</v>
      </c>
      <c r="C105" s="555"/>
      <c r="D105" s="358">
        <f t="shared" ref="D105:D106" si="53">B105</f>
        <v>28381199</v>
      </c>
      <c r="E105" s="358"/>
      <c r="F105" s="648">
        <f>B105*5%</f>
        <v>1419059.9500000002</v>
      </c>
      <c r="G105" s="645">
        <v>-6308951</v>
      </c>
      <c r="H105" s="645"/>
      <c r="I105" s="358">
        <f t="shared" ref="I105:I106" si="54">SUM(E105:H105)</f>
        <v>-4889891.05</v>
      </c>
      <c r="J105" s="358">
        <f t="shared" si="50"/>
        <v>33271090.050000001</v>
      </c>
      <c r="K105" s="359">
        <f t="shared" ref="K105:K106" si="55">ROUND(J105*8%,0)</f>
        <v>2661687</v>
      </c>
      <c r="L105" s="358">
        <f t="shared" ref="L105:L106" si="56">ROUND(J105-K105,0)</f>
        <v>30609403</v>
      </c>
      <c r="M105" s="116">
        <v>30609403</v>
      </c>
      <c r="N105" s="358">
        <f t="shared" si="52"/>
        <v>0</v>
      </c>
    </row>
    <row r="106" spans="1:14" x14ac:dyDescent="0.25">
      <c r="A106" s="429" t="s">
        <v>257</v>
      </c>
      <c r="B106" s="358">
        <v>12163371</v>
      </c>
      <c r="C106" s="555"/>
      <c r="D106" s="358">
        <f t="shared" si="53"/>
        <v>12163371</v>
      </c>
      <c r="E106" s="358"/>
      <c r="F106" s="648">
        <f>B106*5%</f>
        <v>608168.55000000005</v>
      </c>
      <c r="G106" s="645"/>
      <c r="H106" s="645"/>
      <c r="I106" s="358">
        <f t="shared" si="54"/>
        <v>608168.55000000005</v>
      </c>
      <c r="J106" s="358">
        <f t="shared" si="50"/>
        <v>11555202.449999999</v>
      </c>
      <c r="K106" s="359">
        <f t="shared" si="55"/>
        <v>924416</v>
      </c>
      <c r="L106" s="358">
        <f t="shared" si="56"/>
        <v>10630786</v>
      </c>
      <c r="M106" s="116">
        <v>10630786</v>
      </c>
      <c r="N106" s="358">
        <f t="shared" si="52"/>
        <v>0</v>
      </c>
    </row>
    <row r="107" spans="1:14" x14ac:dyDescent="0.25">
      <c r="A107" s="429"/>
      <c r="B107" s="582">
        <f t="shared" ref="B107:N107" si="57">SUM(B99:B106)</f>
        <v>129399123</v>
      </c>
      <c r="C107" s="582">
        <f t="shared" si="57"/>
        <v>0</v>
      </c>
      <c r="D107" s="582">
        <f t="shared" si="57"/>
        <v>129399123</v>
      </c>
      <c r="E107" s="582">
        <f t="shared" si="57"/>
        <v>14711278</v>
      </c>
      <c r="F107" s="582">
        <f t="shared" si="57"/>
        <v>6469956.1500000004</v>
      </c>
      <c r="G107" s="582">
        <f t="shared" si="57"/>
        <v>0</v>
      </c>
      <c r="H107" s="582">
        <f t="shared" si="57"/>
        <v>2292292</v>
      </c>
      <c r="I107" s="582">
        <f t="shared" si="57"/>
        <v>23473526.149999999</v>
      </c>
      <c r="J107" s="582">
        <f t="shared" si="57"/>
        <v>105925596.85000001</v>
      </c>
      <c r="K107" s="582">
        <f t="shared" si="57"/>
        <v>8474047</v>
      </c>
      <c r="L107" s="582">
        <f t="shared" si="57"/>
        <v>97451551</v>
      </c>
      <c r="M107" s="582">
        <f t="shared" si="57"/>
        <v>97451551</v>
      </c>
      <c r="N107" s="582">
        <f t="shared" si="57"/>
        <v>0</v>
      </c>
    </row>
    <row r="108" spans="1:14" x14ac:dyDescent="0.25">
      <c r="A108" s="429" t="s">
        <v>257</v>
      </c>
      <c r="B108" s="358">
        <v>27701852</v>
      </c>
      <c r="C108" s="555"/>
      <c r="D108" s="358">
        <f t="shared" ref="D108:D117" si="58">SUM(B108:C108)</f>
        <v>27701852</v>
      </c>
      <c r="E108" s="358">
        <v>11466604</v>
      </c>
      <c r="F108" s="358">
        <f t="shared" ref="F108:F119" si="59">B108*5%</f>
        <v>1385092.6</v>
      </c>
      <c r="G108" s="358"/>
      <c r="H108" s="358">
        <v>9296900</v>
      </c>
      <c r="I108" s="358">
        <f>SUM(E108:H108)</f>
        <v>22148596.600000001</v>
      </c>
      <c r="J108" s="358">
        <f t="shared" ref="J108:J119" si="60">D108-I108</f>
        <v>5553255.3999999985</v>
      </c>
      <c r="K108" s="359">
        <f t="shared" ref="K108:K115" si="61">ROUND(J108*8%,0)</f>
        <v>444260</v>
      </c>
      <c r="L108" s="358">
        <f t="shared" ref="L108:L115" si="62">ROUND(J108-K108,0)</f>
        <v>5108995</v>
      </c>
      <c r="M108" s="116">
        <f>5000000+108995</f>
        <v>5108995</v>
      </c>
      <c r="N108" s="358">
        <f>L108-M108</f>
        <v>0</v>
      </c>
    </row>
    <row r="109" spans="1:14" x14ac:dyDescent="0.25">
      <c r="A109" s="429" t="s">
        <v>257</v>
      </c>
      <c r="B109" s="358">
        <v>11872222</v>
      </c>
      <c r="C109" s="555"/>
      <c r="D109" s="358">
        <f t="shared" si="58"/>
        <v>11872222</v>
      </c>
      <c r="E109" s="358">
        <v>7631500</v>
      </c>
      <c r="F109" s="358">
        <f t="shared" si="59"/>
        <v>593611.1</v>
      </c>
      <c r="G109" s="358"/>
      <c r="H109" s="358"/>
      <c r="I109" s="358">
        <f>SUM(E109:H109)</f>
        <v>8225111.0999999996</v>
      </c>
      <c r="J109" s="358">
        <f t="shared" si="60"/>
        <v>3647110.9000000004</v>
      </c>
      <c r="K109" s="359">
        <f t="shared" si="61"/>
        <v>291769</v>
      </c>
      <c r="L109" s="358">
        <f t="shared" si="62"/>
        <v>3355342</v>
      </c>
      <c r="M109" s="116">
        <f>2391501+963841</f>
        <v>3355342</v>
      </c>
      <c r="N109" s="358">
        <f t="shared" ref="N109:N115" si="63">L109-M109</f>
        <v>0</v>
      </c>
    </row>
    <row r="110" spans="1:14" x14ac:dyDescent="0.25">
      <c r="A110" s="429" t="s">
        <v>257</v>
      </c>
      <c r="B110" s="358">
        <v>72848437</v>
      </c>
      <c r="C110" s="555"/>
      <c r="D110" s="358">
        <f t="shared" si="58"/>
        <v>72848437</v>
      </c>
      <c r="E110" s="358">
        <v>56847621</v>
      </c>
      <c r="F110" s="358">
        <f t="shared" si="59"/>
        <v>3642421.85</v>
      </c>
      <c r="G110" s="358"/>
      <c r="H110" s="358">
        <v>11825700</v>
      </c>
      <c r="I110" s="358">
        <f>SUM(E110:H110)</f>
        <v>72315742.849999994</v>
      </c>
      <c r="J110" s="358">
        <f t="shared" si="60"/>
        <v>532694.15000000596</v>
      </c>
      <c r="K110" s="359">
        <f t="shared" si="61"/>
        <v>42616</v>
      </c>
      <c r="L110" s="358">
        <f t="shared" si="62"/>
        <v>490078</v>
      </c>
      <c r="M110" s="116">
        <v>490078</v>
      </c>
      <c r="N110" s="358">
        <f t="shared" si="63"/>
        <v>0</v>
      </c>
    </row>
    <row r="111" spans="1:14" x14ac:dyDescent="0.25">
      <c r="A111" s="429" t="s">
        <v>257</v>
      </c>
      <c r="B111" s="358">
        <v>31220759</v>
      </c>
      <c r="C111" s="555"/>
      <c r="D111" s="358">
        <f t="shared" si="58"/>
        <v>31220759</v>
      </c>
      <c r="E111" s="358">
        <v>28406350</v>
      </c>
      <c r="F111" s="358">
        <f t="shared" si="59"/>
        <v>1561037.9500000002</v>
      </c>
      <c r="G111" s="358"/>
      <c r="H111" s="358">
        <v>0</v>
      </c>
      <c r="I111" s="358">
        <f>SUM(E111:H111)</f>
        <v>29967387.949999999</v>
      </c>
      <c r="J111" s="358">
        <f t="shared" si="60"/>
        <v>1253371.0500000007</v>
      </c>
      <c r="K111" s="359">
        <f t="shared" si="61"/>
        <v>100270</v>
      </c>
      <c r="L111" s="358">
        <f t="shared" si="62"/>
        <v>1153101</v>
      </c>
      <c r="M111" s="116">
        <v>1153101</v>
      </c>
      <c r="N111" s="358">
        <f t="shared" si="63"/>
        <v>0</v>
      </c>
    </row>
    <row r="112" spans="1:14" x14ac:dyDescent="0.25">
      <c r="A112" s="429" t="s">
        <v>257</v>
      </c>
      <c r="B112" s="358">
        <v>25314308</v>
      </c>
      <c r="C112" s="555"/>
      <c r="D112" s="358">
        <f t="shared" si="58"/>
        <v>25314308</v>
      </c>
      <c r="E112" s="358">
        <v>18228188</v>
      </c>
      <c r="F112" s="358">
        <f t="shared" si="59"/>
        <v>1265715.4000000001</v>
      </c>
      <c r="G112" s="358">
        <v>3494233</v>
      </c>
      <c r="H112" s="358">
        <v>0</v>
      </c>
      <c r="I112" s="358">
        <f t="shared" ref="I112:I117" si="64">SUM(E112:H112)</f>
        <v>22988136.399999999</v>
      </c>
      <c r="J112" s="358">
        <f t="shared" si="60"/>
        <v>2326171.6000000015</v>
      </c>
      <c r="K112" s="359">
        <f t="shared" si="61"/>
        <v>186094</v>
      </c>
      <c r="L112" s="358">
        <f t="shared" si="62"/>
        <v>2140078</v>
      </c>
      <c r="M112" s="116">
        <v>2140078</v>
      </c>
      <c r="N112" s="358">
        <f t="shared" si="63"/>
        <v>0</v>
      </c>
    </row>
    <row r="113" spans="1:14" x14ac:dyDescent="0.25">
      <c r="A113" s="429" t="s">
        <v>257</v>
      </c>
      <c r="B113" s="358">
        <v>10848989</v>
      </c>
      <c r="C113" s="555"/>
      <c r="D113" s="358">
        <f t="shared" si="58"/>
        <v>10848989</v>
      </c>
      <c r="E113" s="358"/>
      <c r="F113" s="358">
        <f t="shared" si="59"/>
        <v>542449.45000000007</v>
      </c>
      <c r="G113" s="358">
        <v>9000000</v>
      </c>
      <c r="H113" s="358"/>
      <c r="I113" s="358">
        <f t="shared" si="64"/>
        <v>9542449.4499999993</v>
      </c>
      <c r="J113" s="358">
        <f t="shared" si="60"/>
        <v>1306539.5500000007</v>
      </c>
      <c r="K113" s="359">
        <f t="shared" si="61"/>
        <v>104523</v>
      </c>
      <c r="L113" s="358">
        <f t="shared" si="62"/>
        <v>1202017</v>
      </c>
      <c r="M113" s="116">
        <v>1202017</v>
      </c>
      <c r="N113" s="358">
        <f t="shared" si="63"/>
        <v>0</v>
      </c>
    </row>
    <row r="114" spans="1:14" x14ac:dyDescent="0.25">
      <c r="A114" s="429" t="s">
        <v>257</v>
      </c>
      <c r="B114" s="358">
        <v>10410780</v>
      </c>
      <c r="C114" s="555"/>
      <c r="D114" s="358">
        <f t="shared" si="58"/>
        <v>10410780</v>
      </c>
      <c r="E114" s="358">
        <v>1570750</v>
      </c>
      <c r="F114" s="358">
        <f t="shared" si="59"/>
        <v>520539</v>
      </c>
      <c r="G114" s="358"/>
      <c r="H114" s="358">
        <v>8154600</v>
      </c>
      <c r="I114" s="358">
        <f t="shared" si="64"/>
        <v>10245889</v>
      </c>
      <c r="J114" s="358">
        <f t="shared" si="60"/>
        <v>164891</v>
      </c>
      <c r="K114" s="359">
        <f t="shared" si="61"/>
        <v>13191</v>
      </c>
      <c r="L114" s="358">
        <f t="shared" si="62"/>
        <v>151700</v>
      </c>
      <c r="M114" s="116">
        <v>151700</v>
      </c>
      <c r="N114" s="358">
        <f t="shared" si="63"/>
        <v>0</v>
      </c>
    </row>
    <row r="115" spans="1:14" x14ac:dyDescent="0.25">
      <c r="A115" s="429" t="s">
        <v>257</v>
      </c>
      <c r="B115" s="358">
        <v>4461763</v>
      </c>
      <c r="C115" s="555"/>
      <c r="D115" s="358">
        <f t="shared" si="58"/>
        <v>4461763</v>
      </c>
      <c r="E115" s="358"/>
      <c r="F115" s="541">
        <f t="shared" si="59"/>
        <v>223088.15000000002</v>
      </c>
      <c r="G115" s="358"/>
      <c r="H115" s="358"/>
      <c r="I115" s="358">
        <f t="shared" si="64"/>
        <v>223088.15000000002</v>
      </c>
      <c r="J115" s="358">
        <f t="shared" si="60"/>
        <v>4238674.8499999996</v>
      </c>
      <c r="K115" s="359">
        <f t="shared" si="61"/>
        <v>339094</v>
      </c>
      <c r="L115" s="358">
        <f t="shared" si="62"/>
        <v>3899581</v>
      </c>
      <c r="M115" s="116">
        <v>3899581</v>
      </c>
      <c r="N115" s="358">
        <f t="shared" si="63"/>
        <v>0</v>
      </c>
    </row>
    <row r="116" spans="1:14" x14ac:dyDescent="0.25">
      <c r="A116" s="429" t="s">
        <v>257</v>
      </c>
      <c r="B116" s="358">
        <v>1860668</v>
      </c>
      <c r="C116" s="555"/>
      <c r="D116" s="358">
        <f t="shared" si="58"/>
        <v>1860668</v>
      </c>
      <c r="E116" s="358"/>
      <c r="F116" s="647">
        <f t="shared" si="59"/>
        <v>93033.400000000009</v>
      </c>
      <c r="G116" s="645"/>
      <c r="H116" s="645"/>
      <c r="I116" s="358">
        <f t="shared" si="64"/>
        <v>93033.400000000009</v>
      </c>
      <c r="J116" s="358">
        <f t="shared" si="60"/>
        <v>1767634.6</v>
      </c>
      <c r="K116" s="359">
        <f>ROUND(J116*8%,0)</f>
        <v>141411</v>
      </c>
      <c r="L116" s="358">
        <f>ROUND(J116-K116,0)</f>
        <v>1626224</v>
      </c>
      <c r="M116" s="116">
        <v>1626224</v>
      </c>
      <c r="N116" s="358">
        <f>L116-M116</f>
        <v>0</v>
      </c>
    </row>
    <row r="117" spans="1:14" x14ac:dyDescent="0.25">
      <c r="A117" s="429" t="s">
        <v>257</v>
      </c>
      <c r="B117" s="358">
        <v>797430</v>
      </c>
      <c r="C117" s="555"/>
      <c r="D117" s="358">
        <f t="shared" si="58"/>
        <v>797430</v>
      </c>
      <c r="E117" s="358"/>
      <c r="F117" s="647">
        <f t="shared" si="59"/>
        <v>39871.5</v>
      </c>
      <c r="G117" s="645"/>
      <c r="H117" s="645"/>
      <c r="I117" s="358">
        <f t="shared" si="64"/>
        <v>39871.5</v>
      </c>
      <c r="J117" s="358">
        <f t="shared" si="60"/>
        <v>757558.5</v>
      </c>
      <c r="K117" s="359">
        <f>ROUND(J117*8%,0)</f>
        <v>60605</v>
      </c>
      <c r="L117" s="358">
        <f>ROUND(J117-K117,0)</f>
        <v>696954</v>
      </c>
      <c r="M117" s="116">
        <v>696954</v>
      </c>
      <c r="N117" s="358">
        <f>L117-M117</f>
        <v>0</v>
      </c>
    </row>
    <row r="118" spans="1:14" x14ac:dyDescent="0.25">
      <c r="A118" s="429" t="s">
        <v>257</v>
      </c>
      <c r="B118" s="358">
        <v>8034592</v>
      </c>
      <c r="C118" s="555"/>
      <c r="D118" s="358">
        <f t="shared" ref="D118:D119" si="65">SUM(B118:C118)</f>
        <v>8034592</v>
      </c>
      <c r="E118" s="358"/>
      <c r="F118" s="648">
        <f t="shared" si="59"/>
        <v>401729.60000000003</v>
      </c>
      <c r="G118" s="645">
        <v>-12494233</v>
      </c>
      <c r="H118" s="645"/>
      <c r="I118" s="358">
        <f t="shared" ref="I118:I119" si="66">SUM(E118:H118)</f>
        <v>-12092503.4</v>
      </c>
      <c r="J118" s="358">
        <f t="shared" si="60"/>
        <v>20127095.399999999</v>
      </c>
      <c r="K118" s="359">
        <f>ROUND(J118*8%,0)</f>
        <v>1610168</v>
      </c>
      <c r="L118" s="358">
        <f>ROUND(J118-K118,0)</f>
        <v>18516927</v>
      </c>
      <c r="M118" s="116">
        <v>18516927</v>
      </c>
      <c r="N118" s="358">
        <f>L118-M118</f>
        <v>0</v>
      </c>
    </row>
    <row r="119" spans="1:14" x14ac:dyDescent="0.25">
      <c r="A119" s="429" t="s">
        <v>257</v>
      </c>
      <c r="B119" s="358">
        <v>3443395</v>
      </c>
      <c r="C119" s="555"/>
      <c r="D119" s="358">
        <f t="shared" si="65"/>
        <v>3443395</v>
      </c>
      <c r="E119" s="358"/>
      <c r="F119" s="648">
        <f t="shared" si="59"/>
        <v>172169.75</v>
      </c>
      <c r="G119" s="645"/>
      <c r="H119" s="645"/>
      <c r="I119" s="358">
        <f t="shared" si="66"/>
        <v>172169.75</v>
      </c>
      <c r="J119" s="358">
        <f t="shared" si="60"/>
        <v>3271225.25</v>
      </c>
      <c r="K119" s="359">
        <f>ROUND(J119*8%,0)</f>
        <v>261698</v>
      </c>
      <c r="L119" s="358">
        <f>ROUND(J119-K119,0)</f>
        <v>3009527</v>
      </c>
      <c r="M119" s="116"/>
      <c r="N119" s="358">
        <f>L119-M119</f>
        <v>3009527</v>
      </c>
    </row>
    <row r="120" spans="1:14" x14ac:dyDescent="0.25">
      <c r="A120" s="429"/>
      <c r="B120" s="582">
        <f t="shared" ref="B120:N120" si="67">SUM(B108:B119)</f>
        <v>208815195</v>
      </c>
      <c r="C120" s="582">
        <f t="shared" si="67"/>
        <v>0</v>
      </c>
      <c r="D120" s="582">
        <f t="shared" si="67"/>
        <v>208815195</v>
      </c>
      <c r="E120" s="582">
        <f t="shared" si="67"/>
        <v>124151013</v>
      </c>
      <c r="F120" s="582">
        <f t="shared" si="67"/>
        <v>10440759.75</v>
      </c>
      <c r="G120" s="582">
        <f t="shared" si="67"/>
        <v>0</v>
      </c>
      <c r="H120" s="582">
        <f t="shared" si="67"/>
        <v>29277200</v>
      </c>
      <c r="I120" s="582">
        <f t="shared" si="67"/>
        <v>163868972.75</v>
      </c>
      <c r="J120" s="582">
        <f t="shared" si="67"/>
        <v>44946222.250000007</v>
      </c>
      <c r="K120" s="582">
        <f t="shared" si="67"/>
        <v>3595699</v>
      </c>
      <c r="L120" s="582">
        <f t="shared" si="67"/>
        <v>41350524</v>
      </c>
      <c r="M120" s="582">
        <f t="shared" si="67"/>
        <v>38340997</v>
      </c>
      <c r="N120" s="582">
        <f t="shared" si="67"/>
        <v>3009527</v>
      </c>
    </row>
    <row r="121" spans="1:14" x14ac:dyDescent="0.25">
      <c r="A121" s="429" t="s">
        <v>560</v>
      </c>
      <c r="B121" s="358">
        <v>5715285</v>
      </c>
      <c r="C121" s="555"/>
      <c r="D121" s="358">
        <f t="shared" ref="D121:D128" si="68">SUM(B121:C121)</f>
        <v>5715285</v>
      </c>
      <c r="E121" s="358"/>
      <c r="F121" s="358">
        <f t="shared" ref="F121:F129" si="69">B121*5%</f>
        <v>285764.25</v>
      </c>
      <c r="G121" s="358"/>
      <c r="H121" s="358"/>
      <c r="I121" s="358">
        <f>SUM(E121:H121)</f>
        <v>285764.25</v>
      </c>
      <c r="J121" s="358">
        <f t="shared" ref="J121:J129" si="70">D121-I121</f>
        <v>5429520.75</v>
      </c>
      <c r="K121" s="359">
        <f t="shared" ref="K121:K129" si="71">ROUND(J121*8%,0)</f>
        <v>434362</v>
      </c>
      <c r="L121" s="358">
        <f t="shared" ref="L121:L129" si="72">ROUND(J121-K121,0)</f>
        <v>4995159</v>
      </c>
      <c r="M121" s="358">
        <v>4995159</v>
      </c>
      <c r="N121" s="358">
        <f t="shared" ref="N121:N129" si="73">L121-M121</f>
        <v>0</v>
      </c>
    </row>
    <row r="122" spans="1:14" x14ac:dyDescent="0.25">
      <c r="A122" s="429" t="s">
        <v>560</v>
      </c>
      <c r="B122" s="358">
        <v>319668</v>
      </c>
      <c r="C122" s="555"/>
      <c r="D122" s="358">
        <f t="shared" si="68"/>
        <v>319668</v>
      </c>
      <c r="E122" s="358"/>
      <c r="F122" s="358">
        <f t="shared" si="69"/>
        <v>15983.400000000001</v>
      </c>
      <c r="G122" s="358"/>
      <c r="H122" s="358"/>
      <c r="I122" s="358">
        <f t="shared" ref="I122:I129" si="74">SUM(E122:H122)</f>
        <v>15983.400000000001</v>
      </c>
      <c r="J122" s="358">
        <f t="shared" si="70"/>
        <v>303684.59999999998</v>
      </c>
      <c r="K122" s="359">
        <f t="shared" si="71"/>
        <v>24295</v>
      </c>
      <c r="L122" s="358">
        <f t="shared" si="72"/>
        <v>279390</v>
      </c>
      <c r="M122" s="358">
        <v>279390</v>
      </c>
      <c r="N122" s="358">
        <f t="shared" si="73"/>
        <v>0</v>
      </c>
    </row>
    <row r="123" spans="1:14" x14ac:dyDescent="0.25">
      <c r="A123" s="429" t="s">
        <v>560</v>
      </c>
      <c r="B123" s="358">
        <v>3616029</v>
      </c>
      <c r="C123" s="555"/>
      <c r="D123" s="358">
        <f t="shared" si="68"/>
        <v>3616029</v>
      </c>
      <c r="E123" s="358"/>
      <c r="F123" s="358">
        <f t="shared" si="69"/>
        <v>180801.45</v>
      </c>
      <c r="G123" s="358"/>
      <c r="H123" s="358">
        <v>1206000</v>
      </c>
      <c r="I123" s="358">
        <f t="shared" si="74"/>
        <v>1386801.45</v>
      </c>
      <c r="J123" s="358">
        <f t="shared" si="70"/>
        <v>2229227.5499999998</v>
      </c>
      <c r="K123" s="359">
        <f t="shared" si="71"/>
        <v>178338</v>
      </c>
      <c r="L123" s="358">
        <f t="shared" si="72"/>
        <v>2050890</v>
      </c>
      <c r="M123" s="358">
        <v>2050890</v>
      </c>
      <c r="N123" s="358">
        <f t="shared" si="73"/>
        <v>0</v>
      </c>
    </row>
    <row r="124" spans="1:14" x14ac:dyDescent="0.25">
      <c r="A124" s="429" t="s">
        <v>560</v>
      </c>
      <c r="B124" s="358">
        <v>1597069</v>
      </c>
      <c r="C124" s="555"/>
      <c r="D124" s="358">
        <f t="shared" si="68"/>
        <v>1597069</v>
      </c>
      <c r="E124" s="358"/>
      <c r="F124" s="358">
        <f t="shared" si="69"/>
        <v>79853.450000000012</v>
      </c>
      <c r="G124" s="358"/>
      <c r="H124" s="358">
        <v>1336650</v>
      </c>
      <c r="I124" s="358">
        <f t="shared" si="74"/>
        <v>1416503.45</v>
      </c>
      <c r="J124" s="358">
        <f t="shared" si="70"/>
        <v>180565.55000000005</v>
      </c>
      <c r="K124" s="359">
        <f t="shared" si="71"/>
        <v>14445</v>
      </c>
      <c r="L124" s="358">
        <f t="shared" si="72"/>
        <v>166121</v>
      </c>
      <c r="M124" s="358">
        <v>166121</v>
      </c>
      <c r="N124" s="358">
        <f t="shared" si="73"/>
        <v>0</v>
      </c>
    </row>
    <row r="125" spans="1:14" x14ac:dyDescent="0.25">
      <c r="A125" s="429" t="s">
        <v>560</v>
      </c>
      <c r="B125" s="358">
        <v>962971</v>
      </c>
      <c r="C125" s="555"/>
      <c r="D125" s="358">
        <f t="shared" si="68"/>
        <v>962971</v>
      </c>
      <c r="E125" s="358"/>
      <c r="F125" s="358">
        <f t="shared" si="69"/>
        <v>48148.55</v>
      </c>
      <c r="G125" s="358"/>
      <c r="H125" s="358"/>
      <c r="I125" s="358">
        <f t="shared" si="74"/>
        <v>48148.55</v>
      </c>
      <c r="J125" s="358">
        <f t="shared" si="70"/>
        <v>914822.45</v>
      </c>
      <c r="K125" s="359">
        <f t="shared" si="71"/>
        <v>73186</v>
      </c>
      <c r="L125" s="358">
        <f t="shared" si="72"/>
        <v>841636</v>
      </c>
      <c r="M125" s="358">
        <v>885933</v>
      </c>
      <c r="N125" s="358">
        <f t="shared" si="73"/>
        <v>-44297</v>
      </c>
    </row>
    <row r="126" spans="1:14" x14ac:dyDescent="0.25">
      <c r="A126" s="429" t="s">
        <v>560</v>
      </c>
      <c r="B126" s="358">
        <v>1044288</v>
      </c>
      <c r="C126" s="555"/>
      <c r="D126" s="358">
        <f t="shared" si="68"/>
        <v>1044288</v>
      </c>
      <c r="E126" s="358"/>
      <c r="F126" s="358">
        <f t="shared" si="69"/>
        <v>52214.400000000001</v>
      </c>
      <c r="G126" s="358"/>
      <c r="H126" s="358"/>
      <c r="I126" s="358">
        <f t="shared" si="74"/>
        <v>52214.400000000001</v>
      </c>
      <c r="J126" s="358">
        <f t="shared" si="70"/>
        <v>992073.6</v>
      </c>
      <c r="K126" s="359">
        <f t="shared" si="71"/>
        <v>79366</v>
      </c>
      <c r="L126" s="358">
        <f t="shared" si="72"/>
        <v>912708</v>
      </c>
      <c r="M126" s="358">
        <f>868411+44304</f>
        <v>912715</v>
      </c>
      <c r="N126" s="358">
        <f t="shared" si="73"/>
        <v>-7</v>
      </c>
    </row>
    <row r="127" spans="1:14" x14ac:dyDescent="0.25">
      <c r="A127" s="429" t="s">
        <v>560</v>
      </c>
      <c r="B127" s="358">
        <v>45625</v>
      </c>
      <c r="C127" s="555"/>
      <c r="D127" s="358">
        <f t="shared" si="68"/>
        <v>45625</v>
      </c>
      <c r="E127" s="358"/>
      <c r="F127" s="358">
        <f t="shared" si="69"/>
        <v>2281.25</v>
      </c>
      <c r="G127" s="358"/>
      <c r="H127" s="358">
        <v>0</v>
      </c>
      <c r="I127" s="358">
        <f t="shared" si="74"/>
        <v>2281.25</v>
      </c>
      <c r="J127" s="358">
        <f t="shared" si="70"/>
        <v>43343.75</v>
      </c>
      <c r="K127" s="359">
        <f t="shared" si="71"/>
        <v>3468</v>
      </c>
      <c r="L127" s="358">
        <f t="shared" si="72"/>
        <v>39876</v>
      </c>
      <c r="M127" s="358">
        <v>39876</v>
      </c>
      <c r="N127" s="358">
        <f t="shared" si="73"/>
        <v>0</v>
      </c>
    </row>
    <row r="128" spans="1:14" x14ac:dyDescent="0.25">
      <c r="A128" s="429" t="s">
        <v>560</v>
      </c>
      <c r="B128" s="358">
        <v>834598</v>
      </c>
      <c r="C128" s="555"/>
      <c r="D128" s="358">
        <f t="shared" si="68"/>
        <v>834598</v>
      </c>
      <c r="E128" s="358"/>
      <c r="F128" s="358">
        <f t="shared" si="69"/>
        <v>41729.9</v>
      </c>
      <c r="G128" s="358"/>
      <c r="H128" s="358">
        <v>442200</v>
      </c>
      <c r="I128" s="358">
        <f t="shared" si="74"/>
        <v>483929.9</v>
      </c>
      <c r="J128" s="358">
        <f t="shared" si="70"/>
        <v>350668.1</v>
      </c>
      <c r="K128" s="359">
        <f t="shared" si="71"/>
        <v>28053</v>
      </c>
      <c r="L128" s="358">
        <f t="shared" si="72"/>
        <v>322615</v>
      </c>
      <c r="M128" s="358">
        <v>278311</v>
      </c>
      <c r="N128" s="358">
        <f t="shared" si="73"/>
        <v>44304</v>
      </c>
    </row>
    <row r="129" spans="1:14" x14ac:dyDescent="0.25">
      <c r="A129" s="429" t="s">
        <v>560</v>
      </c>
      <c r="B129" s="358">
        <v>261825</v>
      </c>
      <c r="C129" s="555"/>
      <c r="D129" s="358">
        <f>SUM(B129:C129)</f>
        <v>261825</v>
      </c>
      <c r="E129" s="358"/>
      <c r="F129" s="358">
        <f t="shared" si="69"/>
        <v>13091.25</v>
      </c>
      <c r="G129" s="358"/>
      <c r="H129" s="358">
        <v>0</v>
      </c>
      <c r="I129" s="358">
        <f t="shared" si="74"/>
        <v>13091.25</v>
      </c>
      <c r="J129" s="358">
        <f t="shared" si="70"/>
        <v>248733.75</v>
      </c>
      <c r="K129" s="359">
        <f t="shared" si="71"/>
        <v>19899</v>
      </c>
      <c r="L129" s="358">
        <f t="shared" si="72"/>
        <v>228835</v>
      </c>
      <c r="M129" s="358">
        <v>228835</v>
      </c>
      <c r="N129" s="358">
        <f t="shared" si="73"/>
        <v>0</v>
      </c>
    </row>
    <row r="130" spans="1:14" x14ac:dyDescent="0.25">
      <c r="A130" s="429" t="s">
        <v>560</v>
      </c>
      <c r="B130" s="360">
        <f>SUM(B121:B129)</f>
        <v>14397358</v>
      </c>
      <c r="C130" s="556">
        <f t="shared" ref="C130:N130" si="75">SUM(C121:C129)</f>
        <v>0</v>
      </c>
      <c r="D130" s="360">
        <f t="shared" si="75"/>
        <v>14397358</v>
      </c>
      <c r="E130" s="360">
        <f t="shared" si="75"/>
        <v>0</v>
      </c>
      <c r="F130" s="360">
        <f t="shared" si="75"/>
        <v>719867.90000000014</v>
      </c>
      <c r="G130" s="360"/>
      <c r="H130" s="360">
        <f t="shared" si="75"/>
        <v>2984850</v>
      </c>
      <c r="I130" s="360">
        <f t="shared" si="75"/>
        <v>3704717.8999999994</v>
      </c>
      <c r="J130" s="360">
        <f t="shared" si="75"/>
        <v>10692640.099999998</v>
      </c>
      <c r="K130" s="360">
        <f t="shared" si="75"/>
        <v>855412</v>
      </c>
      <c r="L130" s="360">
        <f t="shared" si="75"/>
        <v>9837230</v>
      </c>
      <c r="M130" s="360">
        <f t="shared" si="75"/>
        <v>9837230</v>
      </c>
      <c r="N130" s="360">
        <f t="shared" si="75"/>
        <v>0</v>
      </c>
    </row>
    <row r="131" spans="1:14" x14ac:dyDescent="0.25">
      <c r="A131" s="429" t="s">
        <v>560</v>
      </c>
      <c r="B131" s="358">
        <v>1660699</v>
      </c>
      <c r="C131" s="555"/>
      <c r="D131" s="358">
        <f t="shared" ref="D131:D137" si="76">SUM(B131:C131)</f>
        <v>1660699</v>
      </c>
      <c r="E131" s="358"/>
      <c r="F131" s="358">
        <f t="shared" ref="F131:F137" si="77">B131*5%</f>
        <v>83034.950000000012</v>
      </c>
      <c r="G131" s="358"/>
      <c r="H131" s="358"/>
      <c r="I131" s="358">
        <f t="shared" ref="I131:I137" si="78">SUM(E131:H131)</f>
        <v>83034.950000000012</v>
      </c>
      <c r="J131" s="358">
        <f t="shared" ref="J131:J137" si="79">D131-I131</f>
        <v>1577664.05</v>
      </c>
      <c r="K131" s="359">
        <f t="shared" ref="K131:K137" si="80">ROUND(J131*8%,0)</f>
        <v>126213</v>
      </c>
      <c r="L131" s="358">
        <f t="shared" ref="L131:L137" si="81">ROUND(J131-K131,0)</f>
        <v>1451451</v>
      </c>
      <c r="M131" s="358">
        <v>1451451</v>
      </c>
      <c r="N131" s="358">
        <f t="shared" ref="N131:N137" si="82">L131-M131</f>
        <v>0</v>
      </c>
    </row>
    <row r="132" spans="1:14" x14ac:dyDescent="0.25">
      <c r="A132" s="429" t="s">
        <v>560</v>
      </c>
      <c r="B132" s="358">
        <v>3224773</v>
      </c>
      <c r="C132" s="555"/>
      <c r="D132" s="358">
        <f t="shared" si="76"/>
        <v>3224773</v>
      </c>
      <c r="E132" s="358"/>
      <c r="F132" s="358">
        <f t="shared" si="77"/>
        <v>161238.65000000002</v>
      </c>
      <c r="G132" s="358"/>
      <c r="H132" s="358"/>
      <c r="I132" s="358">
        <f t="shared" si="78"/>
        <v>161238.65000000002</v>
      </c>
      <c r="J132" s="358">
        <f t="shared" si="79"/>
        <v>3063534.35</v>
      </c>
      <c r="K132" s="359">
        <f t="shared" si="80"/>
        <v>245083</v>
      </c>
      <c r="L132" s="358">
        <f t="shared" si="81"/>
        <v>2818451</v>
      </c>
      <c r="M132" s="358">
        <v>2818451</v>
      </c>
      <c r="N132" s="358">
        <f t="shared" si="82"/>
        <v>0</v>
      </c>
    </row>
    <row r="133" spans="1:14" x14ac:dyDescent="0.25">
      <c r="A133" s="429" t="s">
        <v>560</v>
      </c>
      <c r="B133" s="358">
        <v>1244104</v>
      </c>
      <c r="C133" s="555"/>
      <c r="D133" s="358">
        <f t="shared" si="76"/>
        <v>1244104</v>
      </c>
      <c r="E133" s="358"/>
      <c r="F133" s="358">
        <f t="shared" si="77"/>
        <v>62205.200000000004</v>
      </c>
      <c r="G133" s="358"/>
      <c r="H133" s="358"/>
      <c r="I133" s="358">
        <f t="shared" si="78"/>
        <v>62205.200000000004</v>
      </c>
      <c r="J133" s="358">
        <f t="shared" si="79"/>
        <v>1181898.8</v>
      </c>
      <c r="K133" s="359">
        <f t="shared" si="80"/>
        <v>94552</v>
      </c>
      <c r="L133" s="358">
        <f t="shared" si="81"/>
        <v>1087347</v>
      </c>
      <c r="M133" s="358">
        <v>1087347</v>
      </c>
      <c r="N133" s="358">
        <f t="shared" si="82"/>
        <v>0</v>
      </c>
    </row>
    <row r="134" spans="1:14" x14ac:dyDescent="0.25">
      <c r="A134" s="429" t="s">
        <v>560</v>
      </c>
      <c r="B134" s="358">
        <v>1484635</v>
      </c>
      <c r="C134" s="555"/>
      <c r="D134" s="358">
        <f t="shared" si="76"/>
        <v>1484635</v>
      </c>
      <c r="E134" s="358"/>
      <c r="F134" s="358">
        <f t="shared" si="77"/>
        <v>74231.75</v>
      </c>
      <c r="G134" s="358"/>
      <c r="H134" s="358"/>
      <c r="I134" s="358">
        <f t="shared" si="78"/>
        <v>74231.75</v>
      </c>
      <c r="J134" s="358">
        <f t="shared" si="79"/>
        <v>1410403.25</v>
      </c>
      <c r="K134" s="359">
        <f t="shared" si="80"/>
        <v>112832</v>
      </c>
      <c r="L134" s="358">
        <f t="shared" si="81"/>
        <v>1297571</v>
      </c>
      <c r="M134" s="358">
        <f>1500000-868411+665982</f>
        <v>1297571</v>
      </c>
      <c r="N134" s="358">
        <f t="shared" si="82"/>
        <v>0</v>
      </c>
    </row>
    <row r="135" spans="1:14" x14ac:dyDescent="0.25">
      <c r="A135" s="429" t="s">
        <v>560</v>
      </c>
      <c r="B135" s="358">
        <v>1765819</v>
      </c>
      <c r="C135" s="555"/>
      <c r="D135" s="358">
        <f t="shared" si="76"/>
        <v>1765819</v>
      </c>
      <c r="E135" s="358"/>
      <c r="F135" s="358">
        <f t="shared" si="77"/>
        <v>88290.950000000012</v>
      </c>
      <c r="G135" s="358"/>
      <c r="H135" s="358">
        <v>1339200</v>
      </c>
      <c r="I135" s="358">
        <f t="shared" si="78"/>
        <v>1427490.95</v>
      </c>
      <c r="J135" s="358">
        <f t="shared" si="79"/>
        <v>338328.05000000005</v>
      </c>
      <c r="K135" s="359">
        <f t="shared" si="80"/>
        <v>27066</v>
      </c>
      <c r="L135" s="358">
        <f t="shared" si="81"/>
        <v>311262</v>
      </c>
      <c r="M135" s="358">
        <f>311262</f>
        <v>311262</v>
      </c>
      <c r="N135" s="358">
        <f t="shared" si="82"/>
        <v>0</v>
      </c>
    </row>
    <row r="136" spans="1:14" x14ac:dyDescent="0.25">
      <c r="A136" s="429" t="s">
        <v>560</v>
      </c>
      <c r="B136" s="358">
        <v>1614114</v>
      </c>
      <c r="C136" s="555"/>
      <c r="D136" s="358">
        <f t="shared" si="76"/>
        <v>1614114</v>
      </c>
      <c r="E136" s="358"/>
      <c r="F136" s="358">
        <f t="shared" si="77"/>
        <v>80705.700000000012</v>
      </c>
      <c r="G136" s="358"/>
      <c r="H136" s="358">
        <v>0</v>
      </c>
      <c r="I136" s="358">
        <f t="shared" si="78"/>
        <v>80705.700000000012</v>
      </c>
      <c r="J136" s="358">
        <f t="shared" si="79"/>
        <v>1533408.3</v>
      </c>
      <c r="K136" s="359">
        <f t="shared" si="80"/>
        <v>122673</v>
      </c>
      <c r="L136" s="358">
        <f t="shared" si="81"/>
        <v>1410735</v>
      </c>
      <c r="M136" s="358">
        <v>1410735</v>
      </c>
      <c r="N136" s="358">
        <f t="shared" si="82"/>
        <v>0</v>
      </c>
    </row>
    <row r="137" spans="1:14" x14ac:dyDescent="0.25">
      <c r="A137" s="429" t="s">
        <v>560</v>
      </c>
      <c r="B137" s="358">
        <v>3134064</v>
      </c>
      <c r="C137" s="555"/>
      <c r="D137" s="358">
        <f t="shared" si="76"/>
        <v>3134064</v>
      </c>
      <c r="E137" s="358">
        <v>2869304</v>
      </c>
      <c r="F137" s="358">
        <f t="shared" si="77"/>
        <v>156703.20000000001</v>
      </c>
      <c r="G137" s="358"/>
      <c r="H137" s="358">
        <v>0</v>
      </c>
      <c r="I137" s="358">
        <f t="shared" si="78"/>
        <v>3026007.2</v>
      </c>
      <c r="J137" s="358">
        <f t="shared" si="79"/>
        <v>108056.79999999981</v>
      </c>
      <c r="K137" s="359">
        <f t="shared" si="80"/>
        <v>8645</v>
      </c>
      <c r="L137" s="358">
        <f t="shared" si="81"/>
        <v>99412</v>
      </c>
      <c r="M137" s="358">
        <v>99412</v>
      </c>
      <c r="N137" s="358">
        <f t="shared" si="82"/>
        <v>0</v>
      </c>
    </row>
    <row r="138" spans="1:14" x14ac:dyDescent="0.25">
      <c r="A138" s="429" t="s">
        <v>560</v>
      </c>
      <c r="B138" s="360">
        <f>SUM(B131:B137)</f>
        <v>14128208</v>
      </c>
      <c r="C138" s="556">
        <f t="shared" ref="C138:N138" si="83">SUM(C131:C137)</f>
        <v>0</v>
      </c>
      <c r="D138" s="360">
        <f t="shared" si="83"/>
        <v>14128208</v>
      </c>
      <c r="E138" s="360">
        <f t="shared" si="83"/>
        <v>2869304</v>
      </c>
      <c r="F138" s="360">
        <f t="shared" si="83"/>
        <v>706410.40000000014</v>
      </c>
      <c r="G138" s="360"/>
      <c r="H138" s="360">
        <f t="shared" si="83"/>
        <v>1339200</v>
      </c>
      <c r="I138" s="360">
        <f t="shared" si="83"/>
        <v>4914914.4000000004</v>
      </c>
      <c r="J138" s="360">
        <f t="shared" si="83"/>
        <v>9213293.6000000015</v>
      </c>
      <c r="K138" s="360">
        <f t="shared" si="83"/>
        <v>737064</v>
      </c>
      <c r="L138" s="360">
        <f t="shared" si="83"/>
        <v>8476229</v>
      </c>
      <c r="M138" s="360">
        <f t="shared" si="83"/>
        <v>8476229</v>
      </c>
      <c r="N138" s="360">
        <f t="shared" si="83"/>
        <v>0</v>
      </c>
    </row>
    <row r="139" spans="1:14" x14ac:dyDescent="0.25">
      <c r="A139" s="429" t="s">
        <v>560</v>
      </c>
      <c r="B139" s="358">
        <v>3699796</v>
      </c>
      <c r="C139" s="555"/>
      <c r="D139" s="358">
        <f>SUM(B139:C139)</f>
        <v>3699796</v>
      </c>
      <c r="E139" s="358"/>
      <c r="F139" s="358">
        <f>B139*5%</f>
        <v>184989.80000000002</v>
      </c>
      <c r="G139" s="358"/>
      <c r="H139" s="358"/>
      <c r="I139" s="358">
        <f>SUM(E139:H139)</f>
        <v>184989.80000000002</v>
      </c>
      <c r="J139" s="358">
        <f>D139-I139</f>
        <v>3514806.2</v>
      </c>
      <c r="K139" s="359">
        <f>ROUND(J139*8%,0)</f>
        <v>281184</v>
      </c>
      <c r="L139" s="358">
        <f>ROUND(J139-K139,0)</f>
        <v>3233622</v>
      </c>
      <c r="M139" s="358">
        <v>3233622</v>
      </c>
      <c r="N139" s="358">
        <f>L139-M139</f>
        <v>0</v>
      </c>
    </row>
    <row r="140" spans="1:14" x14ac:dyDescent="0.25">
      <c r="A140" s="429" t="s">
        <v>560</v>
      </c>
      <c r="B140" s="358">
        <v>872984</v>
      </c>
      <c r="C140" s="555"/>
      <c r="D140" s="358">
        <f>SUM(B140:C140)</f>
        <v>872984</v>
      </c>
      <c r="E140" s="358"/>
      <c r="F140" s="358">
        <f>B140*5%</f>
        <v>43649.200000000004</v>
      </c>
      <c r="G140" s="358"/>
      <c r="H140" s="358"/>
      <c r="I140" s="358">
        <f>SUM(E140:H140)</f>
        <v>43649.200000000004</v>
      </c>
      <c r="J140" s="358">
        <f>D140-I140</f>
        <v>829334.8</v>
      </c>
      <c r="K140" s="359">
        <f>ROUND(J140*8%,0)</f>
        <v>66347</v>
      </c>
      <c r="L140" s="358">
        <f>ROUND(J140-K140,0)</f>
        <v>762988</v>
      </c>
      <c r="M140" s="358">
        <v>762988</v>
      </c>
      <c r="N140" s="358">
        <f>L140-M140</f>
        <v>0</v>
      </c>
    </row>
    <row r="141" spans="1:14" x14ac:dyDescent="0.25">
      <c r="A141" s="429" t="s">
        <v>560</v>
      </c>
      <c r="B141" s="358">
        <v>6872362</v>
      </c>
      <c r="C141" s="555"/>
      <c r="D141" s="358">
        <f>SUM(B141:C141)</f>
        <v>6872362</v>
      </c>
      <c r="E141" s="358">
        <v>5672978</v>
      </c>
      <c r="F141" s="358">
        <f>B141*5%</f>
        <v>343618.10000000003</v>
      </c>
      <c r="G141" s="358"/>
      <c r="H141" s="358">
        <v>0</v>
      </c>
      <c r="I141" s="358">
        <f>SUM(E141:H141)</f>
        <v>6016596.0999999996</v>
      </c>
      <c r="J141" s="358">
        <f>D141-I141</f>
        <v>855765.90000000037</v>
      </c>
      <c r="K141" s="359">
        <f>ROUND(J141*8%,0)</f>
        <v>68461</v>
      </c>
      <c r="L141" s="358">
        <f>ROUND(J141-K141,0)</f>
        <v>787305</v>
      </c>
      <c r="M141" s="358">
        <v>787305</v>
      </c>
      <c r="N141" s="358">
        <f>L141-M141</f>
        <v>0</v>
      </c>
    </row>
    <row r="142" spans="1:14" x14ac:dyDescent="0.25">
      <c r="A142" s="429" t="s">
        <v>560</v>
      </c>
      <c r="B142" s="358">
        <v>1861204</v>
      </c>
      <c r="C142" s="555"/>
      <c r="D142" s="358">
        <f>SUM(B142:C142)</f>
        <v>1861204</v>
      </c>
      <c r="E142" s="358"/>
      <c r="F142" s="358">
        <f>B142*5%</f>
        <v>93060.200000000012</v>
      </c>
      <c r="G142" s="358"/>
      <c r="H142" s="358">
        <v>1386900</v>
      </c>
      <c r="I142" s="358">
        <f>SUM(E142:H142)</f>
        <v>1479960.2</v>
      </c>
      <c r="J142" s="358">
        <f>D142-I142</f>
        <v>381243.80000000005</v>
      </c>
      <c r="K142" s="359">
        <f>ROUND(J142*8%,0)</f>
        <v>30500</v>
      </c>
      <c r="L142" s="358">
        <f>ROUND(J142-K142,0)</f>
        <v>350744</v>
      </c>
      <c r="M142" s="358">
        <v>350744</v>
      </c>
      <c r="N142" s="358">
        <f>L142-M142</f>
        <v>0</v>
      </c>
    </row>
    <row r="143" spans="1:14" x14ac:dyDescent="0.25">
      <c r="A143" s="429" t="s">
        <v>560</v>
      </c>
      <c r="B143" s="360">
        <f>SUM(B139:B142)</f>
        <v>13306346</v>
      </c>
      <c r="C143" s="556">
        <f>SUM(C139:C142)</f>
        <v>0</v>
      </c>
      <c r="D143" s="360">
        <f>SUM(D139:D142)</f>
        <v>13306346</v>
      </c>
      <c r="E143" s="360">
        <f>SUM(E139:E142)</f>
        <v>5672978</v>
      </c>
      <c r="F143" s="360">
        <f>SUM(F139:F142)</f>
        <v>665317.30000000005</v>
      </c>
      <c r="G143" s="360"/>
      <c r="H143" s="360">
        <f t="shared" ref="H143:N143" si="84">SUM(H139:H142)</f>
        <v>1386900</v>
      </c>
      <c r="I143" s="360">
        <f t="shared" si="84"/>
        <v>7725195.2999999998</v>
      </c>
      <c r="J143" s="360">
        <f t="shared" si="84"/>
        <v>5581150.7000000002</v>
      </c>
      <c r="K143" s="360">
        <f t="shared" si="84"/>
        <v>446492</v>
      </c>
      <c r="L143" s="360">
        <f t="shared" si="84"/>
        <v>5134659</v>
      </c>
      <c r="M143" s="360">
        <f t="shared" si="84"/>
        <v>5134659</v>
      </c>
      <c r="N143" s="360">
        <f t="shared" si="84"/>
        <v>0</v>
      </c>
    </row>
    <row r="144" spans="1:14" x14ac:dyDescent="0.25">
      <c r="A144" s="429" t="s">
        <v>560</v>
      </c>
      <c r="B144" s="358">
        <v>7569125</v>
      </c>
      <c r="C144" s="555"/>
      <c r="D144" s="358">
        <f>SUM(B144:C144)</f>
        <v>7569125</v>
      </c>
      <c r="E144" s="358"/>
      <c r="F144" s="358">
        <f>B144*5%</f>
        <v>378456.25</v>
      </c>
      <c r="G144" s="358"/>
      <c r="H144" s="358">
        <v>4051800</v>
      </c>
      <c r="I144" s="358">
        <f>SUM(E144:H144)</f>
        <v>4430256.25</v>
      </c>
      <c r="J144" s="358">
        <f>D144-I144</f>
        <v>3138868.75</v>
      </c>
      <c r="K144" s="359">
        <f>ROUND(J144*8%,0)</f>
        <v>251110</v>
      </c>
      <c r="L144" s="358">
        <f>ROUND(J144-K144,0)</f>
        <v>2887759</v>
      </c>
      <c r="M144" s="358">
        <f>1500000+1738898-311262</f>
        <v>2927636</v>
      </c>
      <c r="N144" s="358">
        <f>L144-M144</f>
        <v>-39877</v>
      </c>
    </row>
    <row r="145" spans="1:14" x14ac:dyDescent="0.25">
      <c r="A145" s="429" t="s">
        <v>560</v>
      </c>
      <c r="B145" s="358">
        <v>3247788</v>
      </c>
      <c r="C145" s="555"/>
      <c r="D145" s="358">
        <f>SUM(B145:C145)</f>
        <v>3247788</v>
      </c>
      <c r="E145" s="358">
        <v>3035756</v>
      </c>
      <c r="F145" s="358">
        <f>B145*5%</f>
        <v>162389.40000000002</v>
      </c>
      <c r="G145" s="358"/>
      <c r="H145" s="358">
        <v>0</v>
      </c>
      <c r="I145" s="358">
        <f>SUM(E145:H145)</f>
        <v>3198145.4</v>
      </c>
      <c r="J145" s="358">
        <f>D145-I145</f>
        <v>49642.600000000093</v>
      </c>
      <c r="K145" s="359">
        <f>ROUND(J145*8%,0)</f>
        <v>3971</v>
      </c>
      <c r="L145" s="358">
        <f>ROUND(J145-K145,0)</f>
        <v>45672</v>
      </c>
      <c r="M145" s="358">
        <v>5795</v>
      </c>
      <c r="N145" s="358">
        <f>L145-M145</f>
        <v>39877</v>
      </c>
    </row>
    <row r="146" spans="1:14" x14ac:dyDescent="0.25">
      <c r="A146" s="429" t="s">
        <v>560</v>
      </c>
      <c r="B146" s="358">
        <v>3173609</v>
      </c>
      <c r="C146" s="555"/>
      <c r="D146" s="358">
        <f>SUM(B146:C146)</f>
        <v>3173609</v>
      </c>
      <c r="E146" s="358">
        <v>2673684</v>
      </c>
      <c r="F146" s="358">
        <f>B146*5%</f>
        <v>158680.45000000001</v>
      </c>
      <c r="G146" s="358"/>
      <c r="H146" s="358">
        <v>321600</v>
      </c>
      <c r="I146" s="358">
        <f>SUM(E146:H146)</f>
        <v>3153964.45</v>
      </c>
      <c r="J146" s="358">
        <f>D146-I146</f>
        <v>19644.549999999814</v>
      </c>
      <c r="K146" s="359">
        <f>ROUND(J146*8%,0)</f>
        <v>1572</v>
      </c>
      <c r="L146" s="358">
        <f>ROUND(J146-K146,0)</f>
        <v>18073</v>
      </c>
      <c r="M146" s="358">
        <v>18073</v>
      </c>
      <c r="N146" s="358">
        <f>L146-M146</f>
        <v>0</v>
      </c>
    </row>
    <row r="147" spans="1:14" x14ac:dyDescent="0.25">
      <c r="A147" s="429" t="s">
        <v>560</v>
      </c>
      <c r="B147" s="360">
        <f>SUM(B144:B146)</f>
        <v>13990522</v>
      </c>
      <c r="C147" s="556">
        <f t="shared" ref="C147:N147" si="85">SUM(C144:C146)</f>
        <v>0</v>
      </c>
      <c r="D147" s="360">
        <f t="shared" si="85"/>
        <v>13990522</v>
      </c>
      <c r="E147" s="360">
        <f t="shared" si="85"/>
        <v>5709440</v>
      </c>
      <c r="F147" s="360">
        <f t="shared" si="85"/>
        <v>699526.10000000009</v>
      </c>
      <c r="G147" s="360"/>
      <c r="H147" s="360">
        <f t="shared" si="85"/>
        <v>4373400</v>
      </c>
      <c r="I147" s="360">
        <f t="shared" si="85"/>
        <v>10782366.100000001</v>
      </c>
      <c r="J147" s="360">
        <f t="shared" si="85"/>
        <v>3208155.9</v>
      </c>
      <c r="K147" s="360">
        <f t="shared" si="85"/>
        <v>256653</v>
      </c>
      <c r="L147" s="360">
        <f t="shared" si="85"/>
        <v>2951504</v>
      </c>
      <c r="M147" s="360">
        <f t="shared" si="85"/>
        <v>2951504</v>
      </c>
      <c r="N147" s="360">
        <f t="shared" si="85"/>
        <v>0</v>
      </c>
    </row>
    <row r="148" spans="1:14" x14ac:dyDescent="0.25">
      <c r="A148" s="429" t="s">
        <v>560</v>
      </c>
      <c r="B148" s="358">
        <v>3684893</v>
      </c>
      <c r="C148" s="555"/>
      <c r="D148" s="358">
        <f>SUM(B148:C148)</f>
        <v>3684893</v>
      </c>
      <c r="E148" s="358">
        <v>0</v>
      </c>
      <c r="F148" s="358">
        <f>B148*5%</f>
        <v>184244.65000000002</v>
      </c>
      <c r="G148" s="358"/>
      <c r="H148" s="358">
        <v>0</v>
      </c>
      <c r="I148" s="358">
        <f>SUM(E148:H148)</f>
        <v>184244.65000000002</v>
      </c>
      <c r="J148" s="358">
        <f>D148-I148</f>
        <v>3500648.35</v>
      </c>
      <c r="K148" s="359">
        <f>ROUND(J148*8%,0)</f>
        <v>280052</v>
      </c>
      <c r="L148" s="358">
        <f>ROUND(J148-K148,0)</f>
        <v>3220596</v>
      </c>
      <c r="M148" s="358">
        <v>3220596</v>
      </c>
      <c r="N148" s="358">
        <f>L148-M148</f>
        <v>0</v>
      </c>
    </row>
    <row r="149" spans="1:14" x14ac:dyDescent="0.25">
      <c r="A149" s="429" t="s">
        <v>560</v>
      </c>
      <c r="B149" s="360">
        <f>SUM(B148)</f>
        <v>3684893</v>
      </c>
      <c r="C149" s="360">
        <f t="shared" ref="C149:N149" si="86">SUM(C148)</f>
        <v>0</v>
      </c>
      <c r="D149" s="360">
        <f t="shared" si="86"/>
        <v>3684893</v>
      </c>
      <c r="E149" s="360">
        <f t="shared" si="86"/>
        <v>0</v>
      </c>
      <c r="F149" s="360">
        <f t="shared" si="86"/>
        <v>184244.65000000002</v>
      </c>
      <c r="G149" s="360">
        <f t="shared" si="86"/>
        <v>0</v>
      </c>
      <c r="H149" s="360">
        <f t="shared" si="86"/>
        <v>0</v>
      </c>
      <c r="I149" s="360">
        <f t="shared" si="86"/>
        <v>184244.65000000002</v>
      </c>
      <c r="J149" s="360">
        <f t="shared" si="86"/>
        <v>3500648.35</v>
      </c>
      <c r="K149" s="360">
        <f t="shared" si="86"/>
        <v>280052</v>
      </c>
      <c r="L149" s="360">
        <f t="shared" si="86"/>
        <v>3220596</v>
      </c>
      <c r="M149" s="360">
        <f t="shared" si="86"/>
        <v>3220596</v>
      </c>
      <c r="N149" s="360">
        <f t="shared" si="86"/>
        <v>0</v>
      </c>
    </row>
    <row r="150" spans="1:14" x14ac:dyDescent="0.25">
      <c r="A150" s="429" t="s">
        <v>697</v>
      </c>
      <c r="B150" s="358">
        <v>2726703</v>
      </c>
      <c r="C150" s="555"/>
      <c r="D150" s="358">
        <f>SUM(B150:C150)</f>
        <v>2726703</v>
      </c>
      <c r="E150" s="358"/>
      <c r="F150" s="358">
        <f>B150*5%</f>
        <v>136335.15</v>
      </c>
      <c r="G150" s="358"/>
      <c r="H150" s="358"/>
      <c r="I150" s="358">
        <f>SUM(E150:H150)</f>
        <v>136335.15</v>
      </c>
      <c r="J150" s="358">
        <f>D150-I150</f>
        <v>2590367.85</v>
      </c>
      <c r="K150" s="359">
        <f>ROUND(J150*7.5%,0)</f>
        <v>194278</v>
      </c>
      <c r="L150" s="358">
        <f>ROUND(J150-K150,0)</f>
        <v>2396090</v>
      </c>
      <c r="M150" s="358">
        <v>2396090</v>
      </c>
      <c r="N150" s="358">
        <f>L150-M150</f>
        <v>0</v>
      </c>
    </row>
    <row r="151" spans="1:14" x14ac:dyDescent="0.25">
      <c r="A151" s="429" t="s">
        <v>697</v>
      </c>
      <c r="B151" s="360">
        <f t="shared" ref="B151:N151" si="87">SUM(B150:B150)</f>
        <v>2726703</v>
      </c>
      <c r="C151" s="556">
        <f t="shared" si="87"/>
        <v>0</v>
      </c>
      <c r="D151" s="360">
        <f t="shared" si="87"/>
        <v>2726703</v>
      </c>
      <c r="E151" s="360">
        <f t="shared" si="87"/>
        <v>0</v>
      </c>
      <c r="F151" s="360">
        <f t="shared" si="87"/>
        <v>136335.15</v>
      </c>
      <c r="G151" s="360"/>
      <c r="H151" s="360">
        <f t="shared" si="87"/>
        <v>0</v>
      </c>
      <c r="I151" s="360">
        <f t="shared" si="87"/>
        <v>136335.15</v>
      </c>
      <c r="J151" s="360">
        <f t="shared" si="87"/>
        <v>2590367.85</v>
      </c>
      <c r="K151" s="360">
        <f t="shared" si="87"/>
        <v>194278</v>
      </c>
      <c r="L151" s="360">
        <f t="shared" si="87"/>
        <v>2396090</v>
      </c>
      <c r="M151" s="360">
        <f t="shared" si="87"/>
        <v>2396090</v>
      </c>
      <c r="N151" s="360">
        <f t="shared" si="87"/>
        <v>0</v>
      </c>
    </row>
    <row r="152" spans="1:14" x14ac:dyDescent="0.25">
      <c r="A152" s="429" t="s">
        <v>697</v>
      </c>
      <c r="B152" s="358">
        <v>8704114</v>
      </c>
      <c r="C152" s="555"/>
      <c r="D152" s="358">
        <f>SUM(B152:C152)</f>
        <v>8704114</v>
      </c>
      <c r="E152" s="358"/>
      <c r="F152" s="358">
        <f>B152*5%</f>
        <v>435205.7</v>
      </c>
      <c r="G152" s="358"/>
      <c r="H152" s="358"/>
      <c r="I152" s="358">
        <f>SUM(E152:H152)</f>
        <v>435205.7</v>
      </c>
      <c r="J152" s="358">
        <f>D152-I152</f>
        <v>8268908.2999999998</v>
      </c>
      <c r="K152" s="359">
        <f>ROUND(J152*8%,0)</f>
        <v>661513</v>
      </c>
      <c r="L152" s="358">
        <f>ROUND(J152-K152,0)</f>
        <v>7607395</v>
      </c>
      <c r="M152" s="358">
        <f>3000000+4607395</f>
        <v>7607395</v>
      </c>
      <c r="N152" s="358">
        <f>L152-M152</f>
        <v>0</v>
      </c>
    </row>
    <row r="153" spans="1:14" x14ac:dyDescent="0.25">
      <c r="A153" s="429" t="s">
        <v>697</v>
      </c>
      <c r="B153" s="358">
        <v>3730334</v>
      </c>
      <c r="C153" s="555"/>
      <c r="D153" s="358">
        <f>SUM(B153:C153)</f>
        <v>3730334</v>
      </c>
      <c r="E153" s="358"/>
      <c r="F153" s="358">
        <f>B153*5%</f>
        <v>186516.7</v>
      </c>
      <c r="G153" s="358"/>
      <c r="H153" s="358"/>
      <c r="I153" s="358">
        <f>SUM(E153:H153)</f>
        <v>186516.7</v>
      </c>
      <c r="J153" s="358">
        <f>D153-I153</f>
        <v>3543817.3</v>
      </c>
      <c r="K153" s="359">
        <f>ROUND(J153*8%,0)</f>
        <v>283505</v>
      </c>
      <c r="L153" s="358">
        <f>ROUND(J153-K153,0)</f>
        <v>3260312</v>
      </c>
      <c r="M153" s="358">
        <f>1071415+2188897</f>
        <v>3260312</v>
      </c>
      <c r="N153" s="358">
        <f>L153-M153</f>
        <v>0</v>
      </c>
    </row>
    <row r="154" spans="1:14" x14ac:dyDescent="0.25">
      <c r="A154" s="429" t="s">
        <v>697</v>
      </c>
      <c r="B154" s="358">
        <v>1568607</v>
      </c>
      <c r="C154" s="555"/>
      <c r="D154" s="358">
        <f>SUM(B154:C154)</f>
        <v>1568607</v>
      </c>
      <c r="E154" s="358"/>
      <c r="F154" s="358">
        <f>B154*5%</f>
        <v>78430.350000000006</v>
      </c>
      <c r="G154" s="358"/>
      <c r="H154" s="358"/>
      <c r="I154" s="358">
        <f>SUM(E154:H154)</f>
        <v>78430.350000000006</v>
      </c>
      <c r="J154" s="358">
        <f>D154-I154</f>
        <v>1490176.65</v>
      </c>
      <c r="K154" s="359">
        <f>ROUND(J154*7.5%,0)</f>
        <v>111763</v>
      </c>
      <c r="L154" s="358">
        <f>ROUND(J154-K154,0)</f>
        <v>1378414</v>
      </c>
      <c r="M154" s="358">
        <v>1378414</v>
      </c>
      <c r="N154" s="358">
        <f>L154-M154</f>
        <v>0</v>
      </c>
    </row>
    <row r="155" spans="1:14" x14ac:dyDescent="0.25">
      <c r="A155" s="429" t="s">
        <v>697</v>
      </c>
      <c r="B155" s="358">
        <v>672260</v>
      </c>
      <c r="C155" s="555"/>
      <c r="D155" s="358">
        <f>SUM(B155:C155)</f>
        <v>672260</v>
      </c>
      <c r="E155" s="358"/>
      <c r="F155" s="358">
        <f>B155*5%</f>
        <v>33613</v>
      </c>
      <c r="G155" s="358"/>
      <c r="H155" s="358"/>
      <c r="I155" s="358">
        <f>SUM(E155:H155)</f>
        <v>33613</v>
      </c>
      <c r="J155" s="358">
        <f>D155-I155</f>
        <v>638647</v>
      </c>
      <c r="K155" s="359">
        <f>ROUND(J155*8%,0)</f>
        <v>51092</v>
      </c>
      <c r="L155" s="358">
        <f>ROUND(J155-K155,0)</f>
        <v>587555</v>
      </c>
      <c r="M155" s="358">
        <v>587555</v>
      </c>
      <c r="N155" s="358">
        <f>L155-M155</f>
        <v>0</v>
      </c>
    </row>
    <row r="156" spans="1:14" x14ac:dyDescent="0.25">
      <c r="A156" s="429" t="s">
        <v>697</v>
      </c>
      <c r="B156" s="360">
        <f>SUM(B152:B155)</f>
        <v>14675315</v>
      </c>
      <c r="C156" s="556">
        <f t="shared" ref="C156:N156" si="88">SUM(C152:C155)</f>
        <v>0</v>
      </c>
      <c r="D156" s="360">
        <f t="shared" si="88"/>
        <v>14675315</v>
      </c>
      <c r="E156" s="360">
        <f t="shared" si="88"/>
        <v>0</v>
      </c>
      <c r="F156" s="360">
        <f t="shared" si="88"/>
        <v>733765.75</v>
      </c>
      <c r="G156" s="360"/>
      <c r="H156" s="360">
        <f t="shared" si="88"/>
        <v>0</v>
      </c>
      <c r="I156" s="360">
        <f t="shared" si="88"/>
        <v>733765.75</v>
      </c>
      <c r="J156" s="360">
        <f t="shared" si="88"/>
        <v>13941549.25</v>
      </c>
      <c r="K156" s="360">
        <f t="shared" si="88"/>
        <v>1107873</v>
      </c>
      <c r="L156" s="360">
        <f t="shared" si="88"/>
        <v>12833676</v>
      </c>
      <c r="M156" s="360">
        <f t="shared" si="88"/>
        <v>12833676</v>
      </c>
      <c r="N156" s="360">
        <f t="shared" si="88"/>
        <v>0</v>
      </c>
    </row>
    <row r="157" spans="1:14" x14ac:dyDescent="0.25">
      <c r="A157" s="429" t="s">
        <v>697</v>
      </c>
      <c r="B157" s="358">
        <v>788708</v>
      </c>
      <c r="C157" s="555"/>
      <c r="D157" s="358">
        <f>SUM(B157:C157)</f>
        <v>788708</v>
      </c>
      <c r="E157" s="358"/>
      <c r="F157" s="358">
        <f>B157*5%</f>
        <v>39435.4</v>
      </c>
      <c r="G157" s="358"/>
      <c r="H157" s="358"/>
      <c r="I157" s="358">
        <f>SUM(E157:H157)</f>
        <v>39435.4</v>
      </c>
      <c r="J157" s="358">
        <f>D157-I157</f>
        <v>749272.6</v>
      </c>
      <c r="K157" s="359">
        <f>ROUND(J157*8%,0)</f>
        <v>59942</v>
      </c>
      <c r="L157" s="358">
        <f>ROUND(J157-K157,0)</f>
        <v>689331</v>
      </c>
      <c r="M157" s="358">
        <v>689331</v>
      </c>
      <c r="N157" s="358">
        <f>L157-M157</f>
        <v>0</v>
      </c>
    </row>
    <row r="158" spans="1:14" x14ac:dyDescent="0.25">
      <c r="A158" s="429" t="s">
        <v>697</v>
      </c>
      <c r="B158" s="358">
        <v>338061</v>
      </c>
      <c r="C158" s="555"/>
      <c r="D158" s="358">
        <f>SUM(B158:C158)</f>
        <v>338061</v>
      </c>
      <c r="E158" s="358"/>
      <c r="F158" s="358">
        <f>B158*5%</f>
        <v>16903.05</v>
      </c>
      <c r="G158" s="358"/>
      <c r="H158" s="358"/>
      <c r="I158" s="358">
        <f>SUM(E158:H158)</f>
        <v>16903.05</v>
      </c>
      <c r="J158" s="358">
        <f>D158-I158</f>
        <v>321157.95</v>
      </c>
      <c r="K158" s="359">
        <f>ROUND(J158*8%,0)</f>
        <v>25693</v>
      </c>
      <c r="L158" s="358">
        <f>ROUND(J158-K158,0)</f>
        <v>295465</v>
      </c>
      <c r="M158" s="358">
        <v>295465</v>
      </c>
      <c r="N158" s="358">
        <f>L158-M158</f>
        <v>0</v>
      </c>
    </row>
    <row r="159" spans="1:14" x14ac:dyDescent="0.25">
      <c r="A159" s="429" t="s">
        <v>697</v>
      </c>
      <c r="B159" s="358">
        <v>9650325</v>
      </c>
      <c r="C159" s="555"/>
      <c r="D159" s="358">
        <f>SUM(B159:C159)</f>
        <v>9650325</v>
      </c>
      <c r="E159" s="358"/>
      <c r="F159" s="358">
        <f>B159*5%</f>
        <v>482516.25</v>
      </c>
      <c r="G159" s="358"/>
      <c r="H159" s="358"/>
      <c r="I159" s="358">
        <f>SUM(E159:H159)</f>
        <v>482516.25</v>
      </c>
      <c r="J159" s="358">
        <f>D159-I159</f>
        <v>9167808.75</v>
      </c>
      <c r="K159" s="359">
        <f>ROUND(J159*8%,0)</f>
        <v>733425</v>
      </c>
      <c r="L159" s="358">
        <f>ROUND(J159-K159,0)</f>
        <v>8434384</v>
      </c>
      <c r="M159" s="358">
        <f>6000000+2434384</f>
        <v>8434384</v>
      </c>
      <c r="N159" s="358">
        <f>L159-M159</f>
        <v>0</v>
      </c>
    </row>
    <row r="160" spans="1:14" x14ac:dyDescent="0.25">
      <c r="A160" s="429" t="s">
        <v>697</v>
      </c>
      <c r="B160" s="358">
        <v>4135854</v>
      </c>
      <c r="C160" s="555"/>
      <c r="D160" s="358">
        <f>SUM(B160:C160)</f>
        <v>4135854</v>
      </c>
      <c r="E160" s="358"/>
      <c r="F160" s="358">
        <f>B160*5%</f>
        <v>206792.7</v>
      </c>
      <c r="G160" s="358"/>
      <c r="H160" s="358"/>
      <c r="I160" s="358">
        <f>SUM(E160:H160)</f>
        <v>206792.7</v>
      </c>
      <c r="J160" s="358">
        <f>D160-I160</f>
        <v>3929061.3</v>
      </c>
      <c r="K160" s="359">
        <f>ROUND(J160*8%,0)</f>
        <v>314325</v>
      </c>
      <c r="L160" s="358">
        <f>ROUND(J160-K160,0)</f>
        <v>3614736</v>
      </c>
      <c r="M160" s="358">
        <f>5000000-2434384-295465+1344585</f>
        <v>3614736</v>
      </c>
      <c r="N160" s="358">
        <f>L160-M160</f>
        <v>0</v>
      </c>
    </row>
    <row r="161" spans="1:14" x14ac:dyDescent="0.25">
      <c r="A161" s="429" t="s">
        <v>697</v>
      </c>
      <c r="B161" s="360">
        <f>SUM(B157:B160)</f>
        <v>14912948</v>
      </c>
      <c r="C161" s="556">
        <f t="shared" ref="C161:N161" si="89">SUM(C157:C160)</f>
        <v>0</v>
      </c>
      <c r="D161" s="360">
        <f t="shared" si="89"/>
        <v>14912948</v>
      </c>
      <c r="E161" s="360">
        <f t="shared" si="89"/>
        <v>0</v>
      </c>
      <c r="F161" s="360">
        <f t="shared" si="89"/>
        <v>745647.39999999991</v>
      </c>
      <c r="G161" s="360"/>
      <c r="H161" s="360">
        <f t="shared" si="89"/>
        <v>0</v>
      </c>
      <c r="I161" s="360">
        <f t="shared" si="89"/>
        <v>745647.39999999991</v>
      </c>
      <c r="J161" s="360">
        <f t="shared" si="89"/>
        <v>14167300.600000001</v>
      </c>
      <c r="K161" s="360">
        <f t="shared" si="89"/>
        <v>1133385</v>
      </c>
      <c r="L161" s="360">
        <f t="shared" si="89"/>
        <v>13033916</v>
      </c>
      <c r="M161" s="360">
        <f t="shared" si="89"/>
        <v>13033916</v>
      </c>
      <c r="N161" s="360">
        <f t="shared" si="89"/>
        <v>0</v>
      </c>
    </row>
    <row r="162" spans="1:14" x14ac:dyDescent="0.25">
      <c r="A162" s="429" t="s">
        <v>697</v>
      </c>
      <c r="B162" s="358">
        <v>11962276</v>
      </c>
      <c r="C162" s="555"/>
      <c r="D162" s="358">
        <f>SUM(B162:C162)</f>
        <v>11962276</v>
      </c>
      <c r="E162" s="358"/>
      <c r="F162" s="358">
        <f>B162*5%</f>
        <v>598113.80000000005</v>
      </c>
      <c r="G162" s="358"/>
      <c r="H162" s="358"/>
      <c r="I162" s="358">
        <f>SUM(E162:H162)</f>
        <v>598113.80000000005</v>
      </c>
      <c r="J162" s="358">
        <f>D162-I162</f>
        <v>11364162.199999999</v>
      </c>
      <c r="K162" s="359">
        <f>ROUND(J162*8%,0)</f>
        <v>909133</v>
      </c>
      <c r="L162" s="358">
        <f>ROUND(J162-K162,0)</f>
        <v>10455029</v>
      </c>
      <c r="M162" s="358">
        <v>10455029</v>
      </c>
      <c r="N162" s="358">
        <f>L162-M162</f>
        <v>0</v>
      </c>
    </row>
    <row r="163" spans="1:14" x14ac:dyDescent="0.25">
      <c r="A163" s="429" t="s">
        <v>697</v>
      </c>
      <c r="B163" s="358">
        <v>5126690</v>
      </c>
      <c r="C163" s="555"/>
      <c r="D163" s="358">
        <f>SUM(B163:C163)</f>
        <v>5126690</v>
      </c>
      <c r="E163" s="358"/>
      <c r="F163" s="358">
        <f>B163*5%</f>
        <v>256334.5</v>
      </c>
      <c r="G163" s="358"/>
      <c r="H163" s="358"/>
      <c r="I163" s="358">
        <f>SUM(E163:H163)</f>
        <v>256334.5</v>
      </c>
      <c r="J163" s="358">
        <f>D163-I163</f>
        <v>4870355.5</v>
      </c>
      <c r="K163" s="359">
        <f>ROUND(J163*8%,0)</f>
        <v>389628</v>
      </c>
      <c r="L163" s="358">
        <f>ROUND(J163-K163,0)</f>
        <v>4480728</v>
      </c>
      <c r="M163" s="358">
        <v>4480728</v>
      </c>
      <c r="N163" s="358">
        <f>L163-M163</f>
        <v>0</v>
      </c>
    </row>
    <row r="164" spans="1:14" x14ac:dyDescent="0.25">
      <c r="A164" s="429" t="s">
        <v>697</v>
      </c>
      <c r="B164" s="360">
        <f>SUM(B162:B163)</f>
        <v>17088966</v>
      </c>
      <c r="C164" s="556">
        <f>SUM(C162:C163)</f>
        <v>0</v>
      </c>
      <c r="D164" s="360">
        <f>SUM(D162:D163)</f>
        <v>17088966</v>
      </c>
      <c r="E164" s="360">
        <f>SUM(E162:E163)</f>
        <v>0</v>
      </c>
      <c r="F164" s="360">
        <f>SUM(F162:F163)</f>
        <v>854448.3</v>
      </c>
      <c r="G164" s="360"/>
      <c r="H164" s="360">
        <f t="shared" ref="H164:N164" si="90">SUM(H162:H163)</f>
        <v>0</v>
      </c>
      <c r="I164" s="360">
        <f t="shared" si="90"/>
        <v>854448.3</v>
      </c>
      <c r="J164" s="360">
        <f t="shared" si="90"/>
        <v>16234517.699999999</v>
      </c>
      <c r="K164" s="360">
        <f t="shared" si="90"/>
        <v>1298761</v>
      </c>
      <c r="L164" s="360">
        <f t="shared" si="90"/>
        <v>14935757</v>
      </c>
      <c r="M164" s="360">
        <f t="shared" si="90"/>
        <v>14935757</v>
      </c>
      <c r="N164" s="360">
        <f t="shared" si="90"/>
        <v>0</v>
      </c>
    </row>
    <row r="165" spans="1:14" x14ac:dyDescent="0.25">
      <c r="A165" s="429" t="s">
        <v>559</v>
      </c>
      <c r="B165" s="358">
        <v>54264921</v>
      </c>
      <c r="C165" s="555"/>
      <c r="D165" s="358">
        <f t="shared" ref="D165:D178" si="91">SUM(B165:C165)</f>
        <v>54264921</v>
      </c>
      <c r="E165" s="358"/>
      <c r="F165" s="358">
        <f t="shared" ref="F165:F170" si="92">B165*5%</f>
        <v>2713246.0500000003</v>
      </c>
      <c r="G165" s="358"/>
      <c r="H165" s="358">
        <v>5792926</v>
      </c>
      <c r="I165" s="358">
        <f t="shared" ref="I165:I170" si="93">SUM(E165:H165)</f>
        <v>8506172.0500000007</v>
      </c>
      <c r="J165" s="358">
        <f t="shared" ref="J165:J171" si="94">D165-I165</f>
        <v>45758748.950000003</v>
      </c>
      <c r="K165" s="359">
        <f t="shared" ref="K165:K170" si="95">ROUND(J165*7.5%,0)</f>
        <v>3431906</v>
      </c>
      <c r="L165" s="358">
        <f t="shared" ref="L165:L170" si="96">ROUND(J165-K165,0)</f>
        <v>42326843</v>
      </c>
      <c r="M165" s="358">
        <f>15000000+20000000+1500000+5826843</f>
        <v>42326843</v>
      </c>
      <c r="N165" s="358">
        <f>L165-M165</f>
        <v>0</v>
      </c>
    </row>
    <row r="166" spans="1:14" x14ac:dyDescent="0.25">
      <c r="A166" s="429" t="s">
        <v>559</v>
      </c>
      <c r="B166" s="358">
        <v>23256395</v>
      </c>
      <c r="C166" s="555"/>
      <c r="D166" s="358">
        <f t="shared" si="91"/>
        <v>23256395</v>
      </c>
      <c r="E166" s="358">
        <v>20212009</v>
      </c>
      <c r="F166" s="358">
        <f t="shared" si="92"/>
        <v>1162819.75</v>
      </c>
      <c r="G166" s="358"/>
      <c r="H166" s="358" t="s">
        <v>694</v>
      </c>
      <c r="I166" s="358">
        <f t="shared" si="93"/>
        <v>21374828.75</v>
      </c>
      <c r="J166" s="358">
        <f t="shared" si="94"/>
        <v>1881566.25</v>
      </c>
      <c r="K166" s="358">
        <f t="shared" si="95"/>
        <v>141117</v>
      </c>
      <c r="L166" s="358">
        <f t="shared" si="96"/>
        <v>1740449</v>
      </c>
      <c r="M166" s="358">
        <v>1740449</v>
      </c>
      <c r="N166" s="358">
        <f t="shared" ref="N166:N179" si="97">L166-M166</f>
        <v>0</v>
      </c>
    </row>
    <row r="167" spans="1:14" x14ac:dyDescent="0.25">
      <c r="A167" s="429" t="s">
        <v>559</v>
      </c>
      <c r="B167" s="358">
        <v>29575045</v>
      </c>
      <c r="C167" s="555"/>
      <c r="D167" s="358">
        <f>SUM(B167:C167)</f>
        <v>29575045</v>
      </c>
      <c r="E167" s="358" t="s">
        <v>694</v>
      </c>
      <c r="F167" s="358">
        <f t="shared" si="92"/>
        <v>1478752.25</v>
      </c>
      <c r="G167" s="358"/>
      <c r="H167" s="358">
        <v>21848500</v>
      </c>
      <c r="I167" s="358">
        <f t="shared" si="93"/>
        <v>23327252.25</v>
      </c>
      <c r="J167" s="358">
        <f t="shared" si="94"/>
        <v>6247792.75</v>
      </c>
      <c r="K167" s="358">
        <f t="shared" si="95"/>
        <v>468584</v>
      </c>
      <c r="L167" s="358">
        <f t="shared" si="96"/>
        <v>5779209</v>
      </c>
      <c r="M167" s="358">
        <v>5779209</v>
      </c>
      <c r="N167" s="358">
        <f>L167-M167</f>
        <v>0</v>
      </c>
    </row>
    <row r="168" spans="1:14" x14ac:dyDescent="0.25">
      <c r="A168" s="429" t="s">
        <v>559</v>
      </c>
      <c r="B168" s="358">
        <v>12675019</v>
      </c>
      <c r="C168" s="555"/>
      <c r="D168" s="358">
        <f>SUM(B168:C168)</f>
        <v>12675019</v>
      </c>
      <c r="E168" s="358" t="s">
        <v>694</v>
      </c>
      <c r="F168" s="358">
        <f t="shared" si="92"/>
        <v>633750.95000000007</v>
      </c>
      <c r="G168" s="358">
        <v>5386481</v>
      </c>
      <c r="H168" s="358" t="s">
        <v>694</v>
      </c>
      <c r="I168" s="358">
        <f t="shared" si="93"/>
        <v>6020231.9500000002</v>
      </c>
      <c r="J168" s="358">
        <f t="shared" si="94"/>
        <v>6654787.0499999998</v>
      </c>
      <c r="K168" s="358">
        <f t="shared" si="95"/>
        <v>499109</v>
      </c>
      <c r="L168" s="358">
        <f t="shared" si="96"/>
        <v>6155678</v>
      </c>
      <c r="M168" s="358">
        <v>6155678</v>
      </c>
      <c r="N168" s="358">
        <f>L168-M168</f>
        <v>0</v>
      </c>
    </row>
    <row r="169" spans="1:14" x14ac:dyDescent="0.25">
      <c r="A169" s="429" t="s">
        <v>559</v>
      </c>
      <c r="B169" s="358">
        <v>16422471</v>
      </c>
      <c r="C169" s="555"/>
      <c r="D169" s="358">
        <f>SUM(B169:C169)</f>
        <v>16422471</v>
      </c>
      <c r="E169" s="358"/>
      <c r="F169" s="358">
        <f t="shared" si="92"/>
        <v>821123.55</v>
      </c>
      <c r="G169" s="358"/>
      <c r="H169" s="358">
        <v>12182300</v>
      </c>
      <c r="I169" s="358">
        <f t="shared" si="93"/>
        <v>13003423.550000001</v>
      </c>
      <c r="J169" s="358">
        <f t="shared" si="94"/>
        <v>3419047.4499999993</v>
      </c>
      <c r="K169" s="358">
        <f t="shared" si="95"/>
        <v>256429</v>
      </c>
      <c r="L169" s="358">
        <f t="shared" si="96"/>
        <v>3162618</v>
      </c>
      <c r="M169" s="358">
        <v>3162618</v>
      </c>
      <c r="N169" s="358">
        <f>L169-M169</f>
        <v>0</v>
      </c>
    </row>
    <row r="170" spans="1:14" x14ac:dyDescent="0.25">
      <c r="A170" s="429" t="s">
        <v>559</v>
      </c>
      <c r="B170" s="358">
        <v>7038202</v>
      </c>
      <c r="C170" s="555"/>
      <c r="D170" s="358">
        <f>SUM(B170:C170)</f>
        <v>7038202</v>
      </c>
      <c r="E170" s="358"/>
      <c r="F170" s="358">
        <f t="shared" si="92"/>
        <v>351910.10000000003</v>
      </c>
      <c r="G170" s="358"/>
      <c r="H170" s="358"/>
      <c r="I170" s="358">
        <f t="shared" si="93"/>
        <v>351910.10000000003</v>
      </c>
      <c r="J170" s="358">
        <f t="shared" si="94"/>
        <v>6686291.9000000004</v>
      </c>
      <c r="K170" s="358">
        <f t="shared" si="95"/>
        <v>501472</v>
      </c>
      <c r="L170" s="358">
        <f t="shared" si="96"/>
        <v>6184820</v>
      </c>
      <c r="M170" s="358">
        <v>6184820</v>
      </c>
      <c r="N170" s="358">
        <f>L170-M170</f>
        <v>0</v>
      </c>
    </row>
    <row r="171" spans="1:14" x14ac:dyDescent="0.25">
      <c r="A171" s="429"/>
      <c r="B171" s="358">
        <v>1218465</v>
      </c>
      <c r="C171" s="555"/>
      <c r="D171" s="358">
        <f>SUM(B171:C171)</f>
        <v>1218465</v>
      </c>
      <c r="E171" s="358"/>
      <c r="F171" s="645">
        <f t="shared" ref="F171" si="98">D171*5%</f>
        <v>60923.25</v>
      </c>
      <c r="G171" s="358"/>
      <c r="H171" s="358"/>
      <c r="I171" s="358">
        <f t="shared" ref="I171" si="99">SUM(E171:H171)</f>
        <v>60923.25</v>
      </c>
      <c r="J171" s="358">
        <f t="shared" si="94"/>
        <v>1157541.75</v>
      </c>
      <c r="K171" s="358">
        <f t="shared" ref="K171" si="100">ROUND(J171*7.5%,0)</f>
        <v>86816</v>
      </c>
      <c r="L171" s="358">
        <f t="shared" ref="L171" si="101">ROUND(J171-K171,0)</f>
        <v>1070726</v>
      </c>
      <c r="M171" s="358">
        <v>1070726</v>
      </c>
      <c r="N171" s="358">
        <f>L171-M171</f>
        <v>0</v>
      </c>
    </row>
    <row r="172" spans="1:14" x14ac:dyDescent="0.25">
      <c r="A172" s="429" t="s">
        <v>559</v>
      </c>
      <c r="B172" s="360">
        <f>SUM(B165:B171)</f>
        <v>144450518</v>
      </c>
      <c r="C172" s="360">
        <f t="shared" ref="C172:N172" si="102">SUM(C165:C171)</f>
        <v>0</v>
      </c>
      <c r="D172" s="360">
        <f t="shared" si="102"/>
        <v>144450518</v>
      </c>
      <c r="E172" s="360">
        <f t="shared" si="102"/>
        <v>20212009</v>
      </c>
      <c r="F172" s="360">
        <f t="shared" si="102"/>
        <v>7222525.9000000004</v>
      </c>
      <c r="G172" s="360">
        <f t="shared" si="102"/>
        <v>5386481</v>
      </c>
      <c r="H172" s="360">
        <f t="shared" si="102"/>
        <v>39823726</v>
      </c>
      <c r="I172" s="360">
        <f t="shared" si="102"/>
        <v>72644741.899999991</v>
      </c>
      <c r="J172" s="360">
        <f t="shared" si="102"/>
        <v>71805776.100000009</v>
      </c>
      <c r="K172" s="360">
        <f t="shared" si="102"/>
        <v>5385433</v>
      </c>
      <c r="L172" s="360">
        <f t="shared" si="102"/>
        <v>66420343</v>
      </c>
      <c r="M172" s="360">
        <f t="shared" si="102"/>
        <v>66420343</v>
      </c>
      <c r="N172" s="360">
        <f t="shared" si="102"/>
        <v>0</v>
      </c>
    </row>
    <row r="173" spans="1:14" x14ac:dyDescent="0.25">
      <c r="A173" s="429" t="s">
        <v>559</v>
      </c>
      <c r="B173" s="358">
        <v>70675451</v>
      </c>
      <c r="C173" s="555"/>
      <c r="D173" s="358">
        <f t="shared" si="91"/>
        <v>70675451</v>
      </c>
      <c r="E173" s="358">
        <v>54896634</v>
      </c>
      <c r="F173" s="358">
        <f t="shared" ref="F173:F181" si="103">B173*5%</f>
        <v>3533772.5500000003</v>
      </c>
      <c r="G173" s="358"/>
      <c r="H173" s="358" t="s">
        <v>694</v>
      </c>
      <c r="I173" s="358">
        <f t="shared" ref="I173:I181" si="104">SUM(E173:H173)</f>
        <v>58430406.549999997</v>
      </c>
      <c r="J173" s="358">
        <f t="shared" ref="J173:J182" si="105">D173-I173</f>
        <v>12245044.450000003</v>
      </c>
      <c r="K173" s="358">
        <f t="shared" ref="K173:K195" si="106">ROUND(J173*7.5%,0)</f>
        <v>918378</v>
      </c>
      <c r="L173" s="358">
        <f t="shared" ref="L173:L181" si="107">ROUND(J173-K173,0)</f>
        <v>11326666</v>
      </c>
      <c r="M173" s="358">
        <v>11326666</v>
      </c>
      <c r="N173" s="358">
        <f t="shared" si="97"/>
        <v>0</v>
      </c>
    </row>
    <row r="174" spans="1:14" x14ac:dyDescent="0.25">
      <c r="A174" s="429" t="s">
        <v>559</v>
      </c>
      <c r="B174" s="358">
        <v>180338923</v>
      </c>
      <c r="C174" s="555"/>
      <c r="D174" s="358">
        <f t="shared" si="91"/>
        <v>180338923</v>
      </c>
      <c r="E174" s="358">
        <v>17518456</v>
      </c>
      <c r="F174" s="358">
        <f t="shared" si="103"/>
        <v>9016946.1500000004</v>
      </c>
      <c r="G174" s="358"/>
      <c r="H174" s="358">
        <v>40862300</v>
      </c>
      <c r="I174" s="358">
        <f t="shared" si="104"/>
        <v>67397702.150000006</v>
      </c>
      <c r="J174" s="358">
        <f t="shared" si="105"/>
        <v>112941220.84999999</v>
      </c>
      <c r="K174" s="358">
        <f t="shared" si="106"/>
        <v>8470592</v>
      </c>
      <c r="L174" s="358">
        <f t="shared" si="107"/>
        <v>104470629</v>
      </c>
      <c r="M174" s="358">
        <f>65000000+39470629</f>
        <v>104470629</v>
      </c>
      <c r="N174" s="358">
        <f t="shared" si="97"/>
        <v>0</v>
      </c>
    </row>
    <row r="175" spans="1:14" x14ac:dyDescent="0.25">
      <c r="A175" s="429" t="s">
        <v>559</v>
      </c>
      <c r="B175" s="358">
        <v>77288110</v>
      </c>
      <c r="C175" s="555"/>
      <c r="D175" s="358">
        <f t="shared" si="91"/>
        <v>77288110</v>
      </c>
      <c r="E175" s="358" t="s">
        <v>694</v>
      </c>
      <c r="F175" s="358">
        <f t="shared" si="103"/>
        <v>3864405.5</v>
      </c>
      <c r="G175" s="358">
        <v>16043977</v>
      </c>
      <c r="H175" s="358">
        <v>32257250</v>
      </c>
      <c r="I175" s="358">
        <f t="shared" si="104"/>
        <v>52165632.5</v>
      </c>
      <c r="J175" s="358">
        <f t="shared" si="105"/>
        <v>25122477.5</v>
      </c>
      <c r="K175" s="358">
        <f t="shared" si="106"/>
        <v>1884186</v>
      </c>
      <c r="L175" s="358">
        <f t="shared" si="107"/>
        <v>23238292</v>
      </c>
      <c r="M175" s="358">
        <v>23238292</v>
      </c>
      <c r="N175" s="358">
        <f t="shared" si="97"/>
        <v>0</v>
      </c>
    </row>
    <row r="176" spans="1:14" x14ac:dyDescent="0.25">
      <c r="A176" s="429" t="s">
        <v>559</v>
      </c>
      <c r="B176" s="358">
        <v>11139911</v>
      </c>
      <c r="C176" s="555"/>
      <c r="D176" s="358">
        <f t="shared" si="91"/>
        <v>11139911</v>
      </c>
      <c r="E176" s="358">
        <v>4805225</v>
      </c>
      <c r="F176" s="358">
        <f t="shared" si="103"/>
        <v>556995.55000000005</v>
      </c>
      <c r="G176" s="358"/>
      <c r="H176" s="358">
        <v>1391754</v>
      </c>
      <c r="I176" s="358">
        <f t="shared" si="104"/>
        <v>6753974.5499999998</v>
      </c>
      <c r="J176" s="358">
        <f t="shared" si="105"/>
        <v>4385936.45</v>
      </c>
      <c r="K176" s="358">
        <f t="shared" si="106"/>
        <v>328945</v>
      </c>
      <c r="L176" s="358">
        <f t="shared" si="107"/>
        <v>4056991</v>
      </c>
      <c r="M176" s="358">
        <v>4056991</v>
      </c>
      <c r="N176" s="358">
        <f t="shared" si="97"/>
        <v>0</v>
      </c>
    </row>
    <row r="177" spans="1:14" x14ac:dyDescent="0.25">
      <c r="A177" s="429" t="s">
        <v>559</v>
      </c>
      <c r="B177" s="358">
        <v>4774247</v>
      </c>
      <c r="C177" s="555"/>
      <c r="D177" s="358">
        <f t="shared" si="91"/>
        <v>4774247</v>
      </c>
      <c r="E177" s="358"/>
      <c r="F177" s="358">
        <f t="shared" si="103"/>
        <v>238712.35</v>
      </c>
      <c r="G177" s="358"/>
      <c r="H177" s="358"/>
      <c r="I177" s="358">
        <f t="shared" si="104"/>
        <v>238712.35</v>
      </c>
      <c r="J177" s="358">
        <f t="shared" si="105"/>
        <v>4535534.6500000004</v>
      </c>
      <c r="K177" s="358">
        <f t="shared" si="106"/>
        <v>340165</v>
      </c>
      <c r="L177" s="358">
        <f t="shared" si="107"/>
        <v>4195370</v>
      </c>
      <c r="M177" s="358">
        <v>4195370</v>
      </c>
      <c r="N177" s="358">
        <f t="shared" si="97"/>
        <v>0</v>
      </c>
    </row>
    <row r="178" spans="1:14" x14ac:dyDescent="0.25">
      <c r="A178" s="429" t="s">
        <v>559</v>
      </c>
      <c r="B178" s="358">
        <v>2212987</v>
      </c>
      <c r="C178" s="555"/>
      <c r="D178" s="358">
        <f t="shared" si="91"/>
        <v>2212987</v>
      </c>
      <c r="E178" s="358"/>
      <c r="F178" s="358">
        <f t="shared" si="103"/>
        <v>110649.35</v>
      </c>
      <c r="G178" s="358"/>
      <c r="H178" s="358"/>
      <c r="I178" s="358">
        <f t="shared" si="104"/>
        <v>110649.35</v>
      </c>
      <c r="J178" s="358">
        <f t="shared" si="105"/>
        <v>2102337.65</v>
      </c>
      <c r="K178" s="358">
        <f t="shared" si="106"/>
        <v>157675</v>
      </c>
      <c r="L178" s="358">
        <f t="shared" si="107"/>
        <v>1944663</v>
      </c>
      <c r="M178" s="358">
        <v>1944663</v>
      </c>
      <c r="N178" s="358">
        <f t="shared" si="97"/>
        <v>0</v>
      </c>
    </row>
    <row r="179" spans="1:14" x14ac:dyDescent="0.25">
      <c r="A179" s="429" t="s">
        <v>559</v>
      </c>
      <c r="B179" s="358">
        <v>948423.19</v>
      </c>
      <c r="C179" s="555"/>
      <c r="D179" s="358">
        <f>SUM(B179:C179)</f>
        <v>948423.19</v>
      </c>
      <c r="E179" s="358"/>
      <c r="F179" s="358">
        <f t="shared" si="103"/>
        <v>47421.159500000002</v>
      </c>
      <c r="G179" s="358"/>
      <c r="H179" s="358"/>
      <c r="I179" s="358">
        <f t="shared" si="104"/>
        <v>47421.159500000002</v>
      </c>
      <c r="J179" s="358">
        <f t="shared" si="105"/>
        <v>901002.03049999999</v>
      </c>
      <c r="K179" s="358">
        <f t="shared" si="106"/>
        <v>67575</v>
      </c>
      <c r="L179" s="358">
        <f t="shared" si="107"/>
        <v>833427</v>
      </c>
      <c r="M179" s="358">
        <v>833427</v>
      </c>
      <c r="N179" s="358">
        <f t="shared" si="97"/>
        <v>0</v>
      </c>
    </row>
    <row r="180" spans="1:14" x14ac:dyDescent="0.25">
      <c r="A180" s="429" t="s">
        <v>559</v>
      </c>
      <c r="B180" s="358">
        <v>8613961</v>
      </c>
      <c r="C180" s="555"/>
      <c r="D180" s="358">
        <f>SUM(B180:C180)</f>
        <v>8613961</v>
      </c>
      <c r="E180" s="358">
        <v>1168035</v>
      </c>
      <c r="F180" s="358">
        <f t="shared" si="103"/>
        <v>430698.05000000005</v>
      </c>
      <c r="G180" s="358"/>
      <c r="H180" s="358">
        <v>2803900</v>
      </c>
      <c r="I180" s="358">
        <f t="shared" si="104"/>
        <v>4402633.05</v>
      </c>
      <c r="J180" s="358">
        <f t="shared" si="105"/>
        <v>4211327.95</v>
      </c>
      <c r="K180" s="358">
        <f>ROUND(J180*7.5%,0)</f>
        <v>315850</v>
      </c>
      <c r="L180" s="358">
        <f t="shared" si="107"/>
        <v>3895478</v>
      </c>
      <c r="M180" s="358">
        <v>3895478</v>
      </c>
      <c r="N180" s="358">
        <f>L180-M180</f>
        <v>0</v>
      </c>
    </row>
    <row r="181" spans="1:14" x14ac:dyDescent="0.25">
      <c r="A181" s="429" t="s">
        <v>559</v>
      </c>
      <c r="B181" s="358">
        <v>3691698</v>
      </c>
      <c r="C181" s="555"/>
      <c r="D181" s="358">
        <f>SUM(B181:C181)</f>
        <v>3691698</v>
      </c>
      <c r="E181" s="358"/>
      <c r="F181" s="358">
        <f t="shared" si="103"/>
        <v>184584.90000000002</v>
      </c>
      <c r="G181" s="358"/>
      <c r="H181" s="358"/>
      <c r="I181" s="358">
        <f t="shared" si="104"/>
        <v>184584.90000000002</v>
      </c>
      <c r="J181" s="358">
        <f t="shared" si="105"/>
        <v>3507113.1</v>
      </c>
      <c r="K181" s="358">
        <f>ROUND(J181*7.5%,0)</f>
        <v>263033</v>
      </c>
      <c r="L181" s="358">
        <f t="shared" si="107"/>
        <v>3244080</v>
      </c>
      <c r="M181" s="358">
        <v>3244080</v>
      </c>
      <c r="N181" s="358">
        <f>L181-M181</f>
        <v>0</v>
      </c>
    </row>
    <row r="182" spans="1:14" x14ac:dyDescent="0.25">
      <c r="A182" s="429" t="s">
        <v>559</v>
      </c>
      <c r="B182" s="358">
        <v>48341904</v>
      </c>
      <c r="C182" s="555"/>
      <c r="D182" s="358">
        <f>SUM(B182:C182)</f>
        <v>48341904</v>
      </c>
      <c r="E182" s="358"/>
      <c r="F182" s="645">
        <f t="shared" ref="F182" si="108">D182*5%</f>
        <v>2417095.2000000002</v>
      </c>
      <c r="G182" s="358"/>
      <c r="H182" s="358">
        <v>25534494</v>
      </c>
      <c r="I182" s="358">
        <f t="shared" ref="I182" si="109">SUM(E182:H182)</f>
        <v>27951589.199999999</v>
      </c>
      <c r="J182" s="358">
        <f t="shared" si="105"/>
        <v>20390314.800000001</v>
      </c>
      <c r="K182" s="358">
        <f>ROUND(J182*7.5%,0)</f>
        <v>1529274</v>
      </c>
      <c r="L182" s="358">
        <f t="shared" ref="L182" si="110">ROUND(J182-K182,0)</f>
        <v>18861041</v>
      </c>
      <c r="M182" s="358">
        <v>12608870</v>
      </c>
      <c r="N182" s="358">
        <f>L182-M182</f>
        <v>6252171</v>
      </c>
    </row>
    <row r="183" spans="1:14" x14ac:dyDescent="0.25">
      <c r="A183" s="429"/>
      <c r="B183" s="360">
        <f>SUM(B173:B182)</f>
        <v>408025615.19</v>
      </c>
      <c r="C183" s="360">
        <f t="shared" ref="C183:N183" si="111">SUM(C173:C182)</f>
        <v>0</v>
      </c>
      <c r="D183" s="360">
        <f t="shared" si="111"/>
        <v>408025615.19</v>
      </c>
      <c r="E183" s="360">
        <f t="shared" si="111"/>
        <v>78388350</v>
      </c>
      <c r="F183" s="360">
        <f t="shared" si="111"/>
        <v>20401280.759500001</v>
      </c>
      <c r="G183" s="360">
        <f t="shared" si="111"/>
        <v>16043977</v>
      </c>
      <c r="H183" s="360">
        <f t="shared" si="111"/>
        <v>102849698</v>
      </c>
      <c r="I183" s="360">
        <f t="shared" si="111"/>
        <v>217683305.7595</v>
      </c>
      <c r="J183" s="360">
        <f t="shared" si="111"/>
        <v>190342309.4305</v>
      </c>
      <c r="K183" s="360">
        <f t="shared" si="111"/>
        <v>14275673</v>
      </c>
      <c r="L183" s="360">
        <f t="shared" si="111"/>
        <v>176066637</v>
      </c>
      <c r="M183" s="360">
        <f t="shared" si="111"/>
        <v>169814466</v>
      </c>
      <c r="N183" s="360">
        <f t="shared" si="111"/>
        <v>6252171</v>
      </c>
    </row>
    <row r="184" spans="1:14" x14ac:dyDescent="0.25">
      <c r="A184" s="429" t="s">
        <v>559</v>
      </c>
      <c r="B184" s="358">
        <v>27979610</v>
      </c>
      <c r="C184" s="556"/>
      <c r="D184" s="358">
        <f>SUM(B184:C184)</f>
        <v>27979610</v>
      </c>
      <c r="E184" s="358">
        <v>17441253</v>
      </c>
      <c r="F184" s="358">
        <f>B184*5%</f>
        <v>1398980.5</v>
      </c>
      <c r="G184" s="358">
        <v>3503234</v>
      </c>
      <c r="H184" s="358"/>
      <c r="I184" s="358">
        <f>SUM(E184:H184)</f>
        <v>22343467.5</v>
      </c>
      <c r="J184" s="358">
        <f t="shared" ref="J184:J190" si="112">D184-I184</f>
        <v>5636142.5</v>
      </c>
      <c r="K184" s="358">
        <f>ROUND(J184*7.5%,0)</f>
        <v>422711</v>
      </c>
      <c r="L184" s="358">
        <f>ROUND(J184-K184,0)</f>
        <v>5213432</v>
      </c>
      <c r="M184" s="358">
        <v>5213432</v>
      </c>
      <c r="N184" s="358">
        <f>L184-M184</f>
        <v>0</v>
      </c>
    </row>
    <row r="185" spans="1:14" x14ac:dyDescent="0.25">
      <c r="A185" s="429" t="s">
        <v>559</v>
      </c>
      <c r="B185" s="358">
        <v>11991261</v>
      </c>
      <c r="C185" s="556"/>
      <c r="D185" s="358">
        <f>SUM(B185:C185)</f>
        <v>11991261</v>
      </c>
      <c r="E185" s="358"/>
      <c r="F185" s="358">
        <f>B185*5%</f>
        <v>599563.05000000005</v>
      </c>
      <c r="G185" s="358"/>
      <c r="H185" s="358"/>
      <c r="I185" s="358">
        <f>SUM(E185:H185)</f>
        <v>599563.05000000005</v>
      </c>
      <c r="J185" s="358">
        <f t="shared" si="112"/>
        <v>11391697.949999999</v>
      </c>
      <c r="K185" s="358">
        <f>ROUND(J185*7.5%,0)</f>
        <v>854377</v>
      </c>
      <c r="L185" s="358">
        <f>ROUND(J185-K185,0)</f>
        <v>10537321</v>
      </c>
      <c r="M185" s="358">
        <v>10537321</v>
      </c>
      <c r="N185" s="358">
        <f>L185-M185</f>
        <v>0</v>
      </c>
    </row>
    <row r="186" spans="1:14" x14ac:dyDescent="0.25">
      <c r="A186" s="429" t="s">
        <v>559</v>
      </c>
      <c r="B186" s="358">
        <v>32151391</v>
      </c>
      <c r="C186" s="556"/>
      <c r="D186" s="358">
        <f>SUM(B186:C186)</f>
        <v>32151391</v>
      </c>
      <c r="E186" s="358">
        <v>7735701</v>
      </c>
      <c r="F186" s="358">
        <f>B186*5%</f>
        <v>1607569.55</v>
      </c>
      <c r="G186" s="358"/>
      <c r="H186" s="358">
        <v>5845713</v>
      </c>
      <c r="I186" s="358">
        <f>SUM(E186:H186)</f>
        <v>15188983.550000001</v>
      </c>
      <c r="J186" s="358">
        <f t="shared" si="112"/>
        <v>16962407.449999999</v>
      </c>
      <c r="K186" s="358">
        <f>ROUND(J186*7.5%,0)</f>
        <v>1272181</v>
      </c>
      <c r="L186" s="358">
        <f>ROUND(J186-K186,0)</f>
        <v>15690226</v>
      </c>
      <c r="M186" s="358">
        <v>15690226</v>
      </c>
      <c r="N186" s="358">
        <f>L186-M186</f>
        <v>0</v>
      </c>
    </row>
    <row r="187" spans="1:14" x14ac:dyDescent="0.25">
      <c r="A187" s="429" t="s">
        <v>559</v>
      </c>
      <c r="B187" s="358">
        <v>13779167</v>
      </c>
      <c r="C187" s="556"/>
      <c r="D187" s="358">
        <f>SUM(B187:C187)</f>
        <v>13779167</v>
      </c>
      <c r="E187" s="358">
        <v>0</v>
      </c>
      <c r="F187" s="358">
        <f>B187*5%</f>
        <v>688958.35000000009</v>
      </c>
      <c r="G187" s="358">
        <v>-3503234</v>
      </c>
      <c r="H187" s="358">
        <v>3861382</v>
      </c>
      <c r="I187" s="358">
        <f>SUM(E187:H187)</f>
        <v>1047106.3500000001</v>
      </c>
      <c r="J187" s="358">
        <f t="shared" si="112"/>
        <v>12732060.65</v>
      </c>
      <c r="K187" s="358">
        <f>ROUND(J187*7.5%,0)</f>
        <v>954905</v>
      </c>
      <c r="L187" s="358">
        <f>ROUND(J187-K187,0)</f>
        <v>11777156</v>
      </c>
      <c r="M187" s="358">
        <v>11777156</v>
      </c>
      <c r="N187" s="358">
        <f>L187-M187</f>
        <v>0</v>
      </c>
    </row>
    <row r="188" spans="1:14" x14ac:dyDescent="0.25">
      <c r="A188" s="429" t="s">
        <v>559</v>
      </c>
      <c r="B188" s="358">
        <v>4040802</v>
      </c>
      <c r="C188" s="556"/>
      <c r="D188" s="358">
        <f t="shared" ref="D188:D190" si="113">SUM(B188:C188)</f>
        <v>4040802</v>
      </c>
      <c r="E188" s="358"/>
      <c r="F188" s="645">
        <f>D188*5%</f>
        <v>202040.1</v>
      </c>
      <c r="G188" s="645">
        <v>0</v>
      </c>
      <c r="H188" s="645">
        <v>0</v>
      </c>
      <c r="I188" s="358">
        <f t="shared" ref="I188:I189" si="114">SUM(E188:H188)</f>
        <v>202040.1</v>
      </c>
      <c r="J188" s="358">
        <f t="shared" si="112"/>
        <v>3838761.9</v>
      </c>
      <c r="K188" s="358">
        <f t="shared" ref="K188:K190" si="115">ROUND(J188*7.5%,0)</f>
        <v>287907</v>
      </c>
      <c r="L188" s="358">
        <f t="shared" ref="L188:L189" si="116">ROUND(J188-K188,0)</f>
        <v>3550855</v>
      </c>
      <c r="M188" s="358">
        <v>3550855</v>
      </c>
      <c r="N188" s="358">
        <f t="shared" ref="N188:N190" si="117">L188-M188</f>
        <v>0</v>
      </c>
    </row>
    <row r="189" spans="1:14" x14ac:dyDescent="0.25">
      <c r="A189" s="429" t="s">
        <v>559</v>
      </c>
      <c r="B189" s="358">
        <v>1731772</v>
      </c>
      <c r="C189" s="556"/>
      <c r="D189" s="358">
        <f t="shared" si="113"/>
        <v>1731772</v>
      </c>
      <c r="E189" s="358"/>
      <c r="F189" s="645">
        <f t="shared" ref="F189:F190" si="118">D189*5%</f>
        <v>86588.6</v>
      </c>
      <c r="G189" s="645"/>
      <c r="H189" s="645"/>
      <c r="I189" s="358">
        <f t="shared" si="114"/>
        <v>86588.6</v>
      </c>
      <c r="J189" s="358">
        <f t="shared" si="112"/>
        <v>1645183.4</v>
      </c>
      <c r="K189" s="358">
        <f t="shared" si="115"/>
        <v>123389</v>
      </c>
      <c r="L189" s="358">
        <f t="shared" si="116"/>
        <v>1521794</v>
      </c>
      <c r="M189" s="358"/>
      <c r="N189" s="358">
        <f t="shared" si="117"/>
        <v>1521794</v>
      </c>
    </row>
    <row r="190" spans="1:14" x14ac:dyDescent="0.25">
      <c r="A190" s="429" t="s">
        <v>559</v>
      </c>
      <c r="B190" s="358">
        <v>5224304</v>
      </c>
      <c r="C190" s="556"/>
      <c r="D190" s="358">
        <f t="shared" si="113"/>
        <v>5224304</v>
      </c>
      <c r="E190" s="358"/>
      <c r="F190" s="645">
        <f t="shared" si="118"/>
        <v>261215.2</v>
      </c>
      <c r="G190" s="645"/>
      <c r="H190" s="645"/>
      <c r="I190" s="358">
        <f t="shared" ref="I190" si="119">SUM(E190:H190)</f>
        <v>261215.2</v>
      </c>
      <c r="J190" s="358">
        <f t="shared" si="112"/>
        <v>4963088.8</v>
      </c>
      <c r="K190" s="358">
        <f t="shared" si="115"/>
        <v>372232</v>
      </c>
      <c r="L190" s="358">
        <f t="shared" ref="L190" si="120">ROUND(J190-K190,0)</f>
        <v>4590857</v>
      </c>
      <c r="M190" s="358"/>
      <c r="N190" s="358">
        <f t="shared" si="117"/>
        <v>4590857</v>
      </c>
    </row>
    <row r="191" spans="1:14" x14ac:dyDescent="0.25">
      <c r="A191" s="429"/>
      <c r="B191" s="360">
        <f>SUM(B184:B190)</f>
        <v>96898307</v>
      </c>
      <c r="C191" s="360">
        <f t="shared" ref="C191:N191" si="121">SUM(C184:C190)</f>
        <v>0</v>
      </c>
      <c r="D191" s="360">
        <f t="shared" si="121"/>
        <v>96898307</v>
      </c>
      <c r="E191" s="360">
        <f t="shared" si="121"/>
        <v>25176954</v>
      </c>
      <c r="F191" s="360">
        <f t="shared" si="121"/>
        <v>4844915.3499999996</v>
      </c>
      <c r="G191" s="360">
        <f t="shared" si="121"/>
        <v>0</v>
      </c>
      <c r="H191" s="360">
        <f t="shared" si="121"/>
        <v>9707095</v>
      </c>
      <c r="I191" s="360">
        <f t="shared" si="121"/>
        <v>39728964.350000009</v>
      </c>
      <c r="J191" s="360">
        <f t="shared" si="121"/>
        <v>57169342.649999991</v>
      </c>
      <c r="K191" s="360">
        <f t="shared" si="121"/>
        <v>4287702</v>
      </c>
      <c r="L191" s="360">
        <f t="shared" si="121"/>
        <v>52881641</v>
      </c>
      <c r="M191" s="360">
        <f t="shared" si="121"/>
        <v>46768990</v>
      </c>
      <c r="N191" s="360">
        <f t="shared" si="121"/>
        <v>6112651</v>
      </c>
    </row>
    <row r="192" spans="1:14" x14ac:dyDescent="0.25">
      <c r="A192" s="429" t="s">
        <v>559</v>
      </c>
      <c r="B192" s="358">
        <v>9005163</v>
      </c>
      <c r="C192" s="555"/>
      <c r="D192" s="358">
        <f t="shared" ref="D192:D196" si="122">SUM(B192:C192)</f>
        <v>9005163</v>
      </c>
      <c r="E192" s="358"/>
      <c r="F192" s="358">
        <f>B192*5%</f>
        <v>450258.15</v>
      </c>
      <c r="G192" s="358"/>
      <c r="H192" s="358"/>
      <c r="I192" s="358">
        <f t="shared" ref="I192:I196" si="123">SUM(E192:H192)</f>
        <v>450258.15</v>
      </c>
      <c r="J192" s="358">
        <f>D192-I192</f>
        <v>8554904.8499999996</v>
      </c>
      <c r="K192" s="358">
        <f t="shared" si="106"/>
        <v>641618</v>
      </c>
      <c r="L192" s="358">
        <f>ROUND(J192-K192,0)</f>
        <v>7913287</v>
      </c>
      <c r="M192" s="358">
        <f>7500000+413287</f>
        <v>7913287</v>
      </c>
      <c r="N192" s="358">
        <f>L192-M192</f>
        <v>0</v>
      </c>
    </row>
    <row r="193" spans="1:14" x14ac:dyDescent="0.25">
      <c r="A193" s="429"/>
      <c r="B193" s="358">
        <v>5488474</v>
      </c>
      <c r="C193" s="555"/>
      <c r="D193" s="358">
        <f t="shared" si="122"/>
        <v>5488474</v>
      </c>
      <c r="E193" s="358"/>
      <c r="F193" s="358">
        <f>B193*5%</f>
        <v>274423.7</v>
      </c>
      <c r="G193" s="358"/>
      <c r="H193" s="358"/>
      <c r="I193" s="358">
        <f t="shared" si="123"/>
        <v>274423.7</v>
      </c>
      <c r="J193" s="358">
        <f>D193-I193</f>
        <v>5214050.3</v>
      </c>
      <c r="K193" s="358">
        <f>ROUND(J193*7.5%,0)</f>
        <v>391054</v>
      </c>
      <c r="L193" s="358">
        <f>ROUND(J193-K193,0)</f>
        <v>4822996</v>
      </c>
      <c r="M193" s="358">
        <v>0</v>
      </c>
      <c r="N193" s="358">
        <f>L193-M193</f>
        <v>4822996</v>
      </c>
    </row>
    <row r="194" spans="1:14" x14ac:dyDescent="0.25">
      <c r="A194" s="429" t="s">
        <v>559</v>
      </c>
      <c r="B194" s="358">
        <v>9005163</v>
      </c>
      <c r="C194" s="555"/>
      <c r="D194" s="358">
        <f t="shared" si="122"/>
        <v>9005163</v>
      </c>
      <c r="E194" s="358"/>
      <c r="F194" s="358">
        <f>B194*5%</f>
        <v>450258.15</v>
      </c>
      <c r="G194" s="358"/>
      <c r="H194" s="358"/>
      <c r="I194" s="358">
        <f t="shared" si="123"/>
        <v>450258.15</v>
      </c>
      <c r="J194" s="358">
        <f>D194-I194</f>
        <v>8554904.8499999996</v>
      </c>
      <c r="K194" s="358">
        <f t="shared" si="106"/>
        <v>641618</v>
      </c>
      <c r="L194" s="358">
        <f>ROUND(J194-K194,0)</f>
        <v>7913287</v>
      </c>
      <c r="M194" s="358">
        <v>7913287</v>
      </c>
      <c r="N194" s="358">
        <f>L194-M194</f>
        <v>0</v>
      </c>
    </row>
    <row r="195" spans="1:14" x14ac:dyDescent="0.25">
      <c r="A195" s="429" t="s">
        <v>559</v>
      </c>
      <c r="B195" s="358">
        <v>11572004</v>
      </c>
      <c r="C195" s="555"/>
      <c r="D195" s="358">
        <f t="shared" si="122"/>
        <v>11572004</v>
      </c>
      <c r="E195" s="358"/>
      <c r="F195" s="358">
        <f>B195*5%</f>
        <v>578600.20000000007</v>
      </c>
      <c r="G195" s="358"/>
      <c r="H195" s="358"/>
      <c r="I195" s="358">
        <f t="shared" si="123"/>
        <v>578600.20000000007</v>
      </c>
      <c r="J195" s="358">
        <f>D195-I195</f>
        <v>10993403.800000001</v>
      </c>
      <c r="K195" s="358">
        <f t="shared" si="106"/>
        <v>824505</v>
      </c>
      <c r="L195" s="358">
        <f>ROUND(J195-K195,0)</f>
        <v>10168899</v>
      </c>
      <c r="M195" s="358">
        <v>10168899</v>
      </c>
      <c r="N195" s="358">
        <f>L195-M195</f>
        <v>0</v>
      </c>
    </row>
    <row r="196" spans="1:14" x14ac:dyDescent="0.25">
      <c r="A196" s="429"/>
      <c r="B196" s="358">
        <v>2560514</v>
      </c>
      <c r="C196" s="555"/>
      <c r="D196" s="358">
        <f t="shared" si="122"/>
        <v>2560514</v>
      </c>
      <c r="E196" s="358"/>
      <c r="F196" s="358">
        <f>B196*5%</f>
        <v>128025.70000000001</v>
      </c>
      <c r="G196" s="358"/>
      <c r="H196" s="358"/>
      <c r="I196" s="358">
        <f t="shared" si="123"/>
        <v>128025.70000000001</v>
      </c>
      <c r="J196" s="358">
        <f>D196-I196</f>
        <v>2432488.2999999998</v>
      </c>
      <c r="K196" s="358">
        <f>ROUND(J196*7.5%,0)</f>
        <v>182437</v>
      </c>
      <c r="L196" s="358">
        <f>ROUND(J196-K196,0)</f>
        <v>2250051</v>
      </c>
      <c r="M196" s="358">
        <v>0</v>
      </c>
      <c r="N196" s="358">
        <f>L196-M196</f>
        <v>2250051</v>
      </c>
    </row>
    <row r="197" spans="1:14" x14ac:dyDescent="0.25">
      <c r="A197" s="429" t="s">
        <v>559</v>
      </c>
      <c r="B197" s="360">
        <f t="shared" ref="B197:N197" si="124">SUM(B192:B196)</f>
        <v>37631318</v>
      </c>
      <c r="C197" s="360">
        <f t="shared" si="124"/>
        <v>0</v>
      </c>
      <c r="D197" s="360">
        <f t="shared" si="124"/>
        <v>37631318</v>
      </c>
      <c r="E197" s="360">
        <f t="shared" si="124"/>
        <v>0</v>
      </c>
      <c r="F197" s="360">
        <f t="shared" si="124"/>
        <v>1881565.9000000001</v>
      </c>
      <c r="G197" s="360">
        <f t="shared" si="124"/>
        <v>0</v>
      </c>
      <c r="H197" s="360">
        <f t="shared" si="124"/>
        <v>0</v>
      </c>
      <c r="I197" s="360">
        <f t="shared" si="124"/>
        <v>1881565.9000000001</v>
      </c>
      <c r="J197" s="360">
        <f t="shared" si="124"/>
        <v>35749752.100000001</v>
      </c>
      <c r="K197" s="360">
        <f t="shared" si="124"/>
        <v>2681232</v>
      </c>
      <c r="L197" s="360">
        <f t="shared" si="124"/>
        <v>33068520</v>
      </c>
      <c r="M197" s="360">
        <f t="shared" si="124"/>
        <v>25995473</v>
      </c>
      <c r="N197" s="360">
        <f t="shared" si="124"/>
        <v>7073047</v>
      </c>
    </row>
    <row r="198" spans="1:14" x14ac:dyDescent="0.25">
      <c r="A198" s="429" t="s">
        <v>259</v>
      </c>
      <c r="B198" s="358">
        <v>56312925</v>
      </c>
      <c r="C198" s="555"/>
      <c r="D198" s="358">
        <f t="shared" ref="D198:D213" si="125">SUM(B198:C198)</f>
        <v>56312925</v>
      </c>
      <c r="E198" s="358">
        <v>0</v>
      </c>
      <c r="F198" s="358">
        <f t="shared" ref="F198:F211" si="126">B198*5%</f>
        <v>2815646.25</v>
      </c>
      <c r="G198" s="358"/>
      <c r="H198" s="358">
        <v>0</v>
      </c>
      <c r="I198" s="358">
        <f>SUM(E198:H198)</f>
        <v>2815646.25</v>
      </c>
      <c r="J198" s="358">
        <f t="shared" ref="J198:J213" si="127">D198-I198</f>
        <v>53497278.75</v>
      </c>
      <c r="K198" s="359">
        <f>ROUND(J198*8%,0)</f>
        <v>4279782</v>
      </c>
      <c r="L198" s="358">
        <f t="shared" ref="L198:L220" si="128">ROUND(J198-K198,0)</f>
        <v>49217497</v>
      </c>
      <c r="M198" s="358">
        <v>49217497</v>
      </c>
      <c r="N198" s="358">
        <f>L198-M198</f>
        <v>0</v>
      </c>
    </row>
    <row r="199" spans="1:14" x14ac:dyDescent="0.25">
      <c r="A199" s="429" t="s">
        <v>259</v>
      </c>
      <c r="B199" s="358">
        <v>73854676</v>
      </c>
      <c r="C199" s="555"/>
      <c r="D199" s="358">
        <f t="shared" si="125"/>
        <v>73854676</v>
      </c>
      <c r="E199" s="358">
        <v>0</v>
      </c>
      <c r="F199" s="358">
        <f t="shared" si="126"/>
        <v>3692733.8000000003</v>
      </c>
      <c r="G199" s="358"/>
      <c r="H199" s="358"/>
      <c r="I199" s="358">
        <f>SUM(E199:H199)</f>
        <v>3692733.8000000003</v>
      </c>
      <c r="J199" s="358">
        <f t="shared" si="127"/>
        <v>70161942.200000003</v>
      </c>
      <c r="K199" s="359">
        <f t="shared" ref="K199:K220" si="129">ROUND(J199*8%,0)</f>
        <v>5612955</v>
      </c>
      <c r="L199" s="358">
        <f t="shared" si="128"/>
        <v>64548987</v>
      </c>
      <c r="M199" s="358">
        <f>30000000+25000000+4000000+2500000+3048986</f>
        <v>64548986</v>
      </c>
      <c r="N199" s="358">
        <f t="shared" ref="N199:N220" si="130">L199-M199</f>
        <v>1</v>
      </c>
    </row>
    <row r="200" spans="1:14" x14ac:dyDescent="0.25">
      <c r="A200" s="429" t="s">
        <v>259</v>
      </c>
      <c r="B200" s="358">
        <v>100179346</v>
      </c>
      <c r="C200" s="555"/>
      <c r="D200" s="358">
        <f t="shared" si="125"/>
        <v>100179346</v>
      </c>
      <c r="E200" s="358">
        <v>94716616</v>
      </c>
      <c r="F200" s="358">
        <f t="shared" si="126"/>
        <v>5008967.3</v>
      </c>
      <c r="G200" s="358"/>
      <c r="H200" s="358">
        <v>96830</v>
      </c>
      <c r="I200" s="358">
        <f t="shared" ref="I200:I207" si="131">SUM(E200:H200)</f>
        <v>99822413.299999997</v>
      </c>
      <c r="J200" s="358">
        <f t="shared" si="127"/>
        <v>356932.70000000298</v>
      </c>
      <c r="K200" s="359">
        <f t="shared" si="129"/>
        <v>28555</v>
      </c>
      <c r="L200" s="358">
        <f t="shared" si="128"/>
        <v>328378</v>
      </c>
      <c r="M200" s="358">
        <v>328378</v>
      </c>
      <c r="N200" s="358">
        <f t="shared" si="130"/>
        <v>0</v>
      </c>
    </row>
    <row r="201" spans="1:14" x14ac:dyDescent="0.25">
      <c r="A201" s="429" t="s">
        <v>259</v>
      </c>
      <c r="B201" s="358">
        <v>56914177</v>
      </c>
      <c r="C201" s="555"/>
      <c r="D201" s="358">
        <f t="shared" si="125"/>
        <v>56914177</v>
      </c>
      <c r="E201" s="358">
        <v>40024167</v>
      </c>
      <c r="F201" s="358">
        <f t="shared" si="126"/>
        <v>2845708.85</v>
      </c>
      <c r="G201" s="358"/>
      <c r="H201" s="358"/>
      <c r="I201" s="358">
        <f t="shared" si="131"/>
        <v>42869875.850000001</v>
      </c>
      <c r="J201" s="358">
        <f t="shared" si="127"/>
        <v>14044301.149999999</v>
      </c>
      <c r="K201" s="359">
        <f t="shared" si="129"/>
        <v>1123544</v>
      </c>
      <c r="L201" s="358">
        <f t="shared" si="128"/>
        <v>12920757</v>
      </c>
      <c r="M201" s="358">
        <v>12920757</v>
      </c>
      <c r="N201" s="358">
        <f t="shared" si="130"/>
        <v>0</v>
      </c>
    </row>
    <row r="202" spans="1:14" x14ac:dyDescent="0.25">
      <c r="A202" s="429" t="s">
        <v>259</v>
      </c>
      <c r="B202" s="358">
        <v>26164289</v>
      </c>
      <c r="C202" s="555"/>
      <c r="D202" s="358">
        <f t="shared" si="125"/>
        <v>26164289</v>
      </c>
      <c r="E202" s="358">
        <v>19625252</v>
      </c>
      <c r="F202" s="358">
        <f t="shared" si="126"/>
        <v>1308214.4500000002</v>
      </c>
      <c r="G202" s="358"/>
      <c r="H202" s="358"/>
      <c r="I202" s="358">
        <f t="shared" si="131"/>
        <v>20933466.449999999</v>
      </c>
      <c r="J202" s="358">
        <f t="shared" si="127"/>
        <v>5230822.5500000007</v>
      </c>
      <c r="K202" s="359">
        <f t="shared" si="129"/>
        <v>418466</v>
      </c>
      <c r="L202" s="358">
        <f t="shared" si="128"/>
        <v>4812357</v>
      </c>
      <c r="M202" s="358">
        <v>4812357</v>
      </c>
      <c r="N202" s="358">
        <f t="shared" si="130"/>
        <v>0</v>
      </c>
    </row>
    <row r="203" spans="1:14" x14ac:dyDescent="0.25">
      <c r="A203" s="429" t="s">
        <v>259</v>
      </c>
      <c r="B203" s="358">
        <v>11213266</v>
      </c>
      <c r="C203" s="555"/>
      <c r="D203" s="358">
        <f t="shared" si="125"/>
        <v>11213266</v>
      </c>
      <c r="E203" s="358">
        <v>0</v>
      </c>
      <c r="F203" s="358">
        <f t="shared" si="126"/>
        <v>560663.30000000005</v>
      </c>
      <c r="G203" s="358"/>
      <c r="H203" s="358"/>
      <c r="I203" s="358">
        <f t="shared" si="131"/>
        <v>560663.30000000005</v>
      </c>
      <c r="J203" s="358">
        <f t="shared" si="127"/>
        <v>10652602.699999999</v>
      </c>
      <c r="K203" s="359">
        <f t="shared" si="129"/>
        <v>852208</v>
      </c>
      <c r="L203" s="358">
        <f t="shared" si="128"/>
        <v>9800395</v>
      </c>
      <c r="M203" s="358">
        <v>9800395</v>
      </c>
      <c r="N203" s="358">
        <f t="shared" si="130"/>
        <v>0</v>
      </c>
    </row>
    <row r="204" spans="1:14" x14ac:dyDescent="0.25">
      <c r="A204" s="429" t="s">
        <v>259</v>
      </c>
      <c r="B204" s="358">
        <v>31817350</v>
      </c>
      <c r="C204" s="555"/>
      <c r="D204" s="358">
        <f t="shared" si="125"/>
        <v>31817350</v>
      </c>
      <c r="E204" s="358">
        <v>26386838</v>
      </c>
      <c r="F204" s="358">
        <f t="shared" si="126"/>
        <v>1590867.5</v>
      </c>
      <c r="G204" s="358"/>
      <c r="H204" s="358"/>
      <c r="I204" s="358">
        <f t="shared" si="131"/>
        <v>27977705.5</v>
      </c>
      <c r="J204" s="358">
        <f t="shared" si="127"/>
        <v>3839644.5</v>
      </c>
      <c r="K204" s="359">
        <f t="shared" si="129"/>
        <v>307172</v>
      </c>
      <c r="L204" s="358">
        <f t="shared" si="128"/>
        <v>3532473</v>
      </c>
      <c r="M204" s="358">
        <f>10000000-8533509+2065982</f>
        <v>3532473</v>
      </c>
      <c r="N204" s="358">
        <f t="shared" si="130"/>
        <v>0</v>
      </c>
    </row>
    <row r="205" spans="1:14" x14ac:dyDescent="0.25">
      <c r="A205" s="429" t="s">
        <v>259</v>
      </c>
      <c r="B205" s="358">
        <v>13636008</v>
      </c>
      <c r="C205" s="555"/>
      <c r="D205" s="358">
        <f t="shared" si="125"/>
        <v>13636008</v>
      </c>
      <c r="E205" s="358"/>
      <c r="F205" s="358">
        <f t="shared" si="126"/>
        <v>681800.4</v>
      </c>
      <c r="G205" s="358">
        <v>12954000</v>
      </c>
      <c r="H205" s="358"/>
      <c r="I205" s="358">
        <f t="shared" si="131"/>
        <v>13635800.4</v>
      </c>
      <c r="J205" s="358">
        <f t="shared" si="127"/>
        <v>207.59999999962747</v>
      </c>
      <c r="K205" s="359">
        <f t="shared" si="129"/>
        <v>17</v>
      </c>
      <c r="L205" s="358">
        <f t="shared" si="128"/>
        <v>191</v>
      </c>
      <c r="M205" s="358">
        <v>0</v>
      </c>
      <c r="N205" s="358">
        <f t="shared" si="130"/>
        <v>191</v>
      </c>
    </row>
    <row r="206" spans="1:14" x14ac:dyDescent="0.25">
      <c r="A206" s="429" t="s">
        <v>259</v>
      </c>
      <c r="B206" s="358">
        <v>20249084</v>
      </c>
      <c r="C206" s="555"/>
      <c r="D206" s="358">
        <f t="shared" si="125"/>
        <v>20249084</v>
      </c>
      <c r="E206" s="358">
        <v>11946039</v>
      </c>
      <c r="F206" s="358">
        <f t="shared" si="126"/>
        <v>1012454.2000000001</v>
      </c>
      <c r="G206" s="358">
        <v>7290000</v>
      </c>
      <c r="H206" s="358"/>
      <c r="I206" s="358">
        <f t="shared" si="131"/>
        <v>20248493.199999999</v>
      </c>
      <c r="J206" s="358">
        <f t="shared" si="127"/>
        <v>590.80000000074506</v>
      </c>
      <c r="K206" s="359">
        <f t="shared" si="129"/>
        <v>47</v>
      </c>
      <c r="L206" s="358">
        <f t="shared" si="128"/>
        <v>544</v>
      </c>
      <c r="M206" s="358">
        <v>0</v>
      </c>
      <c r="N206" s="358">
        <f t="shared" si="130"/>
        <v>544</v>
      </c>
    </row>
    <row r="207" spans="1:14" x14ac:dyDescent="0.25">
      <c r="A207" s="429" t="s">
        <v>259</v>
      </c>
      <c r="B207" s="358">
        <v>8678178</v>
      </c>
      <c r="C207" s="555"/>
      <c r="D207" s="358">
        <f t="shared" si="125"/>
        <v>8678178</v>
      </c>
      <c r="E207" s="358"/>
      <c r="F207" s="358">
        <f t="shared" si="126"/>
        <v>433908.9</v>
      </c>
      <c r="G207" s="358">
        <v>7303464</v>
      </c>
      <c r="H207" s="358"/>
      <c r="I207" s="358">
        <f t="shared" si="131"/>
        <v>7737372.9000000004</v>
      </c>
      <c r="J207" s="358">
        <f t="shared" si="127"/>
        <v>940805.09999999963</v>
      </c>
      <c r="K207" s="359">
        <f t="shared" si="129"/>
        <v>75264</v>
      </c>
      <c r="L207" s="358">
        <f t="shared" si="128"/>
        <v>865541</v>
      </c>
      <c r="M207" s="358">
        <v>865541</v>
      </c>
      <c r="N207" s="358">
        <f t="shared" si="130"/>
        <v>0</v>
      </c>
    </row>
    <row r="208" spans="1:14" x14ac:dyDescent="0.25">
      <c r="A208" s="429" t="s">
        <v>259</v>
      </c>
      <c r="B208" s="358">
        <v>2730982</v>
      </c>
      <c r="C208" s="555"/>
      <c r="D208" s="358">
        <f t="shared" si="125"/>
        <v>2730982</v>
      </c>
      <c r="E208" s="358"/>
      <c r="F208" s="358">
        <f t="shared" si="126"/>
        <v>136549.1</v>
      </c>
      <c r="G208" s="358"/>
      <c r="H208" s="358"/>
      <c r="I208" s="358">
        <f t="shared" ref="I208:I213" si="132">SUM(E208:H208)</f>
        <v>136549.1</v>
      </c>
      <c r="J208" s="358">
        <f t="shared" si="127"/>
        <v>2594432.9</v>
      </c>
      <c r="K208" s="359">
        <f t="shared" si="129"/>
        <v>207555</v>
      </c>
      <c r="L208" s="358">
        <f t="shared" si="128"/>
        <v>2386878</v>
      </c>
      <c r="M208" s="358">
        <v>2386878</v>
      </c>
      <c r="N208" s="358">
        <f t="shared" si="130"/>
        <v>0</v>
      </c>
    </row>
    <row r="209" spans="1:14" x14ac:dyDescent="0.25">
      <c r="A209" s="429" t="s">
        <v>259</v>
      </c>
      <c r="B209" s="358">
        <v>1170421</v>
      </c>
      <c r="C209" s="555"/>
      <c r="D209" s="358">
        <f t="shared" si="125"/>
        <v>1170421</v>
      </c>
      <c r="E209" s="358"/>
      <c r="F209" s="358">
        <f t="shared" si="126"/>
        <v>58521.05</v>
      </c>
      <c r="G209" s="358"/>
      <c r="H209" s="358"/>
      <c r="I209" s="358">
        <f t="shared" si="132"/>
        <v>58521.05</v>
      </c>
      <c r="J209" s="358">
        <f t="shared" si="127"/>
        <v>1111899.95</v>
      </c>
      <c r="K209" s="359">
        <f t="shared" si="129"/>
        <v>88952</v>
      </c>
      <c r="L209" s="358">
        <f t="shared" si="128"/>
        <v>1022948</v>
      </c>
      <c r="M209" s="358">
        <v>1022948</v>
      </c>
      <c r="N209" s="358">
        <f t="shared" si="130"/>
        <v>0</v>
      </c>
    </row>
    <row r="210" spans="1:14" x14ac:dyDescent="0.25">
      <c r="A210" s="429" t="s">
        <v>259</v>
      </c>
      <c r="B210" s="358">
        <v>14400679</v>
      </c>
      <c r="C210" s="555"/>
      <c r="D210" s="358">
        <f t="shared" si="125"/>
        <v>14400679</v>
      </c>
      <c r="E210" s="358">
        <v>10921515</v>
      </c>
      <c r="F210" s="358">
        <f t="shared" si="126"/>
        <v>720033.95000000007</v>
      </c>
      <c r="G210" s="358"/>
      <c r="H210" s="358"/>
      <c r="I210" s="358">
        <f t="shared" si="132"/>
        <v>11641548.949999999</v>
      </c>
      <c r="J210" s="358">
        <f t="shared" si="127"/>
        <v>2759130.0500000007</v>
      </c>
      <c r="K210" s="359">
        <f>ROUND(J210*8%,0)</f>
        <v>220730</v>
      </c>
      <c r="L210" s="358">
        <f>ROUND(J210-K210,0)</f>
        <v>2538400</v>
      </c>
      <c r="M210" s="358">
        <v>2538400</v>
      </c>
      <c r="N210" s="358">
        <f>L210-M210</f>
        <v>0</v>
      </c>
    </row>
    <row r="211" spans="1:14" x14ac:dyDescent="0.25">
      <c r="A211" s="429" t="s">
        <v>259</v>
      </c>
      <c r="B211" s="358">
        <v>6171717</v>
      </c>
      <c r="C211" s="555"/>
      <c r="D211" s="358">
        <f t="shared" si="125"/>
        <v>6171717</v>
      </c>
      <c r="E211" s="358"/>
      <c r="F211" s="358">
        <f t="shared" si="126"/>
        <v>308585.85000000003</v>
      </c>
      <c r="G211" s="358"/>
      <c r="H211" s="358"/>
      <c r="I211" s="358">
        <f t="shared" si="132"/>
        <v>308585.85000000003</v>
      </c>
      <c r="J211" s="358">
        <f t="shared" si="127"/>
        <v>5863131.1500000004</v>
      </c>
      <c r="K211" s="359">
        <f>ROUND(J211*8%,0)</f>
        <v>469050</v>
      </c>
      <c r="L211" s="358">
        <f>ROUND(J211-K211,0)</f>
        <v>5394081</v>
      </c>
      <c r="M211" s="358">
        <v>5394081</v>
      </c>
      <c r="N211" s="358">
        <f>L211-M211</f>
        <v>0</v>
      </c>
    </row>
    <row r="212" spans="1:14" x14ac:dyDescent="0.25">
      <c r="A212" s="429" t="s">
        <v>259</v>
      </c>
      <c r="B212" s="358">
        <v>2250805</v>
      </c>
      <c r="C212" s="555"/>
      <c r="D212" s="358">
        <f t="shared" si="125"/>
        <v>2250805</v>
      </c>
      <c r="E212" s="358"/>
      <c r="F212" s="649">
        <f t="shared" ref="F212:F213" si="133">D212*5%</f>
        <v>112540.25</v>
      </c>
      <c r="G212" s="358"/>
      <c r="H212" s="358"/>
      <c r="I212" s="358">
        <f t="shared" si="132"/>
        <v>112540.25</v>
      </c>
      <c r="J212" s="358">
        <f t="shared" si="127"/>
        <v>2138264.75</v>
      </c>
      <c r="K212" s="359">
        <f>ROUND(J212*8%,0)</f>
        <v>171061</v>
      </c>
      <c r="L212" s="358">
        <f>ROUND(J212-K212,0)</f>
        <v>1967204</v>
      </c>
      <c r="M212" s="358">
        <v>1967204</v>
      </c>
      <c r="N212" s="358">
        <f t="shared" ref="N212:N213" si="134">L212-M212</f>
        <v>0</v>
      </c>
    </row>
    <row r="213" spans="1:14" x14ac:dyDescent="0.25">
      <c r="A213" s="429" t="s">
        <v>259</v>
      </c>
      <c r="B213" s="358">
        <v>964631</v>
      </c>
      <c r="C213" s="555"/>
      <c r="D213" s="358">
        <f t="shared" si="125"/>
        <v>964631</v>
      </c>
      <c r="E213" s="358"/>
      <c r="F213" s="649">
        <f t="shared" si="133"/>
        <v>48231.55</v>
      </c>
      <c r="G213" s="358"/>
      <c r="H213" s="358"/>
      <c r="I213" s="358">
        <f t="shared" si="132"/>
        <v>48231.55</v>
      </c>
      <c r="J213" s="358">
        <f t="shared" si="127"/>
        <v>916399.45</v>
      </c>
      <c r="K213" s="359">
        <f>ROUND(J213*8%,0)</f>
        <v>73312</v>
      </c>
      <c r="L213" s="358">
        <f>ROUND(J213-K213,0)</f>
        <v>843087</v>
      </c>
      <c r="M213" s="358">
        <v>843087</v>
      </c>
      <c r="N213" s="358">
        <f t="shared" si="134"/>
        <v>0</v>
      </c>
    </row>
    <row r="214" spans="1:14" x14ac:dyDescent="0.25">
      <c r="A214" s="429" t="s">
        <v>259</v>
      </c>
      <c r="B214" s="360">
        <f>SUM(B198:B213)</f>
        <v>426708534</v>
      </c>
      <c r="C214" s="360">
        <f t="shared" ref="C214:N214" si="135">SUM(C198:C213)</f>
        <v>0</v>
      </c>
      <c r="D214" s="360">
        <f t="shared" si="135"/>
        <v>426708534</v>
      </c>
      <c r="E214" s="360">
        <f t="shared" si="135"/>
        <v>203620427</v>
      </c>
      <c r="F214" s="360">
        <f t="shared" si="135"/>
        <v>21335426.700000003</v>
      </c>
      <c r="G214" s="360">
        <f t="shared" si="135"/>
        <v>27547464</v>
      </c>
      <c r="H214" s="360">
        <f t="shared" si="135"/>
        <v>96830</v>
      </c>
      <c r="I214" s="360">
        <f t="shared" si="135"/>
        <v>252600147.69999999</v>
      </c>
      <c r="J214" s="360">
        <f t="shared" si="135"/>
        <v>174108386.30000001</v>
      </c>
      <c r="K214" s="360">
        <f t="shared" si="135"/>
        <v>13928670</v>
      </c>
      <c r="L214" s="360">
        <f t="shared" si="135"/>
        <v>160179718</v>
      </c>
      <c r="M214" s="360">
        <f t="shared" si="135"/>
        <v>160178982</v>
      </c>
      <c r="N214" s="360">
        <f t="shared" si="135"/>
        <v>736</v>
      </c>
    </row>
    <row r="215" spans="1:14" x14ac:dyDescent="0.25">
      <c r="A215" s="429" t="s">
        <v>259</v>
      </c>
      <c r="B215" s="358">
        <v>108682727</v>
      </c>
      <c r="C215" s="555"/>
      <c r="D215" s="358">
        <f t="shared" ref="D215:D225" si="136">SUM(B215:C215)</f>
        <v>108682727</v>
      </c>
      <c r="E215" s="358">
        <v>51241958</v>
      </c>
      <c r="F215" s="358">
        <f t="shared" ref="F215:F222" si="137">B215*5%</f>
        <v>5434136.3500000006</v>
      </c>
      <c r="G215" s="358"/>
      <c r="H215" s="358"/>
      <c r="I215" s="358">
        <f t="shared" ref="I215:I222" si="138">SUM(E215:H215)</f>
        <v>56676094.350000001</v>
      </c>
      <c r="J215" s="358">
        <f t="shared" ref="J215:J225" si="139">D215-I215</f>
        <v>52006632.649999999</v>
      </c>
      <c r="K215" s="359">
        <f t="shared" si="129"/>
        <v>4160531</v>
      </c>
      <c r="L215" s="358">
        <f t="shared" si="128"/>
        <v>47846102</v>
      </c>
      <c r="M215" s="358">
        <v>47846102</v>
      </c>
      <c r="N215" s="358">
        <f t="shared" si="130"/>
        <v>0</v>
      </c>
    </row>
    <row r="216" spans="1:14" x14ac:dyDescent="0.25">
      <c r="A216" s="429" t="s">
        <v>259</v>
      </c>
      <c r="B216" s="358">
        <v>46578312</v>
      </c>
      <c r="C216" s="555"/>
      <c r="D216" s="358">
        <f t="shared" si="136"/>
        <v>46578312</v>
      </c>
      <c r="E216" s="358">
        <v>21982268</v>
      </c>
      <c r="F216" s="358">
        <f t="shared" si="137"/>
        <v>2328915.6</v>
      </c>
      <c r="G216" s="358">
        <v>13947086</v>
      </c>
      <c r="H216" s="358"/>
      <c r="I216" s="358">
        <f t="shared" si="138"/>
        <v>38258269.600000001</v>
      </c>
      <c r="J216" s="358">
        <f t="shared" si="139"/>
        <v>8320042.3999999985</v>
      </c>
      <c r="K216" s="359">
        <f t="shared" si="129"/>
        <v>665603</v>
      </c>
      <c r="L216" s="358">
        <f t="shared" si="128"/>
        <v>7654439</v>
      </c>
      <c r="M216" s="358">
        <v>7654439</v>
      </c>
      <c r="N216" s="358">
        <f t="shared" si="130"/>
        <v>0</v>
      </c>
    </row>
    <row r="217" spans="1:14" x14ac:dyDescent="0.25">
      <c r="A217" s="429" t="s">
        <v>259</v>
      </c>
      <c r="B217" s="358">
        <v>19234743</v>
      </c>
      <c r="C217" s="555"/>
      <c r="D217" s="358">
        <f t="shared" si="136"/>
        <v>19234743</v>
      </c>
      <c r="E217" s="358">
        <v>17794764</v>
      </c>
      <c r="F217" s="358">
        <f t="shared" si="137"/>
        <v>961737.15</v>
      </c>
      <c r="G217" s="358"/>
      <c r="H217" s="358"/>
      <c r="I217" s="358">
        <f t="shared" si="138"/>
        <v>18756501.149999999</v>
      </c>
      <c r="J217" s="358">
        <f t="shared" si="139"/>
        <v>478241.85000000149</v>
      </c>
      <c r="K217" s="359">
        <f t="shared" si="129"/>
        <v>38259</v>
      </c>
      <c r="L217" s="358">
        <f t="shared" si="128"/>
        <v>439983</v>
      </c>
      <c r="M217" s="358">
        <v>439983</v>
      </c>
      <c r="N217" s="358">
        <f t="shared" si="130"/>
        <v>0</v>
      </c>
    </row>
    <row r="218" spans="1:14" x14ac:dyDescent="0.25">
      <c r="A218" s="429" t="s">
        <v>259</v>
      </c>
      <c r="B218" s="358">
        <v>8243461</v>
      </c>
      <c r="C218" s="555"/>
      <c r="D218" s="358">
        <f t="shared" si="136"/>
        <v>8243461</v>
      </c>
      <c r="E218" s="358"/>
      <c r="F218" s="358">
        <f t="shared" si="137"/>
        <v>412173.05000000005</v>
      </c>
      <c r="G218" s="358"/>
      <c r="H218" s="358"/>
      <c r="I218" s="358">
        <f t="shared" si="138"/>
        <v>412173.05000000005</v>
      </c>
      <c r="J218" s="358">
        <f t="shared" si="139"/>
        <v>7831287.9500000002</v>
      </c>
      <c r="K218" s="359">
        <f t="shared" si="129"/>
        <v>626503</v>
      </c>
      <c r="L218" s="358">
        <f t="shared" si="128"/>
        <v>7204785</v>
      </c>
      <c r="M218" s="358">
        <v>7204785</v>
      </c>
      <c r="N218" s="358">
        <f t="shared" si="130"/>
        <v>0</v>
      </c>
    </row>
    <row r="219" spans="1:14" x14ac:dyDescent="0.25">
      <c r="A219" s="429" t="s">
        <v>259</v>
      </c>
      <c r="B219" s="358">
        <v>12572914</v>
      </c>
      <c r="C219" s="555"/>
      <c r="D219" s="358">
        <f t="shared" si="136"/>
        <v>12572914</v>
      </c>
      <c r="E219" s="358">
        <v>8262145</v>
      </c>
      <c r="F219" s="358">
        <f t="shared" si="137"/>
        <v>628645.70000000007</v>
      </c>
      <c r="G219" s="358"/>
      <c r="H219" s="358">
        <v>250338</v>
      </c>
      <c r="I219" s="358">
        <f t="shared" si="138"/>
        <v>9141128.6999999993</v>
      </c>
      <c r="J219" s="358">
        <f t="shared" si="139"/>
        <v>3431785.3000000007</v>
      </c>
      <c r="K219" s="359">
        <f t="shared" si="129"/>
        <v>274543</v>
      </c>
      <c r="L219" s="358">
        <f t="shared" si="128"/>
        <v>3157242</v>
      </c>
      <c r="M219" s="358">
        <v>3157242</v>
      </c>
      <c r="N219" s="358">
        <f t="shared" si="130"/>
        <v>0</v>
      </c>
    </row>
    <row r="220" spans="1:14" x14ac:dyDescent="0.25">
      <c r="A220" s="429" t="s">
        <v>259</v>
      </c>
      <c r="B220" s="358">
        <v>5388391.8200000003</v>
      </c>
      <c r="C220" s="555"/>
      <c r="D220" s="358">
        <f t="shared" si="136"/>
        <v>5388391.8200000003</v>
      </c>
      <c r="E220" s="358">
        <v>4546566</v>
      </c>
      <c r="F220" s="358">
        <f t="shared" si="137"/>
        <v>269419.59100000001</v>
      </c>
      <c r="G220" s="358"/>
      <c r="H220" s="358">
        <v>0</v>
      </c>
      <c r="I220" s="358">
        <f t="shared" si="138"/>
        <v>4815985.591</v>
      </c>
      <c r="J220" s="358">
        <f t="shared" si="139"/>
        <v>572406.22900000028</v>
      </c>
      <c r="K220" s="359">
        <f t="shared" si="129"/>
        <v>45792</v>
      </c>
      <c r="L220" s="358">
        <f t="shared" si="128"/>
        <v>526614</v>
      </c>
      <c r="M220" s="358">
        <v>526614</v>
      </c>
      <c r="N220" s="358">
        <f t="shared" si="130"/>
        <v>0</v>
      </c>
    </row>
    <row r="221" spans="1:14" x14ac:dyDescent="0.25">
      <c r="A221" s="429"/>
      <c r="B221" s="358">
        <v>8424214</v>
      </c>
      <c r="C221" s="555"/>
      <c r="D221" s="358">
        <f t="shared" si="136"/>
        <v>8424214</v>
      </c>
      <c r="E221" s="358">
        <v>5850851</v>
      </c>
      <c r="F221" s="358">
        <f t="shared" si="137"/>
        <v>421210.7</v>
      </c>
      <c r="G221" s="358"/>
      <c r="H221" s="358"/>
      <c r="I221" s="358">
        <f t="shared" si="138"/>
        <v>6272061.7000000002</v>
      </c>
      <c r="J221" s="358">
        <f t="shared" si="139"/>
        <v>2152152.2999999998</v>
      </c>
      <c r="K221" s="359">
        <f>ROUND(J221*8%,0)</f>
        <v>172172</v>
      </c>
      <c r="L221" s="358">
        <f>ROUND(J221-K221,0)</f>
        <v>1979980</v>
      </c>
      <c r="M221" s="358">
        <v>1979980</v>
      </c>
      <c r="N221" s="358">
        <f>L221-M221</f>
        <v>0</v>
      </c>
    </row>
    <row r="222" spans="1:14" x14ac:dyDescent="0.25">
      <c r="A222" s="429"/>
      <c r="B222" s="358">
        <v>3610377</v>
      </c>
      <c r="C222" s="555"/>
      <c r="D222" s="358">
        <f t="shared" si="136"/>
        <v>3610377</v>
      </c>
      <c r="E222" s="358"/>
      <c r="F222" s="358">
        <f t="shared" si="137"/>
        <v>180518.85</v>
      </c>
      <c r="G222" s="358"/>
      <c r="H222" s="358"/>
      <c r="I222" s="358">
        <f t="shared" si="138"/>
        <v>180518.85</v>
      </c>
      <c r="J222" s="358">
        <f t="shared" si="139"/>
        <v>3429858.15</v>
      </c>
      <c r="K222" s="359">
        <f>ROUND(J222*8%,0)</f>
        <v>274389</v>
      </c>
      <c r="L222" s="358">
        <f>ROUND(J222-K222,0)</f>
        <v>3155469</v>
      </c>
      <c r="M222" s="358">
        <v>3155469</v>
      </c>
      <c r="N222" s="358">
        <f>L222-M222</f>
        <v>0</v>
      </c>
    </row>
    <row r="223" spans="1:14" x14ac:dyDescent="0.25">
      <c r="A223" s="429"/>
      <c r="B223" s="358">
        <v>22749839</v>
      </c>
      <c r="C223" s="555"/>
      <c r="D223" s="358">
        <f t="shared" si="136"/>
        <v>22749839</v>
      </c>
      <c r="E223" s="645"/>
      <c r="F223" s="645">
        <f t="shared" ref="F223:F224" si="140">D223*5%</f>
        <v>1137491.95</v>
      </c>
      <c r="G223" s="645"/>
      <c r="H223" s="645"/>
      <c r="I223" s="358">
        <f t="shared" ref="I223:I225" si="141">SUM(E223:H223)</f>
        <v>1137491.95</v>
      </c>
      <c r="J223" s="358">
        <f t="shared" si="139"/>
        <v>21612347.050000001</v>
      </c>
      <c r="K223" s="359">
        <f t="shared" ref="K223:K225" si="142">ROUND(J223*8%,0)</f>
        <v>1728988</v>
      </c>
      <c r="L223" s="358">
        <f t="shared" ref="L223:L225" si="143">ROUND(J223-K223,0)</f>
        <v>19883359</v>
      </c>
      <c r="M223" s="358">
        <v>19883359</v>
      </c>
      <c r="N223" s="358">
        <f t="shared" ref="N223:N225" si="144">L223-M223</f>
        <v>0</v>
      </c>
    </row>
    <row r="224" spans="1:14" x14ac:dyDescent="0.25">
      <c r="A224" s="429"/>
      <c r="B224" s="358">
        <v>3884479</v>
      </c>
      <c r="C224" s="555"/>
      <c r="D224" s="358">
        <f t="shared" si="136"/>
        <v>3884479</v>
      </c>
      <c r="E224" s="650">
        <v>9373207</v>
      </c>
      <c r="F224" s="650">
        <f t="shared" si="140"/>
        <v>194223.95</v>
      </c>
      <c r="G224" s="650">
        <v>-13947086</v>
      </c>
      <c r="H224" s="650">
        <v>0</v>
      </c>
      <c r="I224" s="358">
        <f t="shared" si="141"/>
        <v>-4379655.0500000007</v>
      </c>
      <c r="J224" s="358">
        <f t="shared" si="139"/>
        <v>8264134.0500000007</v>
      </c>
      <c r="K224" s="359">
        <f t="shared" si="142"/>
        <v>661131</v>
      </c>
      <c r="L224" s="358">
        <f t="shared" si="143"/>
        <v>7603003</v>
      </c>
      <c r="M224" s="358">
        <v>7603003</v>
      </c>
      <c r="N224" s="358">
        <f t="shared" si="144"/>
        <v>0</v>
      </c>
    </row>
    <row r="225" spans="1:14" x14ac:dyDescent="0.25">
      <c r="A225" s="429"/>
      <c r="B225" s="358">
        <v>11414708</v>
      </c>
      <c r="C225" s="555"/>
      <c r="D225" s="358">
        <f t="shared" si="136"/>
        <v>11414708</v>
      </c>
      <c r="E225" s="650">
        <v>2891703</v>
      </c>
      <c r="F225" s="650"/>
      <c r="G225" s="650"/>
      <c r="H225" s="650">
        <v>312939</v>
      </c>
      <c r="I225" s="358">
        <f t="shared" si="141"/>
        <v>3204642</v>
      </c>
      <c r="J225" s="358">
        <f t="shared" si="139"/>
        <v>8210066</v>
      </c>
      <c r="K225" s="359">
        <f t="shared" si="142"/>
        <v>656805</v>
      </c>
      <c r="L225" s="358">
        <f t="shared" si="143"/>
        <v>7553261</v>
      </c>
      <c r="M225" s="358">
        <v>7553261</v>
      </c>
      <c r="N225" s="358">
        <f t="shared" si="144"/>
        <v>0</v>
      </c>
    </row>
    <row r="226" spans="1:14" x14ac:dyDescent="0.25">
      <c r="A226" s="429" t="s">
        <v>259</v>
      </c>
      <c r="B226" s="360">
        <f>SUM(B215:B225)</f>
        <v>250784165.81999999</v>
      </c>
      <c r="C226" s="360">
        <f t="shared" ref="C226:N226" si="145">SUM(C215:C225)</f>
        <v>0</v>
      </c>
      <c r="D226" s="360">
        <f t="shared" si="145"/>
        <v>250784165.81999999</v>
      </c>
      <c r="E226" s="360">
        <f t="shared" si="145"/>
        <v>121943462</v>
      </c>
      <c r="F226" s="360">
        <f t="shared" si="145"/>
        <v>11968472.890999999</v>
      </c>
      <c r="G226" s="360">
        <f t="shared" si="145"/>
        <v>0</v>
      </c>
      <c r="H226" s="360">
        <f t="shared" si="145"/>
        <v>563277</v>
      </c>
      <c r="I226" s="360">
        <f t="shared" si="145"/>
        <v>134475211.89099997</v>
      </c>
      <c r="J226" s="360">
        <f t="shared" si="145"/>
        <v>116308953.92899999</v>
      </c>
      <c r="K226" s="360">
        <f t="shared" si="145"/>
        <v>9304716</v>
      </c>
      <c r="L226" s="360">
        <f t="shared" si="145"/>
        <v>107004237</v>
      </c>
      <c r="M226" s="360">
        <f t="shared" si="145"/>
        <v>107004237</v>
      </c>
      <c r="N226" s="360">
        <f t="shared" si="145"/>
        <v>0</v>
      </c>
    </row>
    <row r="227" spans="1:14" x14ac:dyDescent="0.25">
      <c r="A227" s="429" t="s">
        <v>259</v>
      </c>
      <c r="B227" s="358">
        <v>26958060</v>
      </c>
      <c r="C227" s="555"/>
      <c r="D227" s="358">
        <f t="shared" ref="D227:D235" si="146">SUM(B227:C227)</f>
        <v>26958060</v>
      </c>
      <c r="E227" s="358">
        <v>19708848</v>
      </c>
      <c r="F227" s="358">
        <f t="shared" ref="F227:F232" si="147">B227*5%</f>
        <v>1347903</v>
      </c>
      <c r="G227" s="358">
        <v>5901000</v>
      </c>
      <c r="H227" s="358"/>
      <c r="I227" s="358">
        <f t="shared" ref="I227:I232" si="148">SUM(E227:H227)</f>
        <v>26957751</v>
      </c>
      <c r="J227" s="358">
        <f t="shared" ref="J227:J235" si="149">D227-I227</f>
        <v>309</v>
      </c>
      <c r="K227" s="359">
        <f t="shared" ref="K227:K232" si="150">ROUND(J227*8%,0)</f>
        <v>25</v>
      </c>
      <c r="L227" s="358">
        <f t="shared" ref="L227:L232" si="151">ROUND(J227-K227,0)</f>
        <v>284</v>
      </c>
      <c r="M227" s="358">
        <v>0</v>
      </c>
      <c r="N227" s="358">
        <f t="shared" ref="N227:N235" si="152">L227-M227</f>
        <v>284</v>
      </c>
    </row>
    <row r="228" spans="1:14" x14ac:dyDescent="0.25">
      <c r="A228" s="429" t="s">
        <v>259</v>
      </c>
      <c r="B228" s="358">
        <v>11553455</v>
      </c>
      <c r="C228" s="555"/>
      <c r="D228" s="358">
        <f t="shared" si="146"/>
        <v>11553455</v>
      </c>
      <c r="E228" s="358">
        <v>7888317</v>
      </c>
      <c r="F228" s="358">
        <f t="shared" si="147"/>
        <v>577672.75</v>
      </c>
      <c r="G228" s="358">
        <v>3087000</v>
      </c>
      <c r="H228" s="358"/>
      <c r="I228" s="358">
        <f t="shared" si="148"/>
        <v>11552989.75</v>
      </c>
      <c r="J228" s="358">
        <f t="shared" si="149"/>
        <v>465.25</v>
      </c>
      <c r="K228" s="359">
        <f t="shared" si="150"/>
        <v>37</v>
      </c>
      <c r="L228" s="358">
        <f t="shared" si="151"/>
        <v>428</v>
      </c>
      <c r="M228" s="358">
        <v>0</v>
      </c>
      <c r="N228" s="358">
        <f t="shared" si="152"/>
        <v>428</v>
      </c>
    </row>
    <row r="229" spans="1:14" x14ac:dyDescent="0.25">
      <c r="A229" s="429" t="s">
        <v>259</v>
      </c>
      <c r="B229" s="358">
        <v>15982025</v>
      </c>
      <c r="C229" s="555"/>
      <c r="D229" s="358">
        <f t="shared" si="146"/>
        <v>15982025</v>
      </c>
      <c r="E229" s="358">
        <v>14260025</v>
      </c>
      <c r="F229" s="358">
        <f t="shared" si="147"/>
        <v>799101.25</v>
      </c>
      <c r="G229" s="358"/>
      <c r="H229" s="358"/>
      <c r="I229" s="358">
        <f t="shared" si="148"/>
        <v>15059126.25</v>
      </c>
      <c r="J229" s="358">
        <f t="shared" si="149"/>
        <v>922898.75</v>
      </c>
      <c r="K229" s="359">
        <f t="shared" si="150"/>
        <v>73832</v>
      </c>
      <c r="L229" s="358">
        <f t="shared" si="151"/>
        <v>849067</v>
      </c>
      <c r="M229" s="358">
        <v>849067</v>
      </c>
      <c r="N229" s="358">
        <f t="shared" si="152"/>
        <v>0</v>
      </c>
    </row>
    <row r="230" spans="1:14" x14ac:dyDescent="0.25">
      <c r="A230" s="429" t="s">
        <v>259</v>
      </c>
      <c r="B230" s="358">
        <v>6849440</v>
      </c>
      <c r="C230" s="555"/>
      <c r="D230" s="358">
        <f t="shared" si="146"/>
        <v>6849440</v>
      </c>
      <c r="E230" s="358"/>
      <c r="F230" s="358">
        <f t="shared" si="147"/>
        <v>342472</v>
      </c>
      <c r="G230" s="358"/>
      <c r="H230" s="358"/>
      <c r="I230" s="358">
        <f t="shared" si="148"/>
        <v>342472</v>
      </c>
      <c r="J230" s="358">
        <f t="shared" si="149"/>
        <v>6506968</v>
      </c>
      <c r="K230" s="359">
        <f t="shared" si="150"/>
        <v>520557</v>
      </c>
      <c r="L230" s="358">
        <f t="shared" si="151"/>
        <v>5986411</v>
      </c>
      <c r="M230" s="358">
        <v>5986411</v>
      </c>
      <c r="N230" s="358">
        <f t="shared" si="152"/>
        <v>0</v>
      </c>
    </row>
    <row r="231" spans="1:14" x14ac:dyDescent="0.25">
      <c r="A231" s="429"/>
      <c r="B231" s="358">
        <v>14961941</v>
      </c>
      <c r="C231" s="555"/>
      <c r="D231" s="358">
        <f t="shared" si="146"/>
        <v>14961941</v>
      </c>
      <c r="E231" s="358">
        <v>10121395</v>
      </c>
      <c r="F231" s="358">
        <f t="shared" si="147"/>
        <v>748097.05</v>
      </c>
      <c r="G231" s="358"/>
      <c r="H231" s="358"/>
      <c r="I231" s="358">
        <f t="shared" si="148"/>
        <v>10869492.050000001</v>
      </c>
      <c r="J231" s="358">
        <f t="shared" si="149"/>
        <v>4092448.9499999993</v>
      </c>
      <c r="K231" s="359">
        <f t="shared" si="150"/>
        <v>327396</v>
      </c>
      <c r="L231" s="358">
        <f t="shared" si="151"/>
        <v>3765053</v>
      </c>
      <c r="M231" s="358">
        <v>3765053</v>
      </c>
      <c r="N231" s="358">
        <f t="shared" si="152"/>
        <v>0</v>
      </c>
    </row>
    <row r="232" spans="1:14" x14ac:dyDescent="0.25">
      <c r="A232" s="429"/>
      <c r="B232" s="358">
        <v>6412260</v>
      </c>
      <c r="C232" s="555"/>
      <c r="D232" s="358">
        <f t="shared" si="146"/>
        <v>6412260</v>
      </c>
      <c r="E232" s="358"/>
      <c r="F232" s="358">
        <f t="shared" si="147"/>
        <v>320613</v>
      </c>
      <c r="G232" s="358"/>
      <c r="H232" s="358"/>
      <c r="I232" s="358">
        <f t="shared" si="148"/>
        <v>320613</v>
      </c>
      <c r="J232" s="358">
        <f t="shared" si="149"/>
        <v>6091647</v>
      </c>
      <c r="K232" s="359">
        <f t="shared" si="150"/>
        <v>487332</v>
      </c>
      <c r="L232" s="358">
        <f t="shared" si="151"/>
        <v>5604315</v>
      </c>
      <c r="M232" s="358">
        <v>5604315</v>
      </c>
      <c r="N232" s="358">
        <f t="shared" si="152"/>
        <v>0</v>
      </c>
    </row>
    <row r="233" spans="1:14" x14ac:dyDescent="0.25">
      <c r="A233" s="429"/>
      <c r="B233" s="651">
        <v>15658544</v>
      </c>
      <c r="C233" s="555"/>
      <c r="D233" s="358">
        <f t="shared" si="146"/>
        <v>15658544</v>
      </c>
      <c r="E233" s="358"/>
      <c r="F233" s="645">
        <f t="shared" ref="F233:F235" si="153">D233*5%</f>
        <v>782927.20000000007</v>
      </c>
      <c r="G233" s="358"/>
      <c r="H233" s="358"/>
      <c r="I233" s="358">
        <f t="shared" ref="I233:I235" si="154">SUM(E233:H233)</f>
        <v>782927.20000000007</v>
      </c>
      <c r="J233" s="358">
        <f t="shared" si="149"/>
        <v>14875616.800000001</v>
      </c>
      <c r="K233" s="359">
        <f t="shared" ref="K233:K235" si="155">ROUND(J233*8%,0)</f>
        <v>1190049</v>
      </c>
      <c r="L233" s="358">
        <f t="shared" ref="L233:L235" si="156">ROUND(J233-K233,0)</f>
        <v>13685568</v>
      </c>
      <c r="M233" s="358">
        <v>13685568</v>
      </c>
      <c r="N233" s="358">
        <f t="shared" si="152"/>
        <v>0</v>
      </c>
    </row>
    <row r="234" spans="1:14" x14ac:dyDescent="0.25">
      <c r="A234" s="429"/>
      <c r="B234" s="651">
        <v>7446552</v>
      </c>
      <c r="C234" s="555"/>
      <c r="D234" s="358">
        <f t="shared" si="146"/>
        <v>7446552</v>
      </c>
      <c r="E234" s="358"/>
      <c r="F234" s="645">
        <f t="shared" si="153"/>
        <v>372327.60000000003</v>
      </c>
      <c r="G234" s="358"/>
      <c r="H234" s="358"/>
      <c r="I234" s="358">
        <f t="shared" si="154"/>
        <v>372327.60000000003</v>
      </c>
      <c r="J234" s="358">
        <f t="shared" si="149"/>
        <v>7074224.4000000004</v>
      </c>
      <c r="K234" s="359">
        <f t="shared" si="155"/>
        <v>565938</v>
      </c>
      <c r="L234" s="358">
        <f t="shared" si="156"/>
        <v>6508286</v>
      </c>
      <c r="M234" s="358">
        <v>6508286</v>
      </c>
      <c r="N234" s="358">
        <f t="shared" si="152"/>
        <v>0</v>
      </c>
    </row>
    <row r="235" spans="1:14" x14ac:dyDescent="0.25">
      <c r="A235" s="429"/>
      <c r="B235" s="651">
        <v>9902185</v>
      </c>
      <c r="C235" s="555"/>
      <c r="D235" s="358">
        <f t="shared" si="146"/>
        <v>9902185</v>
      </c>
      <c r="E235" s="358"/>
      <c r="F235" s="645">
        <f t="shared" si="153"/>
        <v>495109.25</v>
      </c>
      <c r="G235" s="358"/>
      <c r="H235" s="358"/>
      <c r="I235" s="358">
        <f t="shared" si="154"/>
        <v>495109.25</v>
      </c>
      <c r="J235" s="358">
        <f t="shared" si="149"/>
        <v>9407075.75</v>
      </c>
      <c r="K235" s="359">
        <f t="shared" si="155"/>
        <v>752566</v>
      </c>
      <c r="L235" s="358">
        <f t="shared" si="156"/>
        <v>8654510</v>
      </c>
      <c r="M235" s="358">
        <v>8654510</v>
      </c>
      <c r="N235" s="358">
        <f t="shared" si="152"/>
        <v>0</v>
      </c>
    </row>
    <row r="236" spans="1:14" x14ac:dyDescent="0.25">
      <c r="A236" s="429" t="s">
        <v>259</v>
      </c>
      <c r="B236" s="360">
        <f t="shared" ref="B236:N236" si="157">SUM(B227:B235)</f>
        <v>115724462</v>
      </c>
      <c r="C236" s="360">
        <f t="shared" si="157"/>
        <v>0</v>
      </c>
      <c r="D236" s="360">
        <f t="shared" si="157"/>
        <v>115724462</v>
      </c>
      <c r="E236" s="360">
        <f t="shared" si="157"/>
        <v>51978585</v>
      </c>
      <c r="F236" s="360">
        <f t="shared" si="157"/>
        <v>5786223.0999999996</v>
      </c>
      <c r="G236" s="360">
        <f t="shared" si="157"/>
        <v>8988000</v>
      </c>
      <c r="H236" s="360">
        <f t="shared" si="157"/>
        <v>0</v>
      </c>
      <c r="I236" s="360">
        <f t="shared" si="157"/>
        <v>66752808.100000001</v>
      </c>
      <c r="J236" s="360">
        <f t="shared" si="157"/>
        <v>48971653.899999999</v>
      </c>
      <c r="K236" s="360">
        <f t="shared" si="157"/>
        <v>3917732</v>
      </c>
      <c r="L236" s="360">
        <f t="shared" si="157"/>
        <v>45053922</v>
      </c>
      <c r="M236" s="360">
        <f t="shared" si="157"/>
        <v>45053210</v>
      </c>
      <c r="N236" s="360">
        <f t="shared" si="157"/>
        <v>712</v>
      </c>
    </row>
    <row r="237" spans="1:14" x14ac:dyDescent="0.25">
      <c r="A237" s="429" t="s">
        <v>259</v>
      </c>
      <c r="B237" s="358">
        <v>11000719</v>
      </c>
      <c r="C237" s="555"/>
      <c r="D237" s="358">
        <f>SUM(B237:C237)</f>
        <v>11000719</v>
      </c>
      <c r="E237" s="358">
        <v>0</v>
      </c>
      <c r="F237" s="358">
        <f>B237*5%</f>
        <v>550035.95000000007</v>
      </c>
      <c r="G237" s="358"/>
      <c r="H237" s="358"/>
      <c r="I237" s="358">
        <f>SUM(E237:H237)</f>
        <v>550035.95000000007</v>
      </c>
      <c r="J237" s="358">
        <f>D237-I237</f>
        <v>10450683.050000001</v>
      </c>
      <c r="K237" s="359">
        <f>ROUND(J237*8%,0)</f>
        <v>836055</v>
      </c>
      <c r="L237" s="358">
        <f>ROUND(J237-K237,0)</f>
        <v>9614628</v>
      </c>
      <c r="M237" s="358">
        <v>9614628</v>
      </c>
      <c r="N237" s="358">
        <f>L237-M237</f>
        <v>0</v>
      </c>
    </row>
    <row r="238" spans="1:14" x14ac:dyDescent="0.25">
      <c r="A238" s="429"/>
      <c r="B238" s="358">
        <v>2515968</v>
      </c>
      <c r="C238" s="555"/>
      <c r="D238" s="358">
        <f>SUM(B238:C238)</f>
        <v>2515968</v>
      </c>
      <c r="E238" s="358"/>
      <c r="F238" s="645">
        <f>D238*5%</f>
        <v>125798.40000000001</v>
      </c>
      <c r="G238" s="358"/>
      <c r="H238" s="358"/>
      <c r="I238" s="358">
        <f>SUM(E238:H238)</f>
        <v>125798.40000000001</v>
      </c>
      <c r="J238" s="358">
        <f>D238-I238</f>
        <v>2390169.6000000001</v>
      </c>
      <c r="K238" s="359">
        <f>ROUND(J238*8%,0)</f>
        <v>191214</v>
      </c>
      <c r="L238" s="358">
        <f>ROUND(J238-K238,0)</f>
        <v>2198956</v>
      </c>
      <c r="M238" s="358">
        <v>2198956</v>
      </c>
      <c r="N238" s="358">
        <f>L238-M238</f>
        <v>0</v>
      </c>
    </row>
    <row r="239" spans="1:14" x14ac:dyDescent="0.25">
      <c r="A239" s="429" t="s">
        <v>259</v>
      </c>
      <c r="B239" s="360">
        <f>SUM(B237:B238)</f>
        <v>13516687</v>
      </c>
      <c r="C239" s="360">
        <f t="shared" ref="C239:N239" si="158">SUM(C237:C238)</f>
        <v>0</v>
      </c>
      <c r="D239" s="360">
        <f t="shared" si="158"/>
        <v>13516687</v>
      </c>
      <c r="E239" s="360">
        <f t="shared" si="158"/>
        <v>0</v>
      </c>
      <c r="F239" s="360">
        <f t="shared" si="158"/>
        <v>675834.35000000009</v>
      </c>
      <c r="G239" s="360">
        <f t="shared" si="158"/>
        <v>0</v>
      </c>
      <c r="H239" s="360">
        <f t="shared" si="158"/>
        <v>0</v>
      </c>
      <c r="I239" s="360">
        <f t="shared" si="158"/>
        <v>675834.35000000009</v>
      </c>
      <c r="J239" s="360">
        <f t="shared" si="158"/>
        <v>12840852.65</v>
      </c>
      <c r="K239" s="360">
        <f t="shared" si="158"/>
        <v>1027269</v>
      </c>
      <c r="L239" s="360">
        <f t="shared" si="158"/>
        <v>11813584</v>
      </c>
      <c r="M239" s="360">
        <f t="shared" si="158"/>
        <v>11813584</v>
      </c>
      <c r="N239" s="360">
        <f t="shared" si="158"/>
        <v>0</v>
      </c>
    </row>
    <row r="240" spans="1:14" x14ac:dyDescent="0.25">
      <c r="A240" s="429" t="s">
        <v>259</v>
      </c>
      <c r="B240" s="649">
        <v>7838177</v>
      </c>
      <c r="C240" s="555"/>
      <c r="D240" s="358">
        <f>SUM(B240:C240)</f>
        <v>7838177</v>
      </c>
      <c r="E240" s="358">
        <v>0</v>
      </c>
      <c r="F240" s="358">
        <f>B240*5%</f>
        <v>391908.85000000003</v>
      </c>
      <c r="G240" s="358"/>
      <c r="H240" s="358"/>
      <c r="I240" s="358">
        <f>SUM(E240:H240)</f>
        <v>391908.85000000003</v>
      </c>
      <c r="J240" s="358">
        <f>D240-I240</f>
        <v>7446268.1500000004</v>
      </c>
      <c r="K240" s="359">
        <f>ROUND(J240*8%,0)</f>
        <v>595701</v>
      </c>
      <c r="L240" s="358">
        <f>ROUND(J240-K240,0)</f>
        <v>6850567</v>
      </c>
      <c r="M240" s="358">
        <v>6850567</v>
      </c>
      <c r="N240" s="358">
        <f>L240-M240</f>
        <v>0</v>
      </c>
    </row>
    <row r="241" spans="1:14" x14ac:dyDescent="0.25">
      <c r="A241" s="429"/>
      <c r="B241" s="358">
        <v>0</v>
      </c>
      <c r="C241" s="555"/>
      <c r="D241" s="358">
        <f>SUM(B241:C241)</f>
        <v>0</v>
      </c>
      <c r="E241" s="358"/>
      <c r="F241" s="645">
        <f>D241*5%</f>
        <v>0</v>
      </c>
      <c r="G241" s="358"/>
      <c r="H241" s="358"/>
      <c r="I241" s="358">
        <f>SUM(E241:H241)</f>
        <v>0</v>
      </c>
      <c r="J241" s="358">
        <f>D241-I241</f>
        <v>0</v>
      </c>
      <c r="K241" s="359">
        <f>ROUND(J241*8%,0)</f>
        <v>0</v>
      </c>
      <c r="L241" s="358">
        <f>ROUND(J241-K241,0)</f>
        <v>0</v>
      </c>
      <c r="M241" s="358">
        <v>0</v>
      </c>
      <c r="N241" s="358">
        <f>L241-M241</f>
        <v>0</v>
      </c>
    </row>
    <row r="242" spans="1:14" x14ac:dyDescent="0.25">
      <c r="A242" s="429" t="s">
        <v>259</v>
      </c>
      <c r="B242" s="360">
        <f>SUM(B240:B241)</f>
        <v>7838177</v>
      </c>
      <c r="C242" s="360">
        <f t="shared" ref="C242" si="159">SUM(C240:C241)</f>
        <v>0</v>
      </c>
      <c r="D242" s="360">
        <f t="shared" ref="D242" si="160">SUM(D240:D241)</f>
        <v>7838177</v>
      </c>
      <c r="E242" s="360">
        <f t="shared" ref="E242" si="161">SUM(E240:E241)</f>
        <v>0</v>
      </c>
      <c r="F242" s="360">
        <f t="shared" ref="F242" si="162">SUM(F240:F241)</f>
        <v>391908.85000000003</v>
      </c>
      <c r="G242" s="360">
        <f t="shared" ref="G242" si="163">SUM(G240:G241)</f>
        <v>0</v>
      </c>
      <c r="H242" s="360">
        <f t="shared" ref="H242" si="164">SUM(H240:H241)</f>
        <v>0</v>
      </c>
      <c r="I242" s="360">
        <f t="shared" ref="I242" si="165">SUM(I240:I241)</f>
        <v>391908.85000000003</v>
      </c>
      <c r="J242" s="360">
        <f t="shared" ref="J242" si="166">SUM(J240:J241)</f>
        <v>7446268.1500000004</v>
      </c>
      <c r="K242" s="360">
        <f t="shared" ref="K242" si="167">SUM(K240:K241)</f>
        <v>595701</v>
      </c>
      <c r="L242" s="360">
        <f t="shared" ref="L242" si="168">SUM(L240:L241)</f>
        <v>6850567</v>
      </c>
      <c r="M242" s="360">
        <f t="shared" ref="M242" si="169">SUM(M240:M241)</f>
        <v>6850567</v>
      </c>
      <c r="N242" s="360">
        <f t="shared" ref="N242" si="170">SUM(N240:N241)</f>
        <v>0</v>
      </c>
    </row>
    <row r="243" spans="1:14" x14ac:dyDescent="0.25">
      <c r="A243" s="429" t="s">
        <v>260</v>
      </c>
      <c r="B243" s="358">
        <v>89761229</v>
      </c>
      <c r="C243" s="555"/>
      <c r="D243" s="358">
        <f t="shared" ref="D243:D252" si="171">SUM(B243:C243)</f>
        <v>89761229</v>
      </c>
      <c r="E243" s="358">
        <v>55912625</v>
      </c>
      <c r="F243" s="358">
        <f t="shared" ref="F243:F252" si="172">B243*5%</f>
        <v>4488061.45</v>
      </c>
      <c r="G243" s="358"/>
      <c r="H243" s="358">
        <v>0</v>
      </c>
      <c r="I243" s="358">
        <f t="shared" ref="I243:I252" si="173">SUM(E243:H243)</f>
        <v>60400686.450000003</v>
      </c>
      <c r="J243" s="358">
        <f t="shared" ref="J243:J252" si="174">D243-I243</f>
        <v>29360542.549999997</v>
      </c>
      <c r="K243" s="359">
        <f t="shared" ref="K243:K252" si="175">ROUND(J243*7.5%,0)</f>
        <v>2202041</v>
      </c>
      <c r="L243" s="358">
        <f t="shared" ref="L243:L252" si="176">ROUND(J243-K243,0)</f>
        <v>27158502</v>
      </c>
      <c r="M243" s="358">
        <f>27000000+158502</f>
        <v>27158502</v>
      </c>
      <c r="N243" s="358">
        <f t="shared" ref="N243:N252" si="177">L243-M243</f>
        <v>0</v>
      </c>
    </row>
    <row r="244" spans="1:14" x14ac:dyDescent="0.25">
      <c r="A244" s="429" t="s">
        <v>260</v>
      </c>
      <c r="B244" s="358">
        <v>38469098</v>
      </c>
      <c r="C244" s="555"/>
      <c r="D244" s="358">
        <f t="shared" si="171"/>
        <v>38469098</v>
      </c>
      <c r="E244" s="358">
        <v>24859668</v>
      </c>
      <c r="F244" s="358">
        <f t="shared" si="172"/>
        <v>1923454.9000000001</v>
      </c>
      <c r="G244" s="358"/>
      <c r="H244" s="358"/>
      <c r="I244" s="358">
        <f t="shared" si="173"/>
        <v>26783122.899999999</v>
      </c>
      <c r="J244" s="358">
        <f t="shared" si="174"/>
        <v>11685975.100000001</v>
      </c>
      <c r="K244" s="359">
        <f t="shared" si="175"/>
        <v>876448</v>
      </c>
      <c r="L244" s="358">
        <f t="shared" si="176"/>
        <v>10809527</v>
      </c>
      <c r="M244" s="358">
        <f>3046486+6701624+1061417</f>
        <v>10809527</v>
      </c>
      <c r="N244" s="358">
        <f t="shared" si="177"/>
        <v>0</v>
      </c>
    </row>
    <row r="245" spans="1:14" x14ac:dyDescent="0.25">
      <c r="A245" s="429" t="s">
        <v>260</v>
      </c>
      <c r="B245" s="358">
        <v>9887251</v>
      </c>
      <c r="C245" s="555"/>
      <c r="D245" s="358">
        <f t="shared" si="171"/>
        <v>9887251</v>
      </c>
      <c r="E245" s="358">
        <v>3715169</v>
      </c>
      <c r="F245" s="358">
        <f t="shared" si="172"/>
        <v>494362.55000000005</v>
      </c>
      <c r="G245" s="358"/>
      <c r="H245" s="358">
        <v>0</v>
      </c>
      <c r="I245" s="358">
        <f t="shared" si="173"/>
        <v>4209531.55</v>
      </c>
      <c r="J245" s="358">
        <f t="shared" si="174"/>
        <v>5677719.4500000002</v>
      </c>
      <c r="K245" s="359">
        <f t="shared" si="175"/>
        <v>425829</v>
      </c>
      <c r="L245" s="358">
        <f t="shared" si="176"/>
        <v>5251890</v>
      </c>
      <c r="M245" s="358">
        <v>5251890</v>
      </c>
      <c r="N245" s="358">
        <f t="shared" si="177"/>
        <v>0</v>
      </c>
    </row>
    <row r="246" spans="1:14" x14ac:dyDescent="0.25">
      <c r="A246" s="429" t="s">
        <v>260</v>
      </c>
      <c r="B246" s="536">
        <v>4237393</v>
      </c>
      <c r="C246" s="555"/>
      <c r="D246" s="358">
        <f t="shared" si="171"/>
        <v>4237393</v>
      </c>
      <c r="E246" s="542" t="s">
        <v>691</v>
      </c>
      <c r="F246" s="358">
        <f t="shared" si="172"/>
        <v>211869.65000000002</v>
      </c>
      <c r="G246" s="543"/>
      <c r="H246" s="544"/>
      <c r="I246" s="358">
        <f t="shared" si="173"/>
        <v>211869.65000000002</v>
      </c>
      <c r="J246" s="358">
        <f t="shared" si="174"/>
        <v>4025523.35</v>
      </c>
      <c r="K246" s="359">
        <f t="shared" si="175"/>
        <v>301914</v>
      </c>
      <c r="L246" s="358">
        <f t="shared" si="176"/>
        <v>3723609</v>
      </c>
      <c r="M246" s="358">
        <v>3723609</v>
      </c>
      <c r="N246" s="358">
        <f t="shared" si="177"/>
        <v>0</v>
      </c>
    </row>
    <row r="247" spans="1:14" x14ac:dyDescent="0.25">
      <c r="A247" s="429" t="s">
        <v>260</v>
      </c>
      <c r="B247" s="536">
        <v>2459357</v>
      </c>
      <c r="C247" s="555"/>
      <c r="D247" s="358">
        <f t="shared" si="171"/>
        <v>2459357</v>
      </c>
      <c r="E247" s="542" t="s">
        <v>691</v>
      </c>
      <c r="F247" s="358">
        <f t="shared" si="172"/>
        <v>122967.85</v>
      </c>
      <c r="G247" s="543"/>
      <c r="H247" s="544"/>
      <c r="I247" s="358">
        <f t="shared" si="173"/>
        <v>122967.85</v>
      </c>
      <c r="J247" s="358">
        <f t="shared" si="174"/>
        <v>2336389.15</v>
      </c>
      <c r="K247" s="359">
        <f t="shared" si="175"/>
        <v>175229</v>
      </c>
      <c r="L247" s="358">
        <f t="shared" si="176"/>
        <v>2161160</v>
      </c>
      <c r="M247" s="358">
        <v>2161160</v>
      </c>
      <c r="N247" s="358">
        <f t="shared" si="177"/>
        <v>0</v>
      </c>
    </row>
    <row r="248" spans="1:14" x14ac:dyDescent="0.25">
      <c r="A248" s="429" t="s">
        <v>260</v>
      </c>
      <c r="B248" s="536">
        <v>1054010</v>
      </c>
      <c r="C248" s="555"/>
      <c r="D248" s="358">
        <f t="shared" si="171"/>
        <v>1054010</v>
      </c>
      <c r="E248" s="542" t="s">
        <v>691</v>
      </c>
      <c r="F248" s="358">
        <f t="shared" si="172"/>
        <v>52700.5</v>
      </c>
      <c r="G248" s="543"/>
      <c r="H248" s="544"/>
      <c r="I248" s="358">
        <f t="shared" si="173"/>
        <v>52700.5</v>
      </c>
      <c r="J248" s="358">
        <f t="shared" si="174"/>
        <v>1001309.5</v>
      </c>
      <c r="K248" s="359">
        <f t="shared" si="175"/>
        <v>75098</v>
      </c>
      <c r="L248" s="358">
        <f t="shared" si="176"/>
        <v>926212</v>
      </c>
      <c r="M248" s="358">
        <v>926212</v>
      </c>
      <c r="N248" s="358">
        <f t="shared" si="177"/>
        <v>0</v>
      </c>
    </row>
    <row r="249" spans="1:14" x14ac:dyDescent="0.25">
      <c r="A249" s="429" t="s">
        <v>260</v>
      </c>
      <c r="B249" s="536">
        <v>1365880</v>
      </c>
      <c r="C249" s="555"/>
      <c r="D249" s="358">
        <f t="shared" si="171"/>
        <v>1365880</v>
      </c>
      <c r="E249" s="542" t="s">
        <v>691</v>
      </c>
      <c r="F249" s="358">
        <f t="shared" si="172"/>
        <v>68294</v>
      </c>
      <c r="G249" s="543"/>
      <c r="H249" s="544"/>
      <c r="I249" s="358">
        <f t="shared" si="173"/>
        <v>68294</v>
      </c>
      <c r="J249" s="358">
        <f t="shared" si="174"/>
        <v>1297586</v>
      </c>
      <c r="K249" s="359">
        <f t="shared" si="175"/>
        <v>97319</v>
      </c>
      <c r="L249" s="358">
        <f t="shared" si="176"/>
        <v>1200267</v>
      </c>
      <c r="M249" s="358">
        <v>1200267</v>
      </c>
      <c r="N249" s="358">
        <f t="shared" si="177"/>
        <v>0</v>
      </c>
    </row>
    <row r="250" spans="1:14" x14ac:dyDescent="0.25">
      <c r="A250" s="429" t="s">
        <v>260</v>
      </c>
      <c r="B250" s="536">
        <v>585377</v>
      </c>
      <c r="C250" s="555"/>
      <c r="D250" s="358">
        <f t="shared" si="171"/>
        <v>585377</v>
      </c>
      <c r="E250" s="546"/>
      <c r="F250" s="358">
        <f t="shared" si="172"/>
        <v>29268.850000000002</v>
      </c>
      <c r="G250" s="543"/>
      <c r="H250" s="547"/>
      <c r="I250" s="358">
        <f t="shared" si="173"/>
        <v>29268.850000000002</v>
      </c>
      <c r="J250" s="358">
        <f t="shared" si="174"/>
        <v>556108.15</v>
      </c>
      <c r="K250" s="359">
        <f t="shared" si="175"/>
        <v>41708</v>
      </c>
      <c r="L250" s="358">
        <f t="shared" si="176"/>
        <v>514400</v>
      </c>
      <c r="M250" s="358">
        <v>0</v>
      </c>
      <c r="N250" s="358">
        <f t="shared" si="177"/>
        <v>514400</v>
      </c>
    </row>
    <row r="251" spans="1:14" x14ac:dyDescent="0.25">
      <c r="A251" s="429"/>
      <c r="B251" s="536">
        <v>1564022</v>
      </c>
      <c r="C251" s="555"/>
      <c r="D251" s="358">
        <f t="shared" si="171"/>
        <v>1564022</v>
      </c>
      <c r="E251" s="546"/>
      <c r="F251" s="358">
        <f t="shared" si="172"/>
        <v>78201.100000000006</v>
      </c>
      <c r="G251" s="543"/>
      <c r="H251" s="547"/>
      <c r="I251" s="358">
        <f t="shared" si="173"/>
        <v>78201.100000000006</v>
      </c>
      <c r="J251" s="358">
        <f t="shared" si="174"/>
        <v>1485820.9</v>
      </c>
      <c r="K251" s="359">
        <f t="shared" si="175"/>
        <v>111437</v>
      </c>
      <c r="L251" s="358">
        <f t="shared" si="176"/>
        <v>1374384</v>
      </c>
      <c r="M251" s="358">
        <v>0</v>
      </c>
      <c r="N251" s="358">
        <f t="shared" si="177"/>
        <v>1374384</v>
      </c>
    </row>
    <row r="252" spans="1:14" x14ac:dyDescent="0.25">
      <c r="A252" s="429"/>
      <c r="B252" s="536">
        <v>641264</v>
      </c>
      <c r="C252" s="555"/>
      <c r="D252" s="358">
        <f t="shared" si="171"/>
        <v>641264</v>
      </c>
      <c r="E252" s="546"/>
      <c r="F252" s="358">
        <f t="shared" si="172"/>
        <v>32063.200000000001</v>
      </c>
      <c r="G252" s="543"/>
      <c r="H252" s="547"/>
      <c r="I252" s="358">
        <f t="shared" si="173"/>
        <v>32063.200000000001</v>
      </c>
      <c r="J252" s="358">
        <f t="shared" si="174"/>
        <v>609200.80000000005</v>
      </c>
      <c r="K252" s="359">
        <f t="shared" si="175"/>
        <v>45690</v>
      </c>
      <c r="L252" s="358">
        <f t="shared" si="176"/>
        <v>563511</v>
      </c>
      <c r="M252" s="358">
        <v>0</v>
      </c>
      <c r="N252" s="358">
        <f t="shared" si="177"/>
        <v>563511</v>
      </c>
    </row>
    <row r="253" spans="1:14" x14ac:dyDescent="0.25">
      <c r="A253" s="429" t="s">
        <v>260</v>
      </c>
      <c r="B253" s="360">
        <f>SUM(B243:B252)</f>
        <v>150024881</v>
      </c>
      <c r="C253" s="360">
        <f t="shared" ref="C253:N253" si="178">SUM(C243:C252)</f>
        <v>0</v>
      </c>
      <c r="D253" s="360">
        <f t="shared" si="178"/>
        <v>150024881</v>
      </c>
      <c r="E253" s="360">
        <f t="shared" si="178"/>
        <v>84487462</v>
      </c>
      <c r="F253" s="360">
        <f t="shared" si="178"/>
        <v>7501244.0499999998</v>
      </c>
      <c r="G253" s="360">
        <f t="shared" si="178"/>
        <v>0</v>
      </c>
      <c r="H253" s="360">
        <f t="shared" si="178"/>
        <v>0</v>
      </c>
      <c r="I253" s="360">
        <f t="shared" si="178"/>
        <v>91988706.049999982</v>
      </c>
      <c r="J253" s="360">
        <f t="shared" si="178"/>
        <v>58036174.949999996</v>
      </c>
      <c r="K253" s="360">
        <f t="shared" si="178"/>
        <v>4352713</v>
      </c>
      <c r="L253" s="360">
        <f t="shared" si="178"/>
        <v>53683462</v>
      </c>
      <c r="M253" s="360">
        <f t="shared" si="178"/>
        <v>51231167</v>
      </c>
      <c r="N253" s="360">
        <f t="shared" si="178"/>
        <v>2452295</v>
      </c>
    </row>
    <row r="254" spans="1:14" x14ac:dyDescent="0.25">
      <c r="A254" s="429" t="s">
        <v>260</v>
      </c>
      <c r="B254" s="358">
        <v>319492782</v>
      </c>
      <c r="C254" s="555"/>
      <c r="D254" s="358">
        <f t="shared" ref="D254:D263" si="179">SUM(B254:C254)</f>
        <v>319492782</v>
      </c>
      <c r="E254" s="358">
        <v>123187794</v>
      </c>
      <c r="F254" s="358">
        <f t="shared" ref="F254:F263" si="180">B254*5%</f>
        <v>15974639.100000001</v>
      </c>
      <c r="G254" s="358"/>
      <c r="H254" s="358">
        <v>0</v>
      </c>
      <c r="I254" s="358">
        <f t="shared" ref="I254:I263" si="181">SUM(E254:H254)</f>
        <v>139162433.09999999</v>
      </c>
      <c r="J254" s="358">
        <f t="shared" ref="J254:J263" si="182">D254-I254</f>
        <v>180330348.90000001</v>
      </c>
      <c r="K254" s="359">
        <f t="shared" ref="K254:K261" si="183">ROUND(J254*7.5%,0)</f>
        <v>13524776</v>
      </c>
      <c r="L254" s="358">
        <f t="shared" ref="L254:L261" si="184">ROUND(J254-K254,0)</f>
        <v>166805573</v>
      </c>
      <c r="M254" s="358">
        <f>75000000+514394+10000000+75000000+6701624-410445</f>
        <v>166805573</v>
      </c>
      <c r="N254" s="358">
        <f t="shared" ref="N254:N261" si="185">L254-M254</f>
        <v>0</v>
      </c>
    </row>
    <row r="255" spans="1:14" x14ac:dyDescent="0.25">
      <c r="A255" s="429" t="s">
        <v>260</v>
      </c>
      <c r="B255" s="358">
        <v>131041841</v>
      </c>
      <c r="C255" s="555"/>
      <c r="D255" s="358">
        <f t="shared" si="179"/>
        <v>131041841</v>
      </c>
      <c r="E255" s="358">
        <v>48005107</v>
      </c>
      <c r="F255" s="358">
        <f t="shared" si="180"/>
        <v>6552092.0500000007</v>
      </c>
      <c r="G255" s="358"/>
      <c r="H255" s="358">
        <v>17177165</v>
      </c>
      <c r="I255" s="358">
        <f t="shared" si="181"/>
        <v>71734364.049999997</v>
      </c>
      <c r="J255" s="358">
        <f t="shared" si="182"/>
        <v>59307476.950000003</v>
      </c>
      <c r="K255" s="359">
        <f t="shared" si="183"/>
        <v>4448061</v>
      </c>
      <c r="L255" s="358">
        <f t="shared" si="184"/>
        <v>54859416</v>
      </c>
      <c r="M255" s="358">
        <f>52078457+2833711-52752</f>
        <v>54859416</v>
      </c>
      <c r="N255" s="358">
        <f t="shared" si="185"/>
        <v>0</v>
      </c>
    </row>
    <row r="256" spans="1:14" x14ac:dyDescent="0.25">
      <c r="A256" s="429" t="s">
        <v>260</v>
      </c>
      <c r="B256" s="536">
        <v>193086266</v>
      </c>
      <c r="C256" s="555"/>
      <c r="D256" s="358">
        <f t="shared" si="179"/>
        <v>193086266</v>
      </c>
      <c r="E256" s="549">
        <v>31918052</v>
      </c>
      <c r="F256" s="358">
        <f t="shared" si="180"/>
        <v>9654313.3000000007</v>
      </c>
      <c r="G256" s="543"/>
      <c r="H256" s="550">
        <v>7361642</v>
      </c>
      <c r="I256" s="358">
        <f t="shared" si="181"/>
        <v>48934007.299999997</v>
      </c>
      <c r="J256" s="358">
        <f t="shared" si="182"/>
        <v>144152258.69999999</v>
      </c>
      <c r="K256" s="359">
        <f t="shared" si="183"/>
        <v>10811419</v>
      </c>
      <c r="L256" s="358">
        <f>ROUND(J256-K256,0)</f>
        <v>133340840</v>
      </c>
      <c r="M256" s="358">
        <f>67728201+65612639</f>
        <v>133340840</v>
      </c>
      <c r="N256" s="551">
        <f>L256-M256</f>
        <v>0</v>
      </c>
    </row>
    <row r="257" spans="1:14" x14ac:dyDescent="0.25">
      <c r="A257" s="429" t="s">
        <v>260</v>
      </c>
      <c r="B257" s="358">
        <v>212595104</v>
      </c>
      <c r="C257" s="555"/>
      <c r="D257" s="358">
        <f t="shared" si="179"/>
        <v>212595104</v>
      </c>
      <c r="E257" s="358">
        <f>69135630+2074069</f>
        <v>71209699</v>
      </c>
      <c r="F257" s="358">
        <f t="shared" si="180"/>
        <v>10629755.200000001</v>
      </c>
      <c r="G257" s="358"/>
      <c r="H257" s="358">
        <v>35637835</v>
      </c>
      <c r="I257" s="358">
        <f t="shared" si="181"/>
        <v>117477289.2</v>
      </c>
      <c r="J257" s="358">
        <f t="shared" si="182"/>
        <v>95117814.799999997</v>
      </c>
      <c r="K257" s="359">
        <f t="shared" si="183"/>
        <v>7133836</v>
      </c>
      <c r="L257" s="358">
        <f t="shared" si="184"/>
        <v>87983979</v>
      </c>
      <c r="M257" s="358">
        <v>87983979</v>
      </c>
      <c r="N257" s="358">
        <f t="shared" si="185"/>
        <v>0</v>
      </c>
    </row>
    <row r="258" spans="1:14" x14ac:dyDescent="0.25">
      <c r="A258" s="429" t="s">
        <v>260</v>
      </c>
      <c r="B258" s="358">
        <v>91112187</v>
      </c>
      <c r="C258" s="555"/>
      <c r="D258" s="358">
        <f t="shared" si="179"/>
        <v>91112187</v>
      </c>
      <c r="E258" s="358">
        <v>51781777</v>
      </c>
      <c r="F258" s="358">
        <f t="shared" si="180"/>
        <v>4555609.3500000006</v>
      </c>
      <c r="G258" s="358"/>
      <c r="H258" s="358">
        <v>15273358</v>
      </c>
      <c r="I258" s="358">
        <f t="shared" si="181"/>
        <v>71610744.349999994</v>
      </c>
      <c r="J258" s="358">
        <f t="shared" si="182"/>
        <v>19501442.650000006</v>
      </c>
      <c r="K258" s="359">
        <f t="shared" si="183"/>
        <v>1462608</v>
      </c>
      <c r="L258" s="358">
        <f t="shared" si="184"/>
        <v>18038835</v>
      </c>
      <c r="M258" s="358">
        <v>18038835</v>
      </c>
      <c r="N258" s="358">
        <f t="shared" si="185"/>
        <v>0</v>
      </c>
    </row>
    <row r="259" spans="1:14" x14ac:dyDescent="0.25">
      <c r="A259" s="429" t="s">
        <v>260</v>
      </c>
      <c r="B259" s="358">
        <v>187537799</v>
      </c>
      <c r="C259" s="555"/>
      <c r="D259" s="358">
        <f t="shared" si="179"/>
        <v>187537799</v>
      </c>
      <c r="E259" s="358">
        <v>91904419</v>
      </c>
      <c r="F259" s="358">
        <f t="shared" si="180"/>
        <v>9376889.9500000011</v>
      </c>
      <c r="G259" s="358"/>
      <c r="H259" s="358"/>
      <c r="I259" s="358">
        <f t="shared" si="181"/>
        <v>101281308.95</v>
      </c>
      <c r="J259" s="358">
        <f t="shared" si="182"/>
        <v>86256490.049999997</v>
      </c>
      <c r="K259" s="359">
        <f t="shared" si="183"/>
        <v>6469237</v>
      </c>
      <c r="L259" s="358">
        <f t="shared" si="184"/>
        <v>79787253</v>
      </c>
      <c r="M259" s="358">
        <v>79787253</v>
      </c>
      <c r="N259" s="358">
        <f t="shared" si="185"/>
        <v>0</v>
      </c>
    </row>
    <row r="260" spans="1:14" x14ac:dyDescent="0.25">
      <c r="A260" s="429" t="s">
        <v>260</v>
      </c>
      <c r="B260" s="358">
        <v>80373342</v>
      </c>
      <c r="C260" s="555"/>
      <c r="D260" s="358">
        <f t="shared" si="179"/>
        <v>80373342</v>
      </c>
      <c r="E260" s="358">
        <v>48517461</v>
      </c>
      <c r="F260" s="358">
        <f t="shared" si="180"/>
        <v>4018667.1</v>
      </c>
      <c r="G260" s="358"/>
      <c r="H260" s="358"/>
      <c r="I260" s="358">
        <f t="shared" si="181"/>
        <v>52536128.100000001</v>
      </c>
      <c r="J260" s="358">
        <f t="shared" si="182"/>
        <v>27837213.899999999</v>
      </c>
      <c r="K260" s="359">
        <f t="shared" si="183"/>
        <v>2087791</v>
      </c>
      <c r="L260" s="358">
        <f t="shared" si="184"/>
        <v>25749423</v>
      </c>
      <c r="M260" s="358">
        <v>25749423</v>
      </c>
      <c r="N260" s="358">
        <f t="shared" si="185"/>
        <v>0</v>
      </c>
    </row>
    <row r="261" spans="1:14" x14ac:dyDescent="0.25">
      <c r="A261" s="429" t="s">
        <v>260</v>
      </c>
      <c r="B261" s="358">
        <v>32118343</v>
      </c>
      <c r="C261" s="555"/>
      <c r="D261" s="358">
        <f t="shared" si="179"/>
        <v>32118343</v>
      </c>
      <c r="E261" s="358">
        <v>28275183</v>
      </c>
      <c r="F261" s="358">
        <f t="shared" si="180"/>
        <v>1605917.1500000001</v>
      </c>
      <c r="G261" s="358"/>
      <c r="H261" s="358"/>
      <c r="I261" s="358">
        <f t="shared" si="181"/>
        <v>29881100.149999999</v>
      </c>
      <c r="J261" s="358">
        <f t="shared" si="182"/>
        <v>2237242.8500000015</v>
      </c>
      <c r="K261" s="359">
        <f t="shared" si="183"/>
        <v>167793</v>
      </c>
      <c r="L261" s="358">
        <f t="shared" si="184"/>
        <v>2069450</v>
      </c>
      <c r="M261" s="358">
        <v>2069450</v>
      </c>
      <c r="N261" s="358">
        <f t="shared" si="185"/>
        <v>0</v>
      </c>
    </row>
    <row r="262" spans="1:14" x14ac:dyDescent="0.25">
      <c r="A262" s="429"/>
      <c r="B262" s="652">
        <v>94244250</v>
      </c>
      <c r="C262" s="555"/>
      <c r="D262" s="358">
        <f t="shared" si="179"/>
        <v>94244250</v>
      </c>
      <c r="E262" s="653">
        <v>39106615</v>
      </c>
      <c r="F262" s="653">
        <f t="shared" si="180"/>
        <v>4712212.5</v>
      </c>
      <c r="G262" s="653"/>
      <c r="H262" s="654">
        <v>0</v>
      </c>
      <c r="I262" s="358">
        <f t="shared" si="181"/>
        <v>43818827.5</v>
      </c>
      <c r="J262" s="358">
        <f t="shared" si="182"/>
        <v>50425422.5</v>
      </c>
      <c r="K262" s="359">
        <f t="shared" ref="K262:K263" si="186">ROUND(J262*7.5%,0)</f>
        <v>3781907</v>
      </c>
      <c r="L262" s="358">
        <f t="shared" ref="L262:L263" si="187">ROUND(J262-K262,0)</f>
        <v>46643516</v>
      </c>
      <c r="M262" s="358">
        <v>13575964</v>
      </c>
      <c r="N262" s="358">
        <f t="shared" ref="N262:N263" si="188">L262-M262</f>
        <v>33067552</v>
      </c>
    </row>
    <row r="263" spans="1:14" x14ac:dyDescent="0.25">
      <c r="A263" s="429"/>
      <c r="B263" s="652">
        <v>40390412</v>
      </c>
      <c r="C263" s="555"/>
      <c r="D263" s="358">
        <f t="shared" si="179"/>
        <v>40390412</v>
      </c>
      <c r="E263" s="655"/>
      <c r="F263" s="653">
        <f t="shared" si="180"/>
        <v>2019520.6</v>
      </c>
      <c r="G263" s="653"/>
      <c r="H263" s="654">
        <v>0</v>
      </c>
      <c r="I263" s="358">
        <f t="shared" si="181"/>
        <v>2019520.6</v>
      </c>
      <c r="J263" s="358">
        <f t="shared" si="182"/>
        <v>38370891.399999999</v>
      </c>
      <c r="K263" s="359">
        <f t="shared" si="186"/>
        <v>2877817</v>
      </c>
      <c r="L263" s="358">
        <f t="shared" si="187"/>
        <v>35493074</v>
      </c>
      <c r="M263" s="358">
        <v>0</v>
      </c>
      <c r="N263" s="358">
        <f t="shared" si="188"/>
        <v>35493074</v>
      </c>
    </row>
    <row r="264" spans="1:14" x14ac:dyDescent="0.25">
      <c r="A264" s="429" t="s">
        <v>260</v>
      </c>
      <c r="B264" s="360">
        <f>SUM(B254:B263)</f>
        <v>1381992326</v>
      </c>
      <c r="C264" s="556">
        <f>SUM(C254:C260)</f>
        <v>0</v>
      </c>
      <c r="D264" s="548">
        <f t="shared" ref="D264:N264" si="189">SUM(D254:D261)</f>
        <v>1247357664</v>
      </c>
      <c r="E264" s="548">
        <f t="shared" si="189"/>
        <v>494799492</v>
      </c>
      <c r="F264" s="548">
        <f t="shared" si="189"/>
        <v>62367883.20000001</v>
      </c>
      <c r="G264" s="548"/>
      <c r="H264" s="548">
        <f t="shared" si="189"/>
        <v>75450000</v>
      </c>
      <c r="I264" s="548">
        <f t="shared" si="189"/>
        <v>632617375.20000005</v>
      </c>
      <c r="J264" s="548">
        <f t="shared" si="189"/>
        <v>614740288.79999995</v>
      </c>
      <c r="K264" s="548">
        <f t="shared" si="189"/>
        <v>46105521</v>
      </c>
      <c r="L264" s="548">
        <f t="shared" si="189"/>
        <v>568634769</v>
      </c>
      <c r="M264" s="548">
        <f t="shared" si="189"/>
        <v>568634769</v>
      </c>
      <c r="N264" s="548">
        <f t="shared" si="189"/>
        <v>0</v>
      </c>
    </row>
    <row r="265" spans="1:14" x14ac:dyDescent="0.25">
      <c r="A265" s="429" t="s">
        <v>260</v>
      </c>
      <c r="B265" s="358">
        <v>180292795</v>
      </c>
      <c r="C265" s="555"/>
      <c r="D265" s="358">
        <f t="shared" ref="D265:D274" si="190">SUM(B265:C265)</f>
        <v>180292795</v>
      </c>
      <c r="E265" s="358">
        <v>63874085</v>
      </c>
      <c r="F265" s="358">
        <f t="shared" ref="F265:F274" si="191">B265*5%</f>
        <v>9014639.75</v>
      </c>
      <c r="G265" s="358"/>
      <c r="H265" s="358">
        <v>0</v>
      </c>
      <c r="I265" s="358">
        <f>SUM(E265:H265)</f>
        <v>72888724.75</v>
      </c>
      <c r="J265" s="358">
        <f t="shared" ref="J265:J274" si="192">D265-I265</f>
        <v>107404070.25</v>
      </c>
      <c r="K265" s="359">
        <f t="shared" ref="K265:K272" si="193">ROUND(J265*7.5%,0)</f>
        <v>8055305</v>
      </c>
      <c r="L265" s="358">
        <f t="shared" ref="L265:L272" si="194">ROUND(J265-K265,0)</f>
        <v>99348765</v>
      </c>
      <c r="M265" s="358">
        <v>99348765</v>
      </c>
      <c r="N265" s="358">
        <f t="shared" ref="N265:N272" si="195">L265-M265</f>
        <v>0</v>
      </c>
    </row>
    <row r="266" spans="1:14" x14ac:dyDescent="0.25">
      <c r="A266" s="429" t="s">
        <v>260</v>
      </c>
      <c r="B266" s="536">
        <v>75582520</v>
      </c>
      <c r="C266" s="555"/>
      <c r="D266" s="358">
        <f t="shared" si="190"/>
        <v>75582520</v>
      </c>
      <c r="E266" s="549">
        <v>32736665</v>
      </c>
      <c r="F266" s="358">
        <f t="shared" si="191"/>
        <v>3779126</v>
      </c>
      <c r="G266" s="543"/>
      <c r="H266" s="544"/>
      <c r="I266" s="358">
        <f t="shared" ref="I266:I271" si="196">SUM(E266:H266)</f>
        <v>36515791</v>
      </c>
      <c r="J266" s="358">
        <f t="shared" si="192"/>
        <v>39066729</v>
      </c>
      <c r="K266" s="359">
        <f t="shared" si="193"/>
        <v>2930005</v>
      </c>
      <c r="L266" s="358">
        <f t="shared" si="194"/>
        <v>36136724</v>
      </c>
      <c r="M266" s="358">
        <v>36136724</v>
      </c>
      <c r="N266" s="358">
        <f t="shared" si="195"/>
        <v>0</v>
      </c>
    </row>
    <row r="267" spans="1:14" x14ac:dyDescent="0.25">
      <c r="A267" s="429" t="s">
        <v>260</v>
      </c>
      <c r="B267" s="536">
        <v>173962732</v>
      </c>
      <c r="C267" s="555"/>
      <c r="D267" s="358">
        <f t="shared" si="190"/>
        <v>173962732</v>
      </c>
      <c r="E267" s="552">
        <v>52449950</v>
      </c>
      <c r="F267" s="358">
        <f t="shared" si="191"/>
        <v>8698136.5999999996</v>
      </c>
      <c r="G267" s="543"/>
      <c r="H267" s="544"/>
      <c r="I267" s="358">
        <f t="shared" si="196"/>
        <v>61148086.600000001</v>
      </c>
      <c r="J267" s="358">
        <f t="shared" si="192"/>
        <v>112814645.40000001</v>
      </c>
      <c r="K267" s="359">
        <f t="shared" si="193"/>
        <v>8461098</v>
      </c>
      <c r="L267" s="358">
        <f t="shared" si="194"/>
        <v>104353547</v>
      </c>
      <c r="M267" s="358">
        <v>104353547</v>
      </c>
      <c r="N267" s="358">
        <f t="shared" si="195"/>
        <v>0</v>
      </c>
    </row>
    <row r="268" spans="1:14" x14ac:dyDescent="0.25">
      <c r="A268" s="429" t="s">
        <v>260</v>
      </c>
      <c r="B268" s="536">
        <v>74555456</v>
      </c>
      <c r="C268" s="555"/>
      <c r="D268" s="358">
        <f t="shared" si="190"/>
        <v>74555456</v>
      </c>
      <c r="E268" s="549">
        <v>48341629</v>
      </c>
      <c r="F268" s="358">
        <f t="shared" si="191"/>
        <v>3727772.8000000003</v>
      </c>
      <c r="G268" s="543"/>
      <c r="H268" s="544"/>
      <c r="I268" s="358">
        <f t="shared" si="196"/>
        <v>52069401.799999997</v>
      </c>
      <c r="J268" s="358">
        <f t="shared" si="192"/>
        <v>22486054.200000003</v>
      </c>
      <c r="K268" s="359">
        <f t="shared" si="193"/>
        <v>1686454</v>
      </c>
      <c r="L268" s="358">
        <f t="shared" si="194"/>
        <v>20799600</v>
      </c>
      <c r="M268" s="358">
        <v>20799600</v>
      </c>
      <c r="N268" s="358">
        <f t="shared" si="195"/>
        <v>0</v>
      </c>
    </row>
    <row r="269" spans="1:14" x14ac:dyDescent="0.25">
      <c r="A269" s="429" t="s">
        <v>260</v>
      </c>
      <c r="B269" s="536">
        <v>22443902</v>
      </c>
      <c r="C269" s="555"/>
      <c r="D269" s="358">
        <f t="shared" si="190"/>
        <v>22443902</v>
      </c>
      <c r="E269" s="549">
        <v>13339033</v>
      </c>
      <c r="F269" s="358">
        <f t="shared" si="191"/>
        <v>1122195.1000000001</v>
      </c>
      <c r="G269" s="543"/>
      <c r="H269" s="553">
        <v>113529</v>
      </c>
      <c r="I269" s="358">
        <f t="shared" si="196"/>
        <v>14574757.1</v>
      </c>
      <c r="J269" s="358">
        <f t="shared" si="192"/>
        <v>7869144.9000000004</v>
      </c>
      <c r="K269" s="359">
        <f t="shared" si="193"/>
        <v>590186</v>
      </c>
      <c r="L269" s="358">
        <f t="shared" si="194"/>
        <v>7278959</v>
      </c>
      <c r="M269" s="358">
        <v>7278959</v>
      </c>
      <c r="N269" s="358">
        <f t="shared" si="195"/>
        <v>0</v>
      </c>
    </row>
    <row r="270" spans="1:14" x14ac:dyDescent="0.25">
      <c r="A270" s="429" t="s">
        <v>260</v>
      </c>
      <c r="B270" s="536">
        <v>9618816</v>
      </c>
      <c r="C270" s="555"/>
      <c r="D270" s="358">
        <f t="shared" si="190"/>
        <v>9618816</v>
      </c>
      <c r="E270" s="549">
        <v>5127340</v>
      </c>
      <c r="F270" s="358">
        <f t="shared" si="191"/>
        <v>480940.80000000005</v>
      </c>
      <c r="G270" s="543"/>
      <c r="H270" s="553">
        <v>623757</v>
      </c>
      <c r="I270" s="358">
        <f t="shared" si="196"/>
        <v>6232037.7999999998</v>
      </c>
      <c r="J270" s="358">
        <f t="shared" si="192"/>
        <v>3386778.2</v>
      </c>
      <c r="K270" s="359">
        <f t="shared" si="193"/>
        <v>254008</v>
      </c>
      <c r="L270" s="358">
        <f t="shared" si="194"/>
        <v>3132770</v>
      </c>
      <c r="M270" s="358">
        <v>3132770</v>
      </c>
      <c r="N270" s="358">
        <f t="shared" si="195"/>
        <v>0</v>
      </c>
    </row>
    <row r="271" spans="1:14" x14ac:dyDescent="0.25">
      <c r="A271" s="429" t="s">
        <v>260</v>
      </c>
      <c r="B271" s="536">
        <v>12947204</v>
      </c>
      <c r="C271" s="555"/>
      <c r="D271" s="358">
        <f t="shared" si="190"/>
        <v>12947204</v>
      </c>
      <c r="E271" s="545">
        <v>11975032</v>
      </c>
      <c r="F271" s="656">
        <f t="shared" si="191"/>
        <v>647360.20000000007</v>
      </c>
      <c r="G271" s="543"/>
      <c r="H271" s="554"/>
      <c r="I271" s="358">
        <f t="shared" si="196"/>
        <v>12622392.199999999</v>
      </c>
      <c r="J271" s="358">
        <f t="shared" si="192"/>
        <v>324811.80000000075</v>
      </c>
      <c r="K271" s="359">
        <f t="shared" si="193"/>
        <v>24361</v>
      </c>
      <c r="L271" s="358">
        <f t="shared" si="194"/>
        <v>300451</v>
      </c>
      <c r="M271" s="358">
        <v>300451</v>
      </c>
      <c r="N271" s="358">
        <f t="shared" si="195"/>
        <v>0</v>
      </c>
    </row>
    <row r="272" spans="1:14" x14ac:dyDescent="0.25">
      <c r="A272" s="429" t="s">
        <v>260</v>
      </c>
      <c r="B272" s="536">
        <v>5548802</v>
      </c>
      <c r="C272" s="555"/>
      <c r="D272" s="358">
        <f t="shared" si="190"/>
        <v>5548802</v>
      </c>
      <c r="E272" s="536">
        <v>4883024</v>
      </c>
      <c r="F272" s="358">
        <f t="shared" si="191"/>
        <v>277440.10000000003</v>
      </c>
      <c r="G272" s="358"/>
      <c r="H272" s="657">
        <v>250308</v>
      </c>
      <c r="I272" s="358">
        <f>SUM(E272:H272)</f>
        <v>5410772.0999999996</v>
      </c>
      <c r="J272" s="358">
        <f t="shared" si="192"/>
        <v>138029.90000000037</v>
      </c>
      <c r="K272" s="359">
        <f t="shared" si="193"/>
        <v>10352</v>
      </c>
      <c r="L272" s="358">
        <f t="shared" si="194"/>
        <v>127678</v>
      </c>
      <c r="M272" s="358">
        <v>127678</v>
      </c>
      <c r="N272" s="358">
        <f t="shared" si="195"/>
        <v>0</v>
      </c>
    </row>
    <row r="273" spans="1:14" x14ac:dyDescent="0.25">
      <c r="A273" s="429"/>
      <c r="B273" s="536">
        <v>688239</v>
      </c>
      <c r="C273" s="652"/>
      <c r="D273" s="358">
        <f t="shared" si="190"/>
        <v>688239</v>
      </c>
      <c r="E273" s="536">
        <v>0</v>
      </c>
      <c r="F273" s="358">
        <f t="shared" si="191"/>
        <v>34411.950000000004</v>
      </c>
      <c r="G273" s="358"/>
      <c r="H273" s="657">
        <v>0</v>
      </c>
      <c r="I273" s="358">
        <f>SUM(E273:H273)</f>
        <v>34411.950000000004</v>
      </c>
      <c r="J273" s="358">
        <f t="shared" si="192"/>
        <v>653827.05000000005</v>
      </c>
      <c r="K273" s="359">
        <f t="shared" ref="K273" si="197">ROUND(J273*7.5%,0)</f>
        <v>49037</v>
      </c>
      <c r="L273" s="358">
        <f t="shared" ref="L273" si="198">ROUND(J273-K273,0)</f>
        <v>604790</v>
      </c>
      <c r="M273" s="358">
        <v>152010</v>
      </c>
      <c r="N273" s="358">
        <f t="shared" ref="N273" si="199">L273-M273</f>
        <v>452780</v>
      </c>
    </row>
    <row r="274" spans="1:14" x14ac:dyDescent="0.25">
      <c r="A274" s="429"/>
      <c r="B274" s="536">
        <v>1982066</v>
      </c>
      <c r="C274" s="652"/>
      <c r="D274" s="358">
        <f t="shared" si="190"/>
        <v>1982066</v>
      </c>
      <c r="E274" s="536">
        <v>471225</v>
      </c>
      <c r="F274" s="358">
        <f t="shared" si="191"/>
        <v>99103.3</v>
      </c>
      <c r="G274" s="358"/>
      <c r="H274" s="657">
        <v>0</v>
      </c>
      <c r="I274" s="358">
        <f>SUM(E274:H274)</f>
        <v>570328.30000000005</v>
      </c>
      <c r="J274" s="358">
        <f t="shared" si="192"/>
        <v>1411737.7</v>
      </c>
      <c r="K274" s="359">
        <f t="shared" ref="K274" si="200">ROUND(J274*7.5%,0)</f>
        <v>105880</v>
      </c>
      <c r="L274" s="358">
        <f t="shared" ref="L274" si="201">ROUND(J274-K274,0)</f>
        <v>1305858</v>
      </c>
      <c r="M274" s="358">
        <v>0</v>
      </c>
      <c r="N274" s="358">
        <f t="shared" ref="N274" si="202">L274-M274</f>
        <v>1305858</v>
      </c>
    </row>
    <row r="275" spans="1:14" x14ac:dyDescent="0.25">
      <c r="A275" s="429" t="s">
        <v>260</v>
      </c>
      <c r="B275" s="360">
        <f>SUM(B265:B274)</f>
        <v>557622532</v>
      </c>
      <c r="C275" s="360">
        <f t="shared" ref="C275:N275" si="203">SUM(C265:C274)</f>
        <v>0</v>
      </c>
      <c r="D275" s="360">
        <f t="shared" si="203"/>
        <v>557622532</v>
      </c>
      <c r="E275" s="360">
        <f t="shared" si="203"/>
        <v>233197983</v>
      </c>
      <c r="F275" s="360">
        <f t="shared" si="203"/>
        <v>27881126.600000005</v>
      </c>
      <c r="G275" s="360">
        <f t="shared" si="203"/>
        <v>0</v>
      </c>
      <c r="H275" s="360">
        <f t="shared" si="203"/>
        <v>987594</v>
      </c>
      <c r="I275" s="360">
        <f t="shared" si="203"/>
        <v>262066703.59999996</v>
      </c>
      <c r="J275" s="360">
        <f t="shared" si="203"/>
        <v>295555828.39999998</v>
      </c>
      <c r="K275" s="360">
        <f t="shared" si="203"/>
        <v>22166686</v>
      </c>
      <c r="L275" s="360">
        <f t="shared" si="203"/>
        <v>273389142</v>
      </c>
      <c r="M275" s="360">
        <f t="shared" si="203"/>
        <v>271630504</v>
      </c>
      <c r="N275" s="360">
        <f t="shared" si="203"/>
        <v>1758638</v>
      </c>
    </row>
    <row r="276" spans="1:14" x14ac:dyDescent="0.25">
      <c r="A276" s="429" t="s">
        <v>260</v>
      </c>
      <c r="B276" s="358">
        <v>48754035</v>
      </c>
      <c r="C276" s="555">
        <v>0</v>
      </c>
      <c r="D276" s="358">
        <f t="shared" ref="D276:D282" si="204">SUM(B276:C276)</f>
        <v>48754035</v>
      </c>
      <c r="E276" s="358">
        <v>0</v>
      </c>
      <c r="F276" s="358">
        <f t="shared" ref="F276:F281" si="205">B276*5%</f>
        <v>2437701.75</v>
      </c>
      <c r="G276" s="358"/>
      <c r="H276" s="358">
        <v>0</v>
      </c>
      <c r="I276" s="358">
        <f t="shared" ref="I276:I281" si="206">SUM(E276:H276)</f>
        <v>2437701.75</v>
      </c>
      <c r="J276" s="358">
        <f t="shared" ref="J276:J282" si="207">D276-I276</f>
        <v>46316333.25</v>
      </c>
      <c r="K276" s="359">
        <f t="shared" ref="K276:K281" si="208">ROUND(J276*7.5%,0)</f>
        <v>3473725</v>
      </c>
      <c r="L276" s="358">
        <f t="shared" ref="L276:L281" si="209">ROUND(J276-K276,0)</f>
        <v>42842608</v>
      </c>
      <c r="M276" s="358">
        <v>42842608</v>
      </c>
      <c r="N276" s="358">
        <f t="shared" ref="N276:N281" si="210">L276-M276</f>
        <v>0</v>
      </c>
    </row>
    <row r="277" spans="1:14" x14ac:dyDescent="0.25">
      <c r="A277" s="429" t="s">
        <v>260</v>
      </c>
      <c r="B277" s="358">
        <v>20894587</v>
      </c>
      <c r="C277" s="555"/>
      <c r="D277" s="358">
        <f t="shared" si="204"/>
        <v>20894587</v>
      </c>
      <c r="E277" s="358"/>
      <c r="F277" s="358">
        <f t="shared" si="205"/>
        <v>1044729.3500000001</v>
      </c>
      <c r="G277" s="358"/>
      <c r="H277" s="358"/>
      <c r="I277" s="358">
        <f t="shared" si="206"/>
        <v>1044729.3500000001</v>
      </c>
      <c r="J277" s="358">
        <f t="shared" si="207"/>
        <v>19849857.649999999</v>
      </c>
      <c r="K277" s="359">
        <f t="shared" si="208"/>
        <v>1488739</v>
      </c>
      <c r="L277" s="358">
        <f t="shared" si="209"/>
        <v>18361119</v>
      </c>
      <c r="M277" s="358">
        <v>18361119</v>
      </c>
      <c r="N277" s="358">
        <f t="shared" si="210"/>
        <v>0</v>
      </c>
    </row>
    <row r="278" spans="1:14" x14ac:dyDescent="0.25">
      <c r="A278" s="429" t="s">
        <v>260</v>
      </c>
      <c r="B278" s="358">
        <v>199422</v>
      </c>
      <c r="C278" s="555"/>
      <c r="D278" s="358">
        <f t="shared" si="204"/>
        <v>199422</v>
      </c>
      <c r="E278" s="358"/>
      <c r="F278" s="358">
        <f t="shared" si="205"/>
        <v>9971.1</v>
      </c>
      <c r="G278" s="358"/>
      <c r="H278" s="358"/>
      <c r="I278" s="358">
        <f t="shared" si="206"/>
        <v>9971.1</v>
      </c>
      <c r="J278" s="358">
        <f t="shared" si="207"/>
        <v>189450.9</v>
      </c>
      <c r="K278" s="359">
        <f t="shared" si="208"/>
        <v>14209</v>
      </c>
      <c r="L278" s="358">
        <f t="shared" si="209"/>
        <v>175242</v>
      </c>
      <c r="M278" s="358">
        <v>175242</v>
      </c>
      <c r="N278" s="358">
        <f t="shared" si="210"/>
        <v>0</v>
      </c>
    </row>
    <row r="279" spans="1:14" x14ac:dyDescent="0.25">
      <c r="A279" s="429" t="s">
        <v>260</v>
      </c>
      <c r="B279" s="358">
        <v>85466</v>
      </c>
      <c r="C279" s="555"/>
      <c r="D279" s="358">
        <f t="shared" si="204"/>
        <v>85466</v>
      </c>
      <c r="E279" s="358"/>
      <c r="F279" s="358">
        <f t="shared" si="205"/>
        <v>4273.3</v>
      </c>
      <c r="G279" s="358"/>
      <c r="H279" s="358"/>
      <c r="I279" s="358">
        <f t="shared" si="206"/>
        <v>4273.3</v>
      </c>
      <c r="J279" s="358">
        <f t="shared" si="207"/>
        <v>81192.7</v>
      </c>
      <c r="K279" s="359">
        <f t="shared" si="208"/>
        <v>6089</v>
      </c>
      <c r="L279" s="358">
        <f t="shared" si="209"/>
        <v>75104</v>
      </c>
      <c r="M279" s="358">
        <v>75104</v>
      </c>
      <c r="N279" s="358">
        <f t="shared" si="210"/>
        <v>0</v>
      </c>
    </row>
    <row r="280" spans="1:14" x14ac:dyDescent="0.25">
      <c r="A280" s="429"/>
      <c r="B280" s="358">
        <v>4817737</v>
      </c>
      <c r="C280" s="555"/>
      <c r="D280" s="358">
        <f t="shared" si="204"/>
        <v>4817737</v>
      </c>
      <c r="E280" s="645">
        <v>4305400</v>
      </c>
      <c r="F280" s="358">
        <f t="shared" si="205"/>
        <v>240886.85</v>
      </c>
      <c r="G280" s="358"/>
      <c r="H280" s="358"/>
      <c r="I280" s="358">
        <f t="shared" si="206"/>
        <v>4546286.8499999996</v>
      </c>
      <c r="J280" s="358">
        <f t="shared" si="207"/>
        <v>271450.15000000037</v>
      </c>
      <c r="K280" s="359">
        <f t="shared" si="208"/>
        <v>20359</v>
      </c>
      <c r="L280" s="358">
        <f t="shared" si="209"/>
        <v>251091</v>
      </c>
      <c r="M280" s="358">
        <v>251091</v>
      </c>
      <c r="N280" s="358">
        <f t="shared" si="210"/>
        <v>0</v>
      </c>
    </row>
    <row r="281" spans="1:14" x14ac:dyDescent="0.25">
      <c r="A281" s="429"/>
      <c r="B281" s="358">
        <v>2064745</v>
      </c>
      <c r="C281" s="555"/>
      <c r="D281" s="358">
        <f t="shared" si="204"/>
        <v>2064745</v>
      </c>
      <c r="E281" s="645">
        <v>1570750</v>
      </c>
      <c r="F281" s="358">
        <f t="shared" si="205"/>
        <v>103237.25</v>
      </c>
      <c r="G281" s="358"/>
      <c r="H281" s="358"/>
      <c r="I281" s="358">
        <f t="shared" si="206"/>
        <v>1673987.25</v>
      </c>
      <c r="J281" s="358">
        <f t="shared" si="207"/>
        <v>390757.75</v>
      </c>
      <c r="K281" s="359">
        <f t="shared" si="208"/>
        <v>29307</v>
      </c>
      <c r="L281" s="358">
        <f t="shared" si="209"/>
        <v>361451</v>
      </c>
      <c r="M281" s="358">
        <v>361451</v>
      </c>
      <c r="N281" s="358">
        <f t="shared" si="210"/>
        <v>0</v>
      </c>
    </row>
    <row r="282" spans="1:14" x14ac:dyDescent="0.25">
      <c r="A282" s="429"/>
      <c r="B282" s="358">
        <v>4057365</v>
      </c>
      <c r="C282" s="555"/>
      <c r="D282" s="358">
        <f t="shared" si="204"/>
        <v>4057365</v>
      </c>
      <c r="E282" s="358"/>
      <c r="F282" s="358">
        <v>202868.25</v>
      </c>
      <c r="G282" s="358"/>
      <c r="H282" s="358"/>
      <c r="I282" s="358">
        <f t="shared" ref="I282" si="211">SUM(E282:H282)</f>
        <v>202868.25</v>
      </c>
      <c r="J282" s="358">
        <f t="shared" si="207"/>
        <v>3854496.75</v>
      </c>
      <c r="K282" s="359">
        <f t="shared" ref="K282" si="212">ROUND(J282*7.5%,0)</f>
        <v>289087</v>
      </c>
      <c r="L282" s="358">
        <f t="shared" ref="L282" si="213">ROUND(J282-K282,0)</f>
        <v>3565410</v>
      </c>
      <c r="M282" s="358">
        <v>3565410</v>
      </c>
      <c r="N282" s="358">
        <f t="shared" ref="N282" si="214">L282-M282</f>
        <v>0</v>
      </c>
    </row>
    <row r="283" spans="1:14" x14ac:dyDescent="0.25">
      <c r="A283" s="429"/>
      <c r="B283" s="358"/>
      <c r="C283" s="555"/>
      <c r="D283" s="358"/>
      <c r="E283" s="358"/>
      <c r="F283" s="358"/>
      <c r="G283" s="358"/>
      <c r="H283" s="358"/>
      <c r="I283" s="358"/>
      <c r="J283" s="358"/>
      <c r="K283" s="359"/>
      <c r="L283" s="358"/>
      <c r="M283" s="358"/>
      <c r="N283" s="358"/>
    </row>
    <row r="284" spans="1:14" x14ac:dyDescent="0.25">
      <c r="A284" s="429" t="s">
        <v>260</v>
      </c>
      <c r="B284" s="360">
        <f>SUM(B276:B283)</f>
        <v>80873357</v>
      </c>
      <c r="C284" s="360">
        <f t="shared" ref="C284:N284" si="215">SUM(C276:C283)</f>
        <v>0</v>
      </c>
      <c r="D284" s="360">
        <f t="shared" si="215"/>
        <v>80873357</v>
      </c>
      <c r="E284" s="360">
        <f t="shared" si="215"/>
        <v>5876150</v>
      </c>
      <c r="F284" s="360">
        <f t="shared" si="215"/>
        <v>4043667.85</v>
      </c>
      <c r="G284" s="360">
        <f t="shared" si="215"/>
        <v>0</v>
      </c>
      <c r="H284" s="360">
        <f t="shared" si="215"/>
        <v>0</v>
      </c>
      <c r="I284" s="360">
        <f t="shared" si="215"/>
        <v>9919817.8499999996</v>
      </c>
      <c r="J284" s="360">
        <f t="shared" si="215"/>
        <v>70953539.150000006</v>
      </c>
      <c r="K284" s="360">
        <f t="shared" si="215"/>
        <v>5321515</v>
      </c>
      <c r="L284" s="360">
        <f t="shared" si="215"/>
        <v>65632025</v>
      </c>
      <c r="M284" s="360">
        <f t="shared" si="215"/>
        <v>65632025</v>
      </c>
      <c r="N284" s="360">
        <f t="shared" si="215"/>
        <v>0</v>
      </c>
    </row>
    <row r="285" spans="1:14" x14ac:dyDescent="0.25">
      <c r="A285" s="429" t="s">
        <v>260</v>
      </c>
      <c r="B285" s="358">
        <v>0</v>
      </c>
      <c r="C285" s="555">
        <v>75450000</v>
      </c>
      <c r="D285" s="358">
        <f>SUM(B285:C285)</f>
        <v>75450000</v>
      </c>
      <c r="E285" s="358">
        <v>0</v>
      </c>
      <c r="F285" s="358">
        <f>B285*5%</f>
        <v>0</v>
      </c>
      <c r="G285" s="358"/>
      <c r="H285" s="358">
        <v>0</v>
      </c>
      <c r="I285" s="358">
        <f>SUM(E285:H285)</f>
        <v>0</v>
      </c>
      <c r="J285" s="358">
        <f>D285-I285</f>
        <v>75450000</v>
      </c>
      <c r="K285" s="359">
        <f>ROUND(J285*7.5%,0)</f>
        <v>5658750</v>
      </c>
      <c r="L285" s="358">
        <f>ROUND(J285-K285,0)</f>
        <v>69791250</v>
      </c>
      <c r="M285" s="358">
        <v>69791250</v>
      </c>
      <c r="N285" s="358">
        <f>L285-M285</f>
        <v>0</v>
      </c>
    </row>
    <row r="286" spans="1:14" x14ac:dyDescent="0.25">
      <c r="A286" s="429" t="s">
        <v>260</v>
      </c>
      <c r="B286" s="358">
        <f>SUM(B285)</f>
        <v>0</v>
      </c>
      <c r="C286" s="556">
        <f t="shared" ref="C286:N286" si="216">SUM(C285)</f>
        <v>75450000</v>
      </c>
      <c r="D286" s="360">
        <f t="shared" si="216"/>
        <v>75450000</v>
      </c>
      <c r="E286" s="360">
        <f t="shared" si="216"/>
        <v>0</v>
      </c>
      <c r="F286" s="360">
        <f t="shared" si="216"/>
        <v>0</v>
      </c>
      <c r="G286" s="360"/>
      <c r="H286" s="360">
        <f t="shared" si="216"/>
        <v>0</v>
      </c>
      <c r="I286" s="360">
        <f t="shared" si="216"/>
        <v>0</v>
      </c>
      <c r="J286" s="360">
        <f t="shared" si="216"/>
        <v>75450000</v>
      </c>
      <c r="K286" s="360">
        <f t="shared" si="216"/>
        <v>5658750</v>
      </c>
      <c r="L286" s="360">
        <f t="shared" si="216"/>
        <v>69791250</v>
      </c>
      <c r="M286" s="360">
        <f>SUM(M285)</f>
        <v>69791250</v>
      </c>
      <c r="N286" s="358">
        <f t="shared" si="216"/>
        <v>0</v>
      </c>
    </row>
    <row r="287" spans="1:14" x14ac:dyDescent="0.25">
      <c r="A287" s="429" t="s">
        <v>260</v>
      </c>
      <c r="B287" s="358">
        <v>32848430</v>
      </c>
      <c r="C287" s="555">
        <v>0</v>
      </c>
      <c r="D287" s="358">
        <f>SUM(B287:C287)</f>
        <v>32848430</v>
      </c>
      <c r="E287" s="358">
        <v>0</v>
      </c>
      <c r="F287" s="358">
        <f>B287*5%</f>
        <v>1642421.5</v>
      </c>
      <c r="G287" s="358"/>
      <c r="H287" s="358">
        <v>0</v>
      </c>
      <c r="I287" s="358">
        <f>SUM(E287:H287)</f>
        <v>1642421.5</v>
      </c>
      <c r="J287" s="358">
        <f>D287-I287</f>
        <v>31206008.5</v>
      </c>
      <c r="K287" s="359">
        <f>ROUND(J287*7.5%,0)</f>
        <v>2340451</v>
      </c>
      <c r="L287" s="358">
        <f>ROUND(J287-K287,0)</f>
        <v>28865558</v>
      </c>
      <c r="M287" s="358">
        <v>0</v>
      </c>
      <c r="N287" s="358">
        <f>L287-M287</f>
        <v>28865558</v>
      </c>
    </row>
    <row r="288" spans="1:14" x14ac:dyDescent="0.25">
      <c r="A288" s="429" t="s">
        <v>260</v>
      </c>
      <c r="B288" s="358"/>
      <c r="C288" s="555"/>
      <c r="D288" s="358"/>
      <c r="E288" s="358"/>
      <c r="F288" s="358"/>
      <c r="G288" s="358"/>
      <c r="H288" s="358"/>
      <c r="I288" s="358"/>
      <c r="J288" s="358"/>
      <c r="K288" s="359"/>
      <c r="L288" s="358"/>
      <c r="M288" s="358"/>
      <c r="N288" s="358"/>
    </row>
    <row r="289" spans="1:14" x14ac:dyDescent="0.25">
      <c r="A289" s="429" t="s">
        <v>260</v>
      </c>
      <c r="B289" s="360">
        <f>SUM(B287:B288)</f>
        <v>32848430</v>
      </c>
      <c r="C289" s="360">
        <f t="shared" ref="C289:N289" si="217">SUM(C287:C288)</f>
        <v>0</v>
      </c>
      <c r="D289" s="360">
        <f t="shared" si="217"/>
        <v>32848430</v>
      </c>
      <c r="E289" s="360">
        <f t="shared" si="217"/>
        <v>0</v>
      </c>
      <c r="F289" s="360">
        <f t="shared" si="217"/>
        <v>1642421.5</v>
      </c>
      <c r="G289" s="360">
        <f t="shared" si="217"/>
        <v>0</v>
      </c>
      <c r="H289" s="360">
        <f t="shared" si="217"/>
        <v>0</v>
      </c>
      <c r="I289" s="360">
        <f t="shared" si="217"/>
        <v>1642421.5</v>
      </c>
      <c r="J289" s="360">
        <f t="shared" si="217"/>
        <v>31206008.5</v>
      </c>
      <c r="K289" s="360">
        <f t="shared" si="217"/>
        <v>2340451</v>
      </c>
      <c r="L289" s="360">
        <f t="shared" si="217"/>
        <v>28865558</v>
      </c>
      <c r="M289" s="360">
        <f t="shared" si="217"/>
        <v>0</v>
      </c>
      <c r="N289" s="360">
        <f t="shared" si="217"/>
        <v>28865558</v>
      </c>
    </row>
    <row r="290" spans="1:14" x14ac:dyDescent="0.25">
      <c r="A290" s="429" t="s">
        <v>698</v>
      </c>
      <c r="B290" s="358">
        <v>1269601</v>
      </c>
      <c r="C290" s="555"/>
      <c r="D290" s="358">
        <f>SUM(B290:C290)</f>
        <v>1269601</v>
      </c>
      <c r="E290" s="358"/>
      <c r="F290" s="358">
        <f>B290*5%</f>
        <v>63480.05</v>
      </c>
      <c r="G290" s="358"/>
      <c r="H290" s="358">
        <v>0</v>
      </c>
      <c r="I290" s="358">
        <f>SUM(E290:H290)</f>
        <v>63480.05</v>
      </c>
      <c r="J290" s="358">
        <f>D290-I290</f>
        <v>1206120.95</v>
      </c>
      <c r="K290" s="359">
        <f>ROUND(J290*8%,0)</f>
        <v>96490</v>
      </c>
      <c r="L290" s="358">
        <f>ROUND(J290-K290,0)</f>
        <v>1109631</v>
      </c>
      <c r="M290" s="358">
        <v>1109631</v>
      </c>
      <c r="N290" s="358">
        <f>L290-M290</f>
        <v>0</v>
      </c>
    </row>
    <row r="291" spans="1:14" x14ac:dyDescent="0.25">
      <c r="A291" s="429"/>
      <c r="B291" s="358">
        <v>1403569</v>
      </c>
      <c r="C291" s="555"/>
      <c r="D291" s="358">
        <f>SUM(B291:C291)</f>
        <v>1403569</v>
      </c>
      <c r="E291" s="358"/>
      <c r="F291" s="583">
        <f>D291*5%</f>
        <v>70178.45</v>
      </c>
      <c r="G291" s="358"/>
      <c r="H291" s="358"/>
      <c r="I291" s="358">
        <f>SUM(E291:H291)</f>
        <v>70178.45</v>
      </c>
      <c r="J291" s="358">
        <f>D291-I291</f>
        <v>1333390.55</v>
      </c>
      <c r="K291" s="359">
        <f>ROUND(J291*8%,0)</f>
        <v>106671</v>
      </c>
      <c r="L291" s="358">
        <f>ROUND(J291-K291,0)</f>
        <v>1226720</v>
      </c>
      <c r="M291" s="358">
        <v>1226720</v>
      </c>
      <c r="N291" s="358">
        <f>L291-M291</f>
        <v>0</v>
      </c>
    </row>
    <row r="292" spans="1:14" x14ac:dyDescent="0.25">
      <c r="A292" s="429" t="s">
        <v>698</v>
      </c>
      <c r="B292" s="360">
        <f>SUM(B290:B291)</f>
        <v>2673170</v>
      </c>
      <c r="C292" s="360">
        <f t="shared" ref="C292:N292" si="218">SUM(C290:C291)</f>
        <v>0</v>
      </c>
      <c r="D292" s="360">
        <f t="shared" si="218"/>
        <v>2673170</v>
      </c>
      <c r="E292" s="360">
        <f t="shared" si="218"/>
        <v>0</v>
      </c>
      <c r="F292" s="360">
        <f t="shared" si="218"/>
        <v>133658.5</v>
      </c>
      <c r="G292" s="360">
        <f t="shared" si="218"/>
        <v>0</v>
      </c>
      <c r="H292" s="360">
        <f t="shared" si="218"/>
        <v>0</v>
      </c>
      <c r="I292" s="360">
        <f t="shared" si="218"/>
        <v>133658.5</v>
      </c>
      <c r="J292" s="360">
        <f t="shared" si="218"/>
        <v>2539511.5</v>
      </c>
      <c r="K292" s="360">
        <f t="shared" si="218"/>
        <v>203161</v>
      </c>
      <c r="L292" s="360">
        <f t="shared" si="218"/>
        <v>2336351</v>
      </c>
      <c r="M292" s="360">
        <f t="shared" si="218"/>
        <v>2336351</v>
      </c>
      <c r="N292" s="360">
        <f t="shared" si="218"/>
        <v>0</v>
      </c>
    </row>
    <row r="293" spans="1:14" x14ac:dyDescent="0.25">
      <c r="A293" s="429" t="s">
        <v>698</v>
      </c>
      <c r="B293" s="358">
        <v>9271299</v>
      </c>
      <c r="C293" s="555"/>
      <c r="D293" s="358">
        <f>SUM(B293:C293)</f>
        <v>9271299</v>
      </c>
      <c r="E293" s="358"/>
      <c r="F293" s="358">
        <f>B293*5%</f>
        <v>463564.95</v>
      </c>
      <c r="G293" s="358"/>
      <c r="H293" s="358">
        <v>0</v>
      </c>
      <c r="I293" s="358">
        <f>SUM(E293:H293)</f>
        <v>463564.95</v>
      </c>
      <c r="J293" s="358">
        <f>D293-I293</f>
        <v>8807734.0500000007</v>
      </c>
      <c r="K293" s="359">
        <f>ROUND(J293*8%,0)</f>
        <v>704619</v>
      </c>
      <c r="L293" s="358">
        <f>ROUND(J293-K293,0)</f>
        <v>8103115</v>
      </c>
      <c r="M293" s="358">
        <v>8103115</v>
      </c>
      <c r="N293" s="358">
        <f>L293-M293</f>
        <v>0</v>
      </c>
    </row>
    <row r="294" spans="1:14" x14ac:dyDescent="0.25">
      <c r="A294" s="429"/>
      <c r="B294" s="358">
        <v>3172217</v>
      </c>
      <c r="C294" s="555"/>
      <c r="D294" s="358">
        <f>SUM(B294:C294)</f>
        <v>3172217</v>
      </c>
      <c r="E294" s="358"/>
      <c r="F294" s="358">
        <f>B294*5%</f>
        <v>158610.85</v>
      </c>
      <c r="G294" s="358"/>
      <c r="H294" s="358"/>
      <c r="I294" s="358">
        <f>SUM(E294:H294)</f>
        <v>158610.85</v>
      </c>
      <c r="J294" s="358">
        <f>D294-I294</f>
        <v>3013606.15</v>
      </c>
      <c r="K294" s="359">
        <f>ROUND(J294*8%,0)</f>
        <v>241088</v>
      </c>
      <c r="L294" s="358">
        <f>ROUND(J294-K294,0)</f>
        <v>2772518</v>
      </c>
      <c r="M294" s="358">
        <v>0</v>
      </c>
      <c r="N294" s="358">
        <f>L294-M294</f>
        <v>2772518</v>
      </c>
    </row>
    <row r="295" spans="1:14" x14ac:dyDescent="0.25">
      <c r="A295" s="429" t="s">
        <v>698</v>
      </c>
      <c r="B295" s="360">
        <f>SUM(B293:B294)</f>
        <v>12443516</v>
      </c>
      <c r="C295" s="360">
        <f t="shared" ref="C295:N295" si="219">SUM(C293:C294)</f>
        <v>0</v>
      </c>
      <c r="D295" s="360">
        <f t="shared" si="219"/>
        <v>12443516</v>
      </c>
      <c r="E295" s="360">
        <f t="shared" si="219"/>
        <v>0</v>
      </c>
      <c r="F295" s="360">
        <f t="shared" si="219"/>
        <v>622175.80000000005</v>
      </c>
      <c r="G295" s="360">
        <f t="shared" si="219"/>
        <v>0</v>
      </c>
      <c r="H295" s="360">
        <f t="shared" si="219"/>
        <v>0</v>
      </c>
      <c r="I295" s="360">
        <f t="shared" si="219"/>
        <v>622175.80000000005</v>
      </c>
      <c r="J295" s="360">
        <f t="shared" si="219"/>
        <v>11821340.200000001</v>
      </c>
      <c r="K295" s="360">
        <f t="shared" si="219"/>
        <v>945707</v>
      </c>
      <c r="L295" s="360">
        <f t="shared" si="219"/>
        <v>10875633</v>
      </c>
      <c r="M295" s="360">
        <f t="shared" si="219"/>
        <v>8103115</v>
      </c>
      <c r="N295" s="360">
        <f t="shared" si="219"/>
        <v>2772518</v>
      </c>
    </row>
    <row r="296" spans="1:14" x14ac:dyDescent="0.25">
      <c r="A296" s="429" t="s">
        <v>698</v>
      </c>
      <c r="B296" s="358">
        <v>17451316</v>
      </c>
      <c r="C296" s="358">
        <v>0</v>
      </c>
      <c r="D296" s="358">
        <f>B296+C296</f>
        <v>17451316</v>
      </c>
      <c r="E296" s="358">
        <v>9767500</v>
      </c>
      <c r="F296" s="358">
        <f>D296*5%</f>
        <v>872565.8</v>
      </c>
      <c r="G296" s="358"/>
      <c r="H296" s="358">
        <v>0</v>
      </c>
      <c r="I296" s="358">
        <f t="shared" ref="I296:I298" si="220">SUM(E296:H296)</f>
        <v>10640065.800000001</v>
      </c>
      <c r="J296" s="358">
        <f>D296-I296</f>
        <v>6811250.1999999993</v>
      </c>
      <c r="K296" s="359">
        <f>ROUND(J296*8%,0)</f>
        <v>544900</v>
      </c>
      <c r="L296" s="358">
        <f t="shared" ref="L296:L301" si="221">ROUND(J296-K296,0)</f>
        <v>6266350</v>
      </c>
      <c r="M296" s="358">
        <v>6266350</v>
      </c>
      <c r="N296" s="358">
        <f>L296-M296</f>
        <v>0</v>
      </c>
    </row>
    <row r="297" spans="1:14" x14ac:dyDescent="0.25">
      <c r="A297" s="429" t="s">
        <v>698</v>
      </c>
      <c r="B297" s="358">
        <v>7479135</v>
      </c>
      <c r="C297" s="358"/>
      <c r="D297" s="358">
        <f t="shared" ref="D297:D301" si="222">B297+C297</f>
        <v>7479135</v>
      </c>
      <c r="E297" s="358"/>
      <c r="F297" s="358">
        <f>D297*5%</f>
        <v>373956.75</v>
      </c>
      <c r="G297" s="358"/>
      <c r="H297" s="358"/>
      <c r="I297" s="358">
        <f t="shared" si="220"/>
        <v>373956.75</v>
      </c>
      <c r="J297" s="358">
        <f>D297-I297</f>
        <v>7105178.25</v>
      </c>
      <c r="K297" s="359">
        <f>ROUND(J297*8%,0)</f>
        <v>568414</v>
      </c>
      <c r="L297" s="358">
        <f t="shared" si="221"/>
        <v>6536764</v>
      </c>
      <c r="M297" s="358">
        <v>6536764</v>
      </c>
      <c r="N297" s="358">
        <f>L297-M297</f>
        <v>0</v>
      </c>
    </row>
    <row r="298" spans="1:14" x14ac:dyDescent="0.25">
      <c r="A298" s="429" t="s">
        <v>698</v>
      </c>
      <c r="B298" s="358">
        <v>12014298</v>
      </c>
      <c r="C298" s="358"/>
      <c r="D298" s="358">
        <f t="shared" si="222"/>
        <v>12014298</v>
      </c>
      <c r="E298" s="358"/>
      <c r="F298" s="358">
        <f>D298*5%</f>
        <v>600714.9</v>
      </c>
      <c r="G298" s="358"/>
      <c r="H298" s="358"/>
      <c r="I298" s="358">
        <f t="shared" si="220"/>
        <v>600714.9</v>
      </c>
      <c r="J298" s="358">
        <f>D298-I298</f>
        <v>11413583.1</v>
      </c>
      <c r="K298" s="359">
        <f>ROUND(J298*8%,0)</f>
        <v>913087</v>
      </c>
      <c r="L298" s="358">
        <f t="shared" si="221"/>
        <v>10500496</v>
      </c>
      <c r="M298" s="358">
        <f>5500000+2500000+2500496</f>
        <v>10500496</v>
      </c>
      <c r="N298" s="358">
        <f>L298-M298</f>
        <v>0</v>
      </c>
    </row>
    <row r="299" spans="1:14" x14ac:dyDescent="0.25">
      <c r="A299" s="429" t="s">
        <v>698</v>
      </c>
      <c r="B299" s="358">
        <v>1663519</v>
      </c>
      <c r="C299" s="358"/>
      <c r="D299" s="358">
        <f t="shared" si="222"/>
        <v>1663519</v>
      </c>
      <c r="E299" s="358"/>
      <c r="F299" s="358">
        <f>D299*5%</f>
        <v>83175.950000000012</v>
      </c>
      <c r="G299" s="358"/>
      <c r="H299" s="358"/>
      <c r="I299" s="358">
        <f t="shared" ref="I299" si="223">SUM(E299:H299)</f>
        <v>83175.950000000012</v>
      </c>
      <c r="J299" s="358">
        <f>D299-I299</f>
        <v>1580343.05</v>
      </c>
      <c r="K299" s="359">
        <f>ROUND(J299*8%,0)</f>
        <v>126427</v>
      </c>
      <c r="L299" s="358">
        <f t="shared" si="221"/>
        <v>1453916</v>
      </c>
      <c r="M299" s="358">
        <v>1453916</v>
      </c>
      <c r="N299" s="358">
        <f>L299-M299</f>
        <v>0</v>
      </c>
    </row>
    <row r="300" spans="1:14" x14ac:dyDescent="0.25">
      <c r="A300" s="429" t="s">
        <v>698</v>
      </c>
      <c r="B300" s="358">
        <v>5861922</v>
      </c>
      <c r="C300" s="358"/>
      <c r="D300" s="358">
        <f t="shared" si="222"/>
        <v>5861922</v>
      </c>
      <c r="E300" s="358"/>
      <c r="F300" s="358">
        <f t="shared" ref="F300:F301" si="224">D300*5%</f>
        <v>293096.10000000003</v>
      </c>
      <c r="G300" s="358"/>
      <c r="H300" s="358"/>
      <c r="I300" s="358">
        <f t="shared" ref="I300:I301" si="225">SUM(E300:H300)</f>
        <v>293096.10000000003</v>
      </c>
      <c r="J300" s="358">
        <f t="shared" ref="J300:J301" si="226">D300-I300</f>
        <v>5568825.9000000004</v>
      </c>
      <c r="K300" s="359">
        <f t="shared" ref="K300:K301" si="227">ROUND(J300*8%,0)</f>
        <v>445506</v>
      </c>
      <c r="L300" s="358">
        <f t="shared" si="221"/>
        <v>5123320</v>
      </c>
      <c r="M300" s="358">
        <v>5123320</v>
      </c>
      <c r="N300" s="358">
        <f t="shared" ref="N300:N301" si="228">L300-M300</f>
        <v>0</v>
      </c>
    </row>
    <row r="301" spans="1:14" x14ac:dyDescent="0.25">
      <c r="A301" s="429" t="s">
        <v>698</v>
      </c>
      <c r="B301" s="358">
        <v>14210032</v>
      </c>
      <c r="C301" s="358"/>
      <c r="D301" s="358">
        <f t="shared" si="222"/>
        <v>14210032</v>
      </c>
      <c r="E301" s="358"/>
      <c r="F301" s="358">
        <f t="shared" si="224"/>
        <v>710501.60000000009</v>
      </c>
      <c r="G301" s="358"/>
      <c r="H301" s="358"/>
      <c r="I301" s="358">
        <f t="shared" si="225"/>
        <v>710501.60000000009</v>
      </c>
      <c r="J301" s="358">
        <f t="shared" si="226"/>
        <v>13499530.4</v>
      </c>
      <c r="K301" s="359">
        <f t="shared" si="227"/>
        <v>1079962</v>
      </c>
      <c r="L301" s="358">
        <f t="shared" si="221"/>
        <v>12419568</v>
      </c>
      <c r="M301" s="358">
        <v>3000000</v>
      </c>
      <c r="N301" s="358">
        <f t="shared" si="228"/>
        <v>9419568</v>
      </c>
    </row>
    <row r="302" spans="1:14" x14ac:dyDescent="0.25">
      <c r="A302" s="429" t="s">
        <v>698</v>
      </c>
      <c r="B302" s="360">
        <f>SUM(B296:B301)</f>
        <v>58680222</v>
      </c>
      <c r="C302" s="360">
        <f t="shared" ref="C302:D302" si="229">SUM(C296:C301)</f>
        <v>0</v>
      </c>
      <c r="D302" s="360">
        <f t="shared" si="229"/>
        <v>58680222</v>
      </c>
      <c r="E302" s="360">
        <f t="shared" ref="E302:N302" si="230">SUM(E296:E301)</f>
        <v>9767500</v>
      </c>
      <c r="F302" s="360">
        <f t="shared" si="230"/>
        <v>2934011.1</v>
      </c>
      <c r="G302" s="360">
        <f t="shared" si="230"/>
        <v>0</v>
      </c>
      <c r="H302" s="360">
        <f t="shared" si="230"/>
        <v>0</v>
      </c>
      <c r="I302" s="360">
        <f t="shared" si="230"/>
        <v>12701511.1</v>
      </c>
      <c r="J302" s="360">
        <f t="shared" si="230"/>
        <v>45978710.899999999</v>
      </c>
      <c r="K302" s="360">
        <f t="shared" si="230"/>
        <v>3678296</v>
      </c>
      <c r="L302" s="360">
        <f t="shared" si="230"/>
        <v>42300414</v>
      </c>
      <c r="M302" s="360">
        <f t="shared" si="230"/>
        <v>32880846</v>
      </c>
      <c r="N302" s="360">
        <f t="shared" si="230"/>
        <v>9419568</v>
      </c>
    </row>
    <row r="303" spans="1:14" x14ac:dyDescent="0.25">
      <c r="A303" s="429" t="s">
        <v>699</v>
      </c>
      <c r="B303" s="358">
        <v>9476999</v>
      </c>
      <c r="C303" s="555"/>
      <c r="D303" s="358">
        <f>SUM(B303:C303)</f>
        <v>9476999</v>
      </c>
      <c r="E303" s="358"/>
      <c r="F303" s="358">
        <f>B303*5%</f>
        <v>473849.95</v>
      </c>
      <c r="G303" s="358"/>
      <c r="H303" s="358">
        <v>0</v>
      </c>
      <c r="I303" s="358">
        <f>SUM(E303:H303)</f>
        <v>473849.95</v>
      </c>
      <c r="J303" s="358">
        <f>D303-I303</f>
        <v>9003149.0500000007</v>
      </c>
      <c r="K303" s="359">
        <f>ROUND(J303*8%,0)</f>
        <v>720252</v>
      </c>
      <c r="L303" s="358">
        <f>ROUND(J303-K303,0)</f>
        <v>8282897</v>
      </c>
      <c r="M303" s="358">
        <v>8282898</v>
      </c>
      <c r="N303" s="358">
        <f>L303-M303</f>
        <v>-1</v>
      </c>
    </row>
    <row r="304" spans="1:14" x14ac:dyDescent="0.25">
      <c r="A304" s="429" t="s">
        <v>699</v>
      </c>
      <c r="B304" s="358">
        <v>4914153</v>
      </c>
      <c r="C304" s="555"/>
      <c r="D304" s="358">
        <f>SUM(B304:C304)</f>
        <v>4914153</v>
      </c>
      <c r="E304" s="358"/>
      <c r="F304" s="358">
        <f>B304*5%</f>
        <v>245707.65000000002</v>
      </c>
      <c r="G304" s="358"/>
      <c r="H304" s="358">
        <v>449249</v>
      </c>
      <c r="I304" s="358">
        <f>SUM(E304:H304)</f>
        <v>694956.65</v>
      </c>
      <c r="J304" s="358">
        <f>D304-I304</f>
        <v>4219196.3499999996</v>
      </c>
      <c r="K304" s="359">
        <f>ROUND(J304*8%,0)</f>
        <v>337536</v>
      </c>
      <c r="L304" s="358">
        <f>ROUND(J304-K304,0)</f>
        <v>3881660</v>
      </c>
      <c r="M304" s="358">
        <v>3881660</v>
      </c>
      <c r="N304" s="358">
        <f>L304-M304</f>
        <v>0</v>
      </c>
    </row>
    <row r="305" spans="1:14" x14ac:dyDescent="0.25">
      <c r="A305" s="429"/>
      <c r="B305" s="358">
        <v>423576</v>
      </c>
      <c r="C305" s="555"/>
      <c r="D305" s="358">
        <f>SUM(B305:C305)</f>
        <v>423576</v>
      </c>
      <c r="E305" s="358"/>
      <c r="F305" s="358">
        <f>B305*5%</f>
        <v>21178.800000000003</v>
      </c>
      <c r="G305" s="358"/>
      <c r="H305" s="358">
        <v>0</v>
      </c>
      <c r="I305" s="358">
        <f>SUM(E305:H305)</f>
        <v>21178.800000000003</v>
      </c>
      <c r="J305" s="358">
        <f>D305-I305</f>
        <v>402397.2</v>
      </c>
      <c r="K305" s="359">
        <f>ROUND(J305*8%,0)</f>
        <v>32192</v>
      </c>
      <c r="L305" s="358">
        <f>ROUND(J305-K305,0)</f>
        <v>370205</v>
      </c>
      <c r="M305" s="358">
        <v>370205</v>
      </c>
      <c r="N305" s="358">
        <f>L305-M305</f>
        <v>0</v>
      </c>
    </row>
    <row r="306" spans="1:14" x14ac:dyDescent="0.25">
      <c r="A306" s="429" t="s">
        <v>699</v>
      </c>
      <c r="B306" s="360">
        <f>SUM(B303:B305)</f>
        <v>14814728</v>
      </c>
      <c r="C306" s="360">
        <f t="shared" ref="C306:N306" si="231">SUM(C303:C305)</f>
        <v>0</v>
      </c>
      <c r="D306" s="360">
        <f t="shared" si="231"/>
        <v>14814728</v>
      </c>
      <c r="E306" s="360">
        <f t="shared" si="231"/>
        <v>0</v>
      </c>
      <c r="F306" s="360">
        <f t="shared" si="231"/>
        <v>740736.40000000014</v>
      </c>
      <c r="G306" s="360">
        <f t="shared" si="231"/>
        <v>0</v>
      </c>
      <c r="H306" s="360">
        <f t="shared" si="231"/>
        <v>449249</v>
      </c>
      <c r="I306" s="360">
        <f t="shared" si="231"/>
        <v>1189985.4000000001</v>
      </c>
      <c r="J306" s="360">
        <f t="shared" si="231"/>
        <v>13624742.6</v>
      </c>
      <c r="K306" s="360">
        <f t="shared" si="231"/>
        <v>1089980</v>
      </c>
      <c r="L306" s="360">
        <f t="shared" si="231"/>
        <v>12534762</v>
      </c>
      <c r="M306" s="360">
        <f t="shared" si="231"/>
        <v>12534763</v>
      </c>
      <c r="N306" s="360">
        <f t="shared" si="231"/>
        <v>-1</v>
      </c>
    </row>
    <row r="307" spans="1:14" x14ac:dyDescent="0.25">
      <c r="A307" s="429" t="s">
        <v>699</v>
      </c>
      <c r="B307" s="358">
        <v>14613393</v>
      </c>
      <c r="C307" s="555"/>
      <c r="D307" s="358">
        <f>SUM(B307:C307)</f>
        <v>14613393</v>
      </c>
      <c r="E307" s="358"/>
      <c r="F307" s="358">
        <f>B307*5%</f>
        <v>730669.65</v>
      </c>
      <c r="G307" s="358"/>
      <c r="H307" s="358">
        <v>0</v>
      </c>
      <c r="I307" s="358">
        <f>SUM(E307:H307)</f>
        <v>730669.65</v>
      </c>
      <c r="J307" s="358">
        <f>D307-I307</f>
        <v>13882723.35</v>
      </c>
      <c r="K307" s="359">
        <f>ROUND(J307*8%,0)</f>
        <v>1110618</v>
      </c>
      <c r="L307" s="358">
        <f>ROUND(J307-K307,0)</f>
        <v>12772105</v>
      </c>
      <c r="M307" s="358">
        <v>12772105</v>
      </c>
      <c r="N307" s="358">
        <f>L307-M307</f>
        <v>0</v>
      </c>
    </row>
    <row r="308" spans="1:14" x14ac:dyDescent="0.25">
      <c r="A308" s="429"/>
      <c r="B308" s="358">
        <v>0</v>
      </c>
      <c r="C308" s="555"/>
      <c r="D308" s="358">
        <f>SUM(B308:C308)</f>
        <v>0</v>
      </c>
      <c r="E308" s="358"/>
      <c r="F308" s="358">
        <f>B308*5%</f>
        <v>0</v>
      </c>
      <c r="G308" s="358"/>
      <c r="H308" s="358"/>
      <c r="I308" s="358">
        <f>SUM(E308:H308)</f>
        <v>0</v>
      </c>
      <c r="J308" s="358">
        <f>D308-I308</f>
        <v>0</v>
      </c>
      <c r="K308" s="359">
        <f>ROUND(J308*8%,0)</f>
        <v>0</v>
      </c>
      <c r="L308" s="358">
        <f>ROUND(J308-K308,0)</f>
        <v>0</v>
      </c>
      <c r="M308" s="358">
        <v>0</v>
      </c>
      <c r="N308" s="358">
        <f>L308-M308</f>
        <v>0</v>
      </c>
    </row>
    <row r="309" spans="1:14" x14ac:dyDescent="0.25">
      <c r="A309" s="429"/>
      <c r="B309" s="358">
        <v>0</v>
      </c>
      <c r="C309" s="555"/>
      <c r="D309" s="358">
        <f t="shared" ref="D309:D310" si="232">SUM(B309:C309)</f>
        <v>0</v>
      </c>
      <c r="E309" s="358"/>
      <c r="F309" s="358">
        <f>B309*5%</f>
        <v>0</v>
      </c>
      <c r="G309" s="358"/>
      <c r="H309" s="358"/>
      <c r="I309" s="358">
        <f>SUM(E309:H309)</f>
        <v>0</v>
      </c>
      <c r="J309" s="358">
        <f>D309-I309</f>
        <v>0</v>
      </c>
      <c r="K309" s="359">
        <f>ROUND(J309*8%,0)</f>
        <v>0</v>
      </c>
      <c r="L309" s="358">
        <f>ROUND(J309-K309,0)</f>
        <v>0</v>
      </c>
      <c r="M309" s="358">
        <v>0</v>
      </c>
      <c r="N309" s="358">
        <f>L309-M309</f>
        <v>0</v>
      </c>
    </row>
    <row r="310" spans="1:14" x14ac:dyDescent="0.25">
      <c r="A310" s="429"/>
      <c r="B310" s="358">
        <v>0</v>
      </c>
      <c r="C310" s="555"/>
      <c r="D310" s="358">
        <f t="shared" si="232"/>
        <v>0</v>
      </c>
      <c r="E310" s="358"/>
      <c r="F310" s="358">
        <f>B310*5%</f>
        <v>0</v>
      </c>
      <c r="G310" s="358"/>
      <c r="H310" s="358"/>
      <c r="I310" s="358">
        <f>SUM(E310:H310)</f>
        <v>0</v>
      </c>
      <c r="J310" s="358">
        <f>D310-I310</f>
        <v>0</v>
      </c>
      <c r="K310" s="359">
        <f>ROUND(J310*8%,0)</f>
        <v>0</v>
      </c>
      <c r="L310" s="358">
        <f>ROUND(J310-K310,0)</f>
        <v>0</v>
      </c>
      <c r="M310" s="358">
        <v>0</v>
      </c>
      <c r="N310" s="358">
        <f>L310-M310</f>
        <v>0</v>
      </c>
    </row>
    <row r="311" spans="1:14" x14ac:dyDescent="0.25">
      <c r="A311" s="429" t="s">
        <v>699</v>
      </c>
      <c r="B311" s="360">
        <f>SUM(B307:B310)</f>
        <v>14613393</v>
      </c>
      <c r="C311" s="360">
        <f t="shared" ref="C311:N311" si="233">SUM(C307:C310)</f>
        <v>0</v>
      </c>
      <c r="D311" s="360">
        <f t="shared" si="233"/>
        <v>14613393</v>
      </c>
      <c r="E311" s="360">
        <f t="shared" si="233"/>
        <v>0</v>
      </c>
      <c r="F311" s="360">
        <f t="shared" si="233"/>
        <v>730669.65</v>
      </c>
      <c r="G311" s="360">
        <f t="shared" si="233"/>
        <v>0</v>
      </c>
      <c r="H311" s="360">
        <f t="shared" si="233"/>
        <v>0</v>
      </c>
      <c r="I311" s="360">
        <f t="shared" si="233"/>
        <v>730669.65</v>
      </c>
      <c r="J311" s="360">
        <f t="shared" si="233"/>
        <v>13882723.35</v>
      </c>
      <c r="K311" s="360">
        <f t="shared" si="233"/>
        <v>1110618</v>
      </c>
      <c r="L311" s="360">
        <f t="shared" si="233"/>
        <v>12772105</v>
      </c>
      <c r="M311" s="360">
        <f t="shared" si="233"/>
        <v>12772105</v>
      </c>
      <c r="N311" s="360">
        <f t="shared" si="233"/>
        <v>0</v>
      </c>
    </row>
    <row r="312" spans="1:14" x14ac:dyDescent="0.25">
      <c r="A312" s="429" t="s">
        <v>699</v>
      </c>
      <c r="B312" s="358">
        <v>6160162</v>
      </c>
      <c r="C312" s="555"/>
      <c r="D312" s="358">
        <f>SUM(B312:C312)</f>
        <v>6160162</v>
      </c>
      <c r="E312" s="358"/>
      <c r="F312" s="358">
        <f>B312*5%</f>
        <v>308008.10000000003</v>
      </c>
      <c r="G312" s="358"/>
      <c r="H312" s="358"/>
      <c r="I312" s="358">
        <f>SUM(E312:H312)</f>
        <v>308008.10000000003</v>
      </c>
      <c r="J312" s="358">
        <f>D312-I312</f>
        <v>5852153.9000000004</v>
      </c>
      <c r="K312" s="359">
        <f>ROUND(J312*8%,0)</f>
        <v>468172</v>
      </c>
      <c r="L312" s="358">
        <f>ROUND(J312-K312,0)</f>
        <v>5383982</v>
      </c>
      <c r="M312" s="358">
        <v>5383982</v>
      </c>
      <c r="N312" s="358">
        <f>L312-M312</f>
        <v>0</v>
      </c>
    </row>
    <row r="313" spans="1:14" x14ac:dyDescent="0.25">
      <c r="A313" s="429"/>
      <c r="B313" s="358">
        <v>8430433</v>
      </c>
      <c r="C313" s="555"/>
      <c r="D313" s="358">
        <f t="shared" ref="D313:D314" si="234">SUM(B313:C313)</f>
        <v>8430433</v>
      </c>
      <c r="E313" s="358"/>
      <c r="F313" s="358">
        <f>B313*5%</f>
        <v>421521.65</v>
      </c>
      <c r="G313" s="358"/>
      <c r="H313" s="358"/>
      <c r="I313" s="358">
        <f>SUM(E313:H313)</f>
        <v>421521.65</v>
      </c>
      <c r="J313" s="358">
        <f>D313-I313</f>
        <v>8008911.3499999996</v>
      </c>
      <c r="K313" s="359">
        <f>ROUND(J313*8%,0)</f>
        <v>640713</v>
      </c>
      <c r="L313" s="358">
        <f>ROUND(J313-K313,0)</f>
        <v>7368198</v>
      </c>
      <c r="M313" s="358">
        <v>7368198</v>
      </c>
      <c r="N313" s="358">
        <f>L313-M313</f>
        <v>0</v>
      </c>
    </row>
    <row r="314" spans="1:14" x14ac:dyDescent="0.25">
      <c r="A314" s="429"/>
      <c r="B314" s="358">
        <v>323390</v>
      </c>
      <c r="C314" s="555"/>
      <c r="D314" s="358">
        <f t="shared" si="234"/>
        <v>323390</v>
      </c>
      <c r="E314" s="358"/>
      <c r="F314" s="358">
        <f>B314*5%</f>
        <v>16169.5</v>
      </c>
      <c r="G314" s="358"/>
      <c r="H314" s="358"/>
      <c r="I314" s="358">
        <f>SUM(E314:H314)</f>
        <v>16169.5</v>
      </c>
      <c r="J314" s="358">
        <f>D314-I314</f>
        <v>307220.5</v>
      </c>
      <c r="K314" s="359">
        <f>ROUND(J314*8%,0)</f>
        <v>24578</v>
      </c>
      <c r="L314" s="358">
        <f>ROUND(J314-K314,0)</f>
        <v>282643</v>
      </c>
      <c r="M314" s="358">
        <v>282643</v>
      </c>
      <c r="N314" s="358">
        <f>L314-M314</f>
        <v>0</v>
      </c>
    </row>
    <row r="315" spans="1:14" x14ac:dyDescent="0.25">
      <c r="A315" s="429" t="s">
        <v>699</v>
      </c>
      <c r="B315" s="360">
        <f>SUM(B312:B314)</f>
        <v>14913985</v>
      </c>
      <c r="C315" s="360">
        <f t="shared" ref="C315:N315" si="235">SUM(C312:C314)</f>
        <v>0</v>
      </c>
      <c r="D315" s="360">
        <f t="shared" si="235"/>
        <v>14913985</v>
      </c>
      <c r="E315" s="360">
        <f t="shared" si="235"/>
        <v>0</v>
      </c>
      <c r="F315" s="360">
        <f t="shared" si="235"/>
        <v>745699.25</v>
      </c>
      <c r="G315" s="360">
        <f t="shared" si="235"/>
        <v>0</v>
      </c>
      <c r="H315" s="360">
        <f t="shared" si="235"/>
        <v>0</v>
      </c>
      <c r="I315" s="360">
        <f t="shared" si="235"/>
        <v>745699.25</v>
      </c>
      <c r="J315" s="360">
        <f t="shared" si="235"/>
        <v>14168285.75</v>
      </c>
      <c r="K315" s="360">
        <f t="shared" si="235"/>
        <v>1133463</v>
      </c>
      <c r="L315" s="360">
        <f t="shared" si="235"/>
        <v>13034823</v>
      </c>
      <c r="M315" s="360">
        <f t="shared" si="235"/>
        <v>13034823</v>
      </c>
      <c r="N315" s="360">
        <f t="shared" si="235"/>
        <v>0</v>
      </c>
    </row>
    <row r="316" spans="1:14" x14ac:dyDescent="0.25">
      <c r="A316" s="429" t="s">
        <v>699</v>
      </c>
      <c r="B316" s="358">
        <v>1594166</v>
      </c>
      <c r="C316" s="555"/>
      <c r="D316" s="358">
        <f>SUM(B316:C316)</f>
        <v>1594166</v>
      </c>
      <c r="E316" s="358"/>
      <c r="F316" s="358">
        <f>B316*5%</f>
        <v>79708.3</v>
      </c>
      <c r="G316" s="358"/>
      <c r="H316" s="358">
        <v>0</v>
      </c>
      <c r="I316" s="358">
        <f>SUM(E316:H316)</f>
        <v>79708.3</v>
      </c>
      <c r="J316" s="358">
        <f>D316-I316</f>
        <v>1514457.7</v>
      </c>
      <c r="K316" s="359">
        <f>ROUND(J316*8%,0)</f>
        <v>121157</v>
      </c>
      <c r="L316" s="358">
        <f>ROUND(J316-K316,0)</f>
        <v>1393301</v>
      </c>
      <c r="M316" s="358">
        <v>1393301</v>
      </c>
      <c r="N316" s="358">
        <f>L316-M316</f>
        <v>0</v>
      </c>
    </row>
    <row r="317" spans="1:14" x14ac:dyDescent="0.25">
      <c r="A317" s="429"/>
      <c r="B317" s="358">
        <v>3044726</v>
      </c>
      <c r="C317" s="555"/>
      <c r="D317" s="358">
        <f>SUM(B317:C317)</f>
        <v>3044726</v>
      </c>
      <c r="E317" s="358"/>
      <c r="F317" s="358">
        <f>B317*5%</f>
        <v>152236.30000000002</v>
      </c>
      <c r="G317" s="358"/>
      <c r="H317" s="358">
        <v>0</v>
      </c>
      <c r="I317" s="358">
        <f>SUM(E317:H317)</f>
        <v>152236.30000000002</v>
      </c>
      <c r="J317" s="358">
        <f>D317-I317</f>
        <v>2892489.7</v>
      </c>
      <c r="K317" s="359">
        <f>ROUND(J317*8%,0)</f>
        <v>231399</v>
      </c>
      <c r="L317" s="358">
        <f>ROUND(J317-K317,0)</f>
        <v>2661091</v>
      </c>
      <c r="M317" s="358">
        <v>2661091</v>
      </c>
      <c r="N317" s="358">
        <f>L317-M317</f>
        <v>0</v>
      </c>
    </row>
    <row r="318" spans="1:14" x14ac:dyDescent="0.25">
      <c r="A318" s="429"/>
      <c r="B318" s="358">
        <v>4890331</v>
      </c>
      <c r="C318" s="555"/>
      <c r="D318" s="358">
        <f>SUM(B318:C318)</f>
        <v>4890331</v>
      </c>
      <c r="E318" s="358"/>
      <c r="F318" s="358">
        <f>B318*5%</f>
        <v>244516.55000000002</v>
      </c>
      <c r="G318" s="358"/>
      <c r="H318" s="358"/>
      <c r="I318" s="358">
        <f t="shared" ref="I318" si="236">SUM(E318:H318)</f>
        <v>244516.55000000002</v>
      </c>
      <c r="J318" s="358">
        <f>D318-I318</f>
        <v>4645814.45</v>
      </c>
      <c r="K318" s="359">
        <f t="shared" ref="K318" si="237">ROUND(J318*8%,0)</f>
        <v>371665</v>
      </c>
      <c r="L318" s="358">
        <f t="shared" ref="L318" si="238">ROUND(J318-K318,0)</f>
        <v>4274149</v>
      </c>
      <c r="M318" s="358">
        <f>1000000+3274149</f>
        <v>4274149</v>
      </c>
      <c r="N318" s="358"/>
    </row>
    <row r="319" spans="1:14" x14ac:dyDescent="0.25">
      <c r="A319" s="429" t="s">
        <v>699</v>
      </c>
      <c r="B319" s="360">
        <f>SUM(B316:B318)</f>
        <v>9529223</v>
      </c>
      <c r="C319" s="360">
        <f t="shared" ref="C319:N319" si="239">SUM(C316:C318)</f>
        <v>0</v>
      </c>
      <c r="D319" s="360">
        <f t="shared" si="239"/>
        <v>9529223</v>
      </c>
      <c r="E319" s="360">
        <f t="shared" si="239"/>
        <v>0</v>
      </c>
      <c r="F319" s="360">
        <f t="shared" si="239"/>
        <v>476461.15</v>
      </c>
      <c r="G319" s="360">
        <f t="shared" si="239"/>
        <v>0</v>
      </c>
      <c r="H319" s="360">
        <f t="shared" si="239"/>
        <v>0</v>
      </c>
      <c r="I319" s="360">
        <f t="shared" si="239"/>
        <v>476461.15</v>
      </c>
      <c r="J319" s="360">
        <f t="shared" si="239"/>
        <v>9052761.8500000015</v>
      </c>
      <c r="K319" s="360">
        <f t="shared" si="239"/>
        <v>724221</v>
      </c>
      <c r="L319" s="360">
        <f t="shared" si="239"/>
        <v>8328541</v>
      </c>
      <c r="M319" s="360">
        <f t="shared" si="239"/>
        <v>8328541</v>
      </c>
      <c r="N319" s="360">
        <f t="shared" si="239"/>
        <v>0</v>
      </c>
    </row>
    <row r="320" spans="1:14" x14ac:dyDescent="0.25">
      <c r="A320" s="429" t="s">
        <v>699</v>
      </c>
      <c r="B320" s="358">
        <v>11810859</v>
      </c>
      <c r="C320" s="555"/>
      <c r="D320" s="358">
        <f>SUM(B320:C320)</f>
        <v>11810859</v>
      </c>
      <c r="E320" s="358"/>
      <c r="F320" s="358">
        <f>B320*5%</f>
        <v>590542.95000000007</v>
      </c>
      <c r="G320" s="358"/>
      <c r="H320" s="358">
        <v>427013</v>
      </c>
      <c r="I320" s="358">
        <f>SUM(E320:H320)</f>
        <v>1017555.9500000001</v>
      </c>
      <c r="J320" s="358">
        <f>D320-I320</f>
        <v>10793303.050000001</v>
      </c>
      <c r="K320" s="359">
        <f>ROUND(J320*8%,0)</f>
        <v>863464</v>
      </c>
      <c r="L320" s="358">
        <f>ROUND(J320-K320,0)</f>
        <v>9929839</v>
      </c>
      <c r="M320" s="358">
        <v>9929839</v>
      </c>
      <c r="N320" s="358">
        <f>L320-M320</f>
        <v>0</v>
      </c>
    </row>
    <row r="321" spans="1:14" x14ac:dyDescent="0.25">
      <c r="A321" s="429"/>
      <c r="B321" s="358">
        <v>1540857</v>
      </c>
      <c r="C321" s="555"/>
      <c r="D321" s="358">
        <f>SUM(B321:C321)</f>
        <v>1540857</v>
      </c>
      <c r="E321" s="358"/>
      <c r="F321" s="358">
        <f>B321*5%</f>
        <v>77042.850000000006</v>
      </c>
      <c r="G321" s="358"/>
      <c r="H321" s="358">
        <v>0</v>
      </c>
      <c r="I321" s="358">
        <f>SUM(E321:H321)</f>
        <v>77042.850000000006</v>
      </c>
      <c r="J321" s="358">
        <f>D321-I321</f>
        <v>1463814.15</v>
      </c>
      <c r="K321" s="359">
        <f>ROUND(J321*8%,0)</f>
        <v>117105</v>
      </c>
      <c r="L321" s="358">
        <f>ROUND(J321-K321,0)</f>
        <v>1346709</v>
      </c>
      <c r="M321" s="358">
        <v>1346709</v>
      </c>
      <c r="N321" s="358">
        <f>L321-M321</f>
        <v>0</v>
      </c>
    </row>
    <row r="322" spans="1:14" x14ac:dyDescent="0.25">
      <c r="A322" s="429"/>
      <c r="B322" s="358">
        <v>686019</v>
      </c>
      <c r="C322" s="555"/>
      <c r="D322" s="358">
        <f>SUM(B322:C322)</f>
        <v>686019</v>
      </c>
      <c r="E322" s="358"/>
      <c r="F322" s="358">
        <f>B322*5%</f>
        <v>34300.950000000004</v>
      </c>
      <c r="G322" s="358"/>
      <c r="H322" s="358">
        <v>0</v>
      </c>
      <c r="I322" s="358">
        <f>SUM(E322:H322)</f>
        <v>34300.950000000004</v>
      </c>
      <c r="J322" s="358">
        <f>D322-I322</f>
        <v>651718.05000000005</v>
      </c>
      <c r="K322" s="359">
        <f>ROUND(J322*8%,0)</f>
        <v>52137</v>
      </c>
      <c r="L322" s="358">
        <f>ROUND(J322-K322,0)</f>
        <v>599581</v>
      </c>
      <c r="M322" s="358">
        <v>599581</v>
      </c>
      <c r="N322" s="358">
        <f>L322-M322</f>
        <v>0</v>
      </c>
    </row>
    <row r="323" spans="1:14" x14ac:dyDescent="0.25">
      <c r="A323" s="429" t="s">
        <v>699</v>
      </c>
      <c r="B323" s="360">
        <f>SUM(B320:B322)</f>
        <v>14037735</v>
      </c>
      <c r="C323" s="360">
        <f t="shared" ref="C323:N323" si="240">SUM(C320:C322)</f>
        <v>0</v>
      </c>
      <c r="D323" s="360">
        <f t="shared" si="240"/>
        <v>14037735</v>
      </c>
      <c r="E323" s="360">
        <f t="shared" si="240"/>
        <v>0</v>
      </c>
      <c r="F323" s="360">
        <f t="shared" si="240"/>
        <v>701886.75</v>
      </c>
      <c r="G323" s="360">
        <f t="shared" si="240"/>
        <v>0</v>
      </c>
      <c r="H323" s="360">
        <f t="shared" si="240"/>
        <v>427013</v>
      </c>
      <c r="I323" s="360">
        <f t="shared" si="240"/>
        <v>1128899.75</v>
      </c>
      <c r="J323" s="360">
        <f t="shared" si="240"/>
        <v>12908835.250000002</v>
      </c>
      <c r="K323" s="360">
        <f t="shared" si="240"/>
        <v>1032706</v>
      </c>
      <c r="L323" s="360">
        <f t="shared" si="240"/>
        <v>11876129</v>
      </c>
      <c r="M323" s="360">
        <f t="shared" si="240"/>
        <v>11876129</v>
      </c>
      <c r="N323" s="360">
        <f t="shared" si="240"/>
        <v>0</v>
      </c>
    </row>
    <row r="324" spans="1:14" x14ac:dyDescent="0.25">
      <c r="A324" s="429" t="s">
        <v>699</v>
      </c>
      <c r="B324" s="562">
        <v>10968687</v>
      </c>
      <c r="C324" s="358"/>
      <c r="D324" s="358">
        <f>SUM(B324:C324)</f>
        <v>10968687</v>
      </c>
      <c r="E324" s="358">
        <v>3980371</v>
      </c>
      <c r="F324" s="358">
        <f>B324*5%</f>
        <v>548434.35</v>
      </c>
      <c r="G324" s="358"/>
      <c r="H324" s="358">
        <v>0</v>
      </c>
      <c r="I324" s="358">
        <f>SUM(E324:H324)</f>
        <v>4528805.3499999996</v>
      </c>
      <c r="J324" s="358">
        <f>D324-I324</f>
        <v>6439881.6500000004</v>
      </c>
      <c r="K324" s="359">
        <f>ROUND(J324*8%,0)</f>
        <v>515191</v>
      </c>
      <c r="L324" s="358">
        <f>ROUND(J324-K324,0)</f>
        <v>5924691</v>
      </c>
      <c r="M324" s="358">
        <v>5924691</v>
      </c>
      <c r="N324" s="358">
        <f>L324-M324</f>
        <v>0</v>
      </c>
    </row>
    <row r="325" spans="1:14" x14ac:dyDescent="0.25">
      <c r="A325" s="429"/>
      <c r="B325" s="358">
        <v>741488</v>
      </c>
      <c r="C325" s="358"/>
      <c r="D325" s="358">
        <f>SUM(B325:C325)</f>
        <v>741488</v>
      </c>
      <c r="E325" s="358"/>
      <c r="F325" s="358">
        <f>B325*5%</f>
        <v>37074.400000000001</v>
      </c>
      <c r="G325" s="358"/>
      <c r="H325" s="358">
        <v>0</v>
      </c>
      <c r="I325" s="358">
        <f>SUM(E325:H325)</f>
        <v>37074.400000000001</v>
      </c>
      <c r="J325" s="358">
        <f>D325-I325</f>
        <v>704413.6</v>
      </c>
      <c r="K325" s="359">
        <f>ROUND(J325*8%,0)</f>
        <v>56353</v>
      </c>
      <c r="L325" s="358">
        <f>ROUND(J325-K325,0)</f>
        <v>648061</v>
      </c>
      <c r="M325" s="358">
        <v>648061</v>
      </c>
      <c r="N325" s="358">
        <f>L325-M325</f>
        <v>0</v>
      </c>
    </row>
    <row r="326" spans="1:14" x14ac:dyDescent="0.25">
      <c r="A326" s="429" t="s">
        <v>699</v>
      </c>
      <c r="B326" s="360">
        <f>SUM(B324:B325)</f>
        <v>11710175</v>
      </c>
      <c r="C326" s="360">
        <f t="shared" ref="C326:N326" si="241">SUM(C324:C325)</f>
        <v>0</v>
      </c>
      <c r="D326" s="360">
        <f t="shared" si="241"/>
        <v>11710175</v>
      </c>
      <c r="E326" s="360">
        <f t="shared" si="241"/>
        <v>3980371</v>
      </c>
      <c r="F326" s="360">
        <f t="shared" si="241"/>
        <v>585508.75</v>
      </c>
      <c r="G326" s="360">
        <f t="shared" si="241"/>
        <v>0</v>
      </c>
      <c r="H326" s="360">
        <f t="shared" si="241"/>
        <v>0</v>
      </c>
      <c r="I326" s="360">
        <f t="shared" si="241"/>
        <v>4565879.75</v>
      </c>
      <c r="J326" s="360">
        <f t="shared" si="241"/>
        <v>7144295.25</v>
      </c>
      <c r="K326" s="360">
        <f t="shared" si="241"/>
        <v>571544</v>
      </c>
      <c r="L326" s="360">
        <f t="shared" si="241"/>
        <v>6572752</v>
      </c>
      <c r="M326" s="360">
        <f t="shared" si="241"/>
        <v>6572752</v>
      </c>
      <c r="N326" s="360">
        <f t="shared" si="241"/>
        <v>0</v>
      </c>
    </row>
    <row r="327" spans="1:14" x14ac:dyDescent="0.25">
      <c r="A327" s="429" t="s">
        <v>699</v>
      </c>
      <c r="B327" s="562">
        <v>7389154</v>
      </c>
      <c r="C327" s="358"/>
      <c r="D327" s="358">
        <f>SUM(B327:C327)</f>
        <v>7389154</v>
      </c>
      <c r="E327" s="358">
        <v>4318712</v>
      </c>
      <c r="F327" s="358">
        <f>B327*5%</f>
        <v>369457.7</v>
      </c>
      <c r="G327" s="358"/>
      <c r="H327" s="358">
        <v>0</v>
      </c>
      <c r="I327" s="358">
        <f>SUM(E327:H327)</f>
        <v>4688169.7</v>
      </c>
      <c r="J327" s="358">
        <f>D327-I327</f>
        <v>2700984.3</v>
      </c>
      <c r="K327" s="359">
        <f>ROUND(J327*8%,0)</f>
        <v>216079</v>
      </c>
      <c r="L327" s="358">
        <f>ROUND(J327-K327,0)</f>
        <v>2484905</v>
      </c>
      <c r="M327" s="358">
        <v>2484905</v>
      </c>
      <c r="N327" s="358">
        <f>L327-M327</f>
        <v>0</v>
      </c>
    </row>
    <row r="328" spans="1:14" x14ac:dyDescent="0.25">
      <c r="A328" s="429"/>
      <c r="B328" s="358">
        <v>7599509</v>
      </c>
      <c r="C328" s="360"/>
      <c r="D328" s="645">
        <f t="shared" ref="D328" si="242">SUM(B328:C328)</f>
        <v>7599509</v>
      </c>
      <c r="E328" s="358">
        <v>0</v>
      </c>
      <c r="F328" s="358">
        <f>B328*5%</f>
        <v>379975.45</v>
      </c>
      <c r="G328" s="358"/>
      <c r="H328" s="358">
        <v>0</v>
      </c>
      <c r="I328" s="358">
        <f t="shared" ref="I328" si="243">SUM(E328:H328)</f>
        <v>379975.45</v>
      </c>
      <c r="J328" s="358">
        <f>D328-I328</f>
        <v>7219533.5499999998</v>
      </c>
      <c r="K328" s="359">
        <f t="shared" ref="K328" si="244">ROUND(J328*8%,0)</f>
        <v>577563</v>
      </c>
      <c r="L328" s="358">
        <f t="shared" ref="L328" si="245">ROUND(J328-K328,0)</f>
        <v>6641971</v>
      </c>
      <c r="M328" s="358">
        <f>3000000+3500000+141971</f>
        <v>6641971</v>
      </c>
      <c r="N328" s="358"/>
    </row>
    <row r="329" spans="1:14" x14ac:dyDescent="0.25">
      <c r="A329" s="429" t="s">
        <v>699</v>
      </c>
      <c r="B329" s="360">
        <f>SUM(B327:B328)</f>
        <v>14988663</v>
      </c>
      <c r="C329" s="360">
        <f t="shared" ref="C329:N329" si="246">SUM(C327:C328)</f>
        <v>0</v>
      </c>
      <c r="D329" s="360">
        <f t="shared" si="246"/>
        <v>14988663</v>
      </c>
      <c r="E329" s="360">
        <f t="shared" si="246"/>
        <v>4318712</v>
      </c>
      <c r="F329" s="360">
        <f t="shared" si="246"/>
        <v>749433.15</v>
      </c>
      <c r="G329" s="360">
        <f t="shared" si="246"/>
        <v>0</v>
      </c>
      <c r="H329" s="360">
        <f t="shared" si="246"/>
        <v>0</v>
      </c>
      <c r="I329" s="360">
        <f t="shared" si="246"/>
        <v>5068145.1500000004</v>
      </c>
      <c r="J329" s="360">
        <f t="shared" si="246"/>
        <v>9920517.8499999996</v>
      </c>
      <c r="K329" s="360">
        <f t="shared" si="246"/>
        <v>793642</v>
      </c>
      <c r="L329" s="360">
        <f t="shared" si="246"/>
        <v>9126876</v>
      </c>
      <c r="M329" s="360">
        <f t="shared" si="246"/>
        <v>9126876</v>
      </c>
      <c r="N329" s="360">
        <f t="shared" si="246"/>
        <v>0</v>
      </c>
    </row>
    <row r="330" spans="1:14" x14ac:dyDescent="0.25">
      <c r="A330" s="429" t="s">
        <v>699</v>
      </c>
      <c r="B330" s="562">
        <v>6345858</v>
      </c>
      <c r="C330" s="358"/>
      <c r="D330" s="358">
        <f>SUM(B330:C330)</f>
        <v>6345858</v>
      </c>
      <c r="E330" s="358">
        <v>4457690</v>
      </c>
      <c r="F330" s="358">
        <f>B330*5%</f>
        <v>317292.90000000002</v>
      </c>
      <c r="G330" s="358"/>
      <c r="H330" s="358">
        <v>0</v>
      </c>
      <c r="I330" s="358">
        <f>SUM(E330:H330)</f>
        <v>4774982.9000000004</v>
      </c>
      <c r="J330" s="358">
        <f>D330-I330</f>
        <v>1570875.0999999996</v>
      </c>
      <c r="K330" s="359">
        <f>ROUND(J330*8%,0)</f>
        <v>125670</v>
      </c>
      <c r="L330" s="358">
        <f>ROUND(J330-K330,0)</f>
        <v>1445205</v>
      </c>
      <c r="M330" s="358">
        <v>1445205</v>
      </c>
      <c r="N330" s="358">
        <f>L330-M330</f>
        <v>0</v>
      </c>
    </row>
    <row r="331" spans="1:14" x14ac:dyDescent="0.25">
      <c r="A331" s="429"/>
      <c r="B331" s="358">
        <v>3216561</v>
      </c>
      <c r="C331" s="358"/>
      <c r="D331" s="645">
        <f t="shared" ref="D331" si="247">SUM(B331:C331)</f>
        <v>3216561</v>
      </c>
      <c r="E331" s="358">
        <v>0</v>
      </c>
      <c r="F331" s="358">
        <f>B331*5%</f>
        <v>160828.05000000002</v>
      </c>
      <c r="G331" s="358"/>
      <c r="H331" s="358">
        <v>1937800</v>
      </c>
      <c r="I331" s="358">
        <f t="shared" ref="I331" si="248">SUM(E331:H331)</f>
        <v>2098628.0499999998</v>
      </c>
      <c r="J331" s="358">
        <f>D331-I331</f>
        <v>1117932.9500000002</v>
      </c>
      <c r="K331" s="359">
        <f t="shared" ref="K331" si="249">ROUND(J331*8%,0)</f>
        <v>89435</v>
      </c>
      <c r="L331" s="358">
        <f t="shared" ref="L331" si="250">ROUND(J331-K331,0)</f>
        <v>1028498</v>
      </c>
      <c r="M331" s="358">
        <v>1028498</v>
      </c>
      <c r="N331" s="358">
        <f>L331-M331</f>
        <v>0</v>
      </c>
    </row>
    <row r="332" spans="1:14" x14ac:dyDescent="0.25">
      <c r="A332" s="429" t="s">
        <v>699</v>
      </c>
      <c r="B332" s="360">
        <f>SUM(B330:B331)</f>
        <v>9562419</v>
      </c>
      <c r="C332" s="360">
        <f t="shared" ref="C332:N332" si="251">SUM(C330:C331)</f>
        <v>0</v>
      </c>
      <c r="D332" s="360">
        <f t="shared" si="251"/>
        <v>9562419</v>
      </c>
      <c r="E332" s="360">
        <f t="shared" si="251"/>
        <v>4457690</v>
      </c>
      <c r="F332" s="360">
        <f t="shared" si="251"/>
        <v>478120.95000000007</v>
      </c>
      <c r="G332" s="360">
        <f t="shared" si="251"/>
        <v>0</v>
      </c>
      <c r="H332" s="360">
        <f t="shared" si="251"/>
        <v>1937800</v>
      </c>
      <c r="I332" s="360">
        <f t="shared" si="251"/>
        <v>6873610.9500000002</v>
      </c>
      <c r="J332" s="360">
        <f t="shared" si="251"/>
        <v>2688808.05</v>
      </c>
      <c r="K332" s="360">
        <f t="shared" si="251"/>
        <v>215105</v>
      </c>
      <c r="L332" s="360">
        <f t="shared" si="251"/>
        <v>2473703</v>
      </c>
      <c r="M332" s="360">
        <f t="shared" si="251"/>
        <v>2473703</v>
      </c>
      <c r="N332" s="360">
        <f t="shared" si="251"/>
        <v>0</v>
      </c>
    </row>
    <row r="333" spans="1:14" x14ac:dyDescent="0.25">
      <c r="A333" s="429"/>
      <c r="B333" s="358">
        <v>11428773</v>
      </c>
      <c r="C333" s="360"/>
      <c r="D333" s="645">
        <f t="shared" ref="D333" si="252">SUM(B333:C333)</f>
        <v>11428773</v>
      </c>
      <c r="E333" s="358">
        <v>0</v>
      </c>
      <c r="F333" s="358">
        <f>B333*5%</f>
        <v>571438.65</v>
      </c>
      <c r="G333" s="358"/>
      <c r="H333" s="358">
        <v>0</v>
      </c>
      <c r="I333" s="358">
        <f t="shared" ref="I333" si="253">SUM(E333:H333)</f>
        <v>571438.65</v>
      </c>
      <c r="J333" s="358">
        <f>D333-I333</f>
        <v>10857334.35</v>
      </c>
      <c r="K333" s="359">
        <f t="shared" ref="K333:K339" si="254">ROUND(J333*8%,0)</f>
        <v>868587</v>
      </c>
      <c r="L333" s="358">
        <f t="shared" ref="L333:L334" si="255">ROUND(J333-K333,0)</f>
        <v>9988747</v>
      </c>
      <c r="M333" s="358">
        <f>2950711+3000000+2321122+1716914</f>
        <v>9988747</v>
      </c>
      <c r="N333" s="358">
        <f>L333-M333</f>
        <v>0</v>
      </c>
    </row>
    <row r="334" spans="1:14" x14ac:dyDescent="0.25">
      <c r="A334" s="429"/>
      <c r="B334" s="358">
        <v>3569228</v>
      </c>
      <c r="C334" s="360"/>
      <c r="D334" s="645">
        <f t="shared" ref="D334" si="256">SUM(B334:C334)</f>
        <v>3569228</v>
      </c>
      <c r="E334" s="358">
        <v>0</v>
      </c>
      <c r="F334" s="358">
        <f>B334*5%</f>
        <v>178461.40000000002</v>
      </c>
      <c r="G334" s="358"/>
      <c r="H334" s="358">
        <v>0</v>
      </c>
      <c r="I334" s="358">
        <f t="shared" ref="I334" si="257">SUM(E334:H334)</f>
        <v>178461.40000000002</v>
      </c>
      <c r="J334" s="358">
        <f>D334-I334</f>
        <v>3390766.6</v>
      </c>
      <c r="K334" s="359">
        <f t="shared" si="254"/>
        <v>271261</v>
      </c>
      <c r="L334" s="358">
        <f t="shared" si="255"/>
        <v>3119506</v>
      </c>
      <c r="M334" s="358">
        <v>3119506</v>
      </c>
      <c r="N334" s="358">
        <f>L334-M334</f>
        <v>0</v>
      </c>
    </row>
    <row r="335" spans="1:14" x14ac:dyDescent="0.25">
      <c r="A335" s="429"/>
      <c r="B335" s="360">
        <f>SUM(B333:B334)</f>
        <v>14998001</v>
      </c>
      <c r="C335" s="360"/>
      <c r="D335" s="658">
        <f t="shared" ref="D335:M335" si="258">SUM(D333:D334)</f>
        <v>14998001</v>
      </c>
      <c r="E335" s="360">
        <f t="shared" si="258"/>
        <v>0</v>
      </c>
      <c r="F335" s="360">
        <f t="shared" si="258"/>
        <v>749900.05</v>
      </c>
      <c r="G335" s="360">
        <f t="shared" si="258"/>
        <v>0</v>
      </c>
      <c r="H335" s="360">
        <f t="shared" si="258"/>
        <v>0</v>
      </c>
      <c r="I335" s="360">
        <f t="shared" si="258"/>
        <v>749900.05</v>
      </c>
      <c r="J335" s="360">
        <f t="shared" si="258"/>
        <v>14248100.949999999</v>
      </c>
      <c r="K335" s="360">
        <f t="shared" si="258"/>
        <v>1139848</v>
      </c>
      <c r="L335" s="360">
        <f t="shared" si="258"/>
        <v>13108253</v>
      </c>
      <c r="M335" s="360">
        <f t="shared" si="258"/>
        <v>13108253</v>
      </c>
      <c r="N335" s="360">
        <f t="shared" ref="N335" si="259">SUM(N333)</f>
        <v>0</v>
      </c>
    </row>
    <row r="336" spans="1:14" x14ac:dyDescent="0.25">
      <c r="A336" s="429"/>
      <c r="B336" s="358">
        <v>24124658</v>
      </c>
      <c r="C336" s="360"/>
      <c r="D336" s="645">
        <f t="shared" ref="D336:D337" si="260">SUM(B336:C336)</f>
        <v>24124658</v>
      </c>
      <c r="E336" s="358">
        <v>0</v>
      </c>
      <c r="F336" s="358">
        <f>B336*5%</f>
        <v>1206232.9000000001</v>
      </c>
      <c r="G336" s="358"/>
      <c r="H336" s="358">
        <v>0</v>
      </c>
      <c r="I336" s="358">
        <f t="shared" ref="I336" si="261">SUM(E336:H336)</f>
        <v>1206232.9000000001</v>
      </c>
      <c r="J336" s="358">
        <f>D336-I336</f>
        <v>22918425.100000001</v>
      </c>
      <c r="K336" s="359">
        <f t="shared" si="254"/>
        <v>1833474</v>
      </c>
      <c r="L336" s="358">
        <f t="shared" ref="L336:L337" si="262">ROUND(J336-K336,0)</f>
        <v>21084951</v>
      </c>
      <c r="M336" s="358">
        <f>15000000-3681056+427143</f>
        <v>11746087</v>
      </c>
      <c r="N336" s="659">
        <f>L336-M336</f>
        <v>9338864</v>
      </c>
    </row>
    <row r="337" spans="1:14" x14ac:dyDescent="0.25">
      <c r="A337" s="429"/>
      <c r="B337" s="358">
        <v>14299807</v>
      </c>
      <c r="C337" s="360"/>
      <c r="D337" s="645">
        <f t="shared" si="260"/>
        <v>14299807</v>
      </c>
      <c r="E337" s="358"/>
      <c r="F337" s="358">
        <f>B337*5%</f>
        <v>714990.35000000009</v>
      </c>
      <c r="G337" s="358"/>
      <c r="H337" s="358"/>
      <c r="I337" s="358">
        <f t="shared" ref="I337" si="263">SUM(E337:H337)</f>
        <v>714990.35000000009</v>
      </c>
      <c r="J337" s="358">
        <f>D337-I337</f>
        <v>13584816.65</v>
      </c>
      <c r="K337" s="359">
        <f t="shared" si="254"/>
        <v>1086785</v>
      </c>
      <c r="L337" s="358">
        <f t="shared" si="262"/>
        <v>12498032</v>
      </c>
      <c r="M337" s="358"/>
      <c r="N337" s="659">
        <f>L337-M337</f>
        <v>12498032</v>
      </c>
    </row>
    <row r="338" spans="1:14" x14ac:dyDescent="0.25">
      <c r="A338" s="429"/>
      <c r="B338" s="360">
        <f>SUM(B336:B337)</f>
        <v>38424465</v>
      </c>
      <c r="C338" s="360">
        <f t="shared" ref="C338:N338" si="264">SUM(C336:C337)</f>
        <v>0</v>
      </c>
      <c r="D338" s="658">
        <f t="shared" si="264"/>
        <v>38424465</v>
      </c>
      <c r="E338" s="360">
        <f t="shared" si="264"/>
        <v>0</v>
      </c>
      <c r="F338" s="360">
        <f t="shared" si="264"/>
        <v>1921223.2500000002</v>
      </c>
      <c r="G338" s="360">
        <f t="shared" si="264"/>
        <v>0</v>
      </c>
      <c r="H338" s="360">
        <f t="shared" si="264"/>
        <v>0</v>
      </c>
      <c r="I338" s="360">
        <f t="shared" si="264"/>
        <v>1921223.2500000002</v>
      </c>
      <c r="J338" s="360">
        <f t="shared" si="264"/>
        <v>36503241.75</v>
      </c>
      <c r="K338" s="360">
        <f t="shared" si="264"/>
        <v>2920259</v>
      </c>
      <c r="L338" s="360">
        <f t="shared" si="264"/>
        <v>33582983</v>
      </c>
      <c r="M338" s="360">
        <f t="shared" si="264"/>
        <v>11746087</v>
      </c>
      <c r="N338" s="360">
        <f t="shared" si="264"/>
        <v>21836896</v>
      </c>
    </row>
    <row r="339" spans="1:14" x14ac:dyDescent="0.25">
      <c r="A339" s="429"/>
      <c r="B339" s="358">
        <v>11035066</v>
      </c>
      <c r="C339" s="360"/>
      <c r="D339" s="645">
        <f t="shared" ref="D339" si="265">SUM(B339:C339)</f>
        <v>11035066</v>
      </c>
      <c r="E339" s="358">
        <v>0</v>
      </c>
      <c r="F339" s="358">
        <f>B339*5%</f>
        <v>551753.30000000005</v>
      </c>
      <c r="G339" s="358"/>
      <c r="H339" s="358">
        <v>0</v>
      </c>
      <c r="I339" s="358">
        <f t="shared" ref="I339" si="266">SUM(E339:H339)</f>
        <v>551753.30000000005</v>
      </c>
      <c r="J339" s="358">
        <f>D339-I339</f>
        <v>10483312.699999999</v>
      </c>
      <c r="K339" s="359">
        <f t="shared" si="254"/>
        <v>838665</v>
      </c>
      <c r="L339" s="358">
        <f t="shared" ref="L339" si="267">ROUND(J339-K339,0)</f>
        <v>9644648</v>
      </c>
      <c r="M339" s="358">
        <v>9644647</v>
      </c>
      <c r="N339" s="659">
        <f>L339-M339</f>
        <v>1</v>
      </c>
    </row>
    <row r="340" spans="1:14" x14ac:dyDescent="0.25">
      <c r="A340" s="429"/>
      <c r="B340" s="360">
        <f>SUM(B339)</f>
        <v>11035066</v>
      </c>
      <c r="C340" s="360">
        <f>SUM(C333,C330,C327,C324,C321,C316,C314,C339)</f>
        <v>0</v>
      </c>
      <c r="D340" s="658">
        <f t="shared" ref="D340:F340" si="268">SUM(D339)</f>
        <v>11035066</v>
      </c>
      <c r="E340" s="360">
        <f t="shared" si="268"/>
        <v>0</v>
      </c>
      <c r="F340" s="360">
        <f t="shared" si="268"/>
        <v>551753.30000000005</v>
      </c>
      <c r="G340" s="360"/>
      <c r="H340" s="360">
        <f t="shared" ref="H340:N340" si="269">SUM(H339)</f>
        <v>0</v>
      </c>
      <c r="I340" s="360">
        <f t="shared" si="269"/>
        <v>551753.30000000005</v>
      </c>
      <c r="J340" s="360">
        <f t="shared" si="269"/>
        <v>10483312.699999999</v>
      </c>
      <c r="K340" s="360">
        <f t="shared" si="269"/>
        <v>838665</v>
      </c>
      <c r="L340" s="360">
        <f t="shared" si="269"/>
        <v>9644648</v>
      </c>
      <c r="M340" s="360">
        <f t="shared" si="269"/>
        <v>9644647</v>
      </c>
      <c r="N340" s="360">
        <f t="shared" si="269"/>
        <v>1</v>
      </c>
    </row>
    <row r="341" spans="1:14" x14ac:dyDescent="0.25">
      <c r="A341" s="429" t="s">
        <v>700</v>
      </c>
      <c r="B341" s="358">
        <v>5709767</v>
      </c>
      <c r="C341" s="555"/>
      <c r="D341" s="358">
        <f>SUM(B341:C341)</f>
        <v>5709767</v>
      </c>
      <c r="E341" s="358"/>
      <c r="F341" s="358">
        <f>B341*5%</f>
        <v>285488.35000000003</v>
      </c>
      <c r="G341" s="358"/>
      <c r="H341" s="358">
        <v>0</v>
      </c>
      <c r="I341" s="358">
        <f>SUM(E341:H341)</f>
        <v>285488.35000000003</v>
      </c>
      <c r="J341" s="358">
        <f>D341-I341</f>
        <v>5424278.6500000004</v>
      </c>
      <c r="K341" s="359">
        <f>ROUND(J341*8%,0)</f>
        <v>433942</v>
      </c>
      <c r="L341" s="358">
        <f>ROUND(J341-K341,0)</f>
        <v>4990337</v>
      </c>
      <c r="M341" s="358">
        <v>4990337</v>
      </c>
      <c r="N341" s="358">
        <f>L341-M341</f>
        <v>0</v>
      </c>
    </row>
    <row r="342" spans="1:14" x14ac:dyDescent="0.25">
      <c r="A342" s="429" t="s">
        <v>700</v>
      </c>
      <c r="B342" s="358">
        <v>8967987</v>
      </c>
      <c r="C342" s="358"/>
      <c r="D342" s="358">
        <f>SUM(B342:C342)</f>
        <v>8967987</v>
      </c>
      <c r="E342" s="358">
        <v>5345700</v>
      </c>
      <c r="F342" s="358">
        <f>B342*5%</f>
        <v>448399.35000000003</v>
      </c>
      <c r="G342" s="358"/>
      <c r="H342" s="358">
        <v>3080500</v>
      </c>
      <c r="I342" s="358">
        <f>SUM(E342:H342)</f>
        <v>8874599.3499999996</v>
      </c>
      <c r="J342" s="358">
        <f>D342-I342</f>
        <v>93387.650000000373</v>
      </c>
      <c r="K342" s="359">
        <f>ROUND(J342*8%,0)</f>
        <v>7471</v>
      </c>
      <c r="L342" s="358">
        <f>ROUND(J342-K342,0)</f>
        <v>85917</v>
      </c>
      <c r="M342" s="358">
        <v>0</v>
      </c>
      <c r="N342" s="358">
        <f>L342-M342</f>
        <v>85917</v>
      </c>
    </row>
    <row r="343" spans="1:14" x14ac:dyDescent="0.25">
      <c r="A343" s="429" t="s">
        <v>700</v>
      </c>
      <c r="B343" s="360">
        <f>SUM(B341:B342)</f>
        <v>14677754</v>
      </c>
      <c r="C343" s="556">
        <f t="shared" ref="C343:N343" si="270">SUM(C341:C342)</f>
        <v>0</v>
      </c>
      <c r="D343" s="360">
        <f t="shared" si="270"/>
        <v>14677754</v>
      </c>
      <c r="E343" s="360">
        <f t="shared" si="270"/>
        <v>5345700</v>
      </c>
      <c r="F343" s="360">
        <f t="shared" si="270"/>
        <v>733887.70000000007</v>
      </c>
      <c r="G343" s="360"/>
      <c r="H343" s="360">
        <f t="shared" si="270"/>
        <v>3080500</v>
      </c>
      <c r="I343" s="360">
        <f t="shared" si="270"/>
        <v>9160087.6999999993</v>
      </c>
      <c r="J343" s="360">
        <f t="shared" si="270"/>
        <v>5517666.3000000007</v>
      </c>
      <c r="K343" s="360">
        <f t="shared" si="270"/>
        <v>441413</v>
      </c>
      <c r="L343" s="360">
        <f t="shared" si="270"/>
        <v>5076254</v>
      </c>
      <c r="M343" s="360">
        <f t="shared" si="270"/>
        <v>4990337</v>
      </c>
      <c r="N343" s="360">
        <f t="shared" si="270"/>
        <v>85917</v>
      </c>
    </row>
    <row r="344" spans="1:14" x14ac:dyDescent="0.25">
      <c r="A344" s="429" t="s">
        <v>700</v>
      </c>
      <c r="B344" s="358">
        <v>18210470</v>
      </c>
      <c r="C344" s="358" t="s">
        <v>808</v>
      </c>
      <c r="D344" s="358">
        <f t="shared" ref="D344:D345" si="271">SUM(B344:C344)</f>
        <v>18210470</v>
      </c>
      <c r="E344" s="358"/>
      <c r="F344" s="358">
        <f>B344*5%</f>
        <v>910523.5</v>
      </c>
      <c r="G344" s="358"/>
      <c r="H344" s="358">
        <v>0</v>
      </c>
      <c r="I344" s="358">
        <f t="shared" ref="I344" si="272">SUM(E344:H344)</f>
        <v>910523.5</v>
      </c>
      <c r="J344" s="358">
        <f>D344-I344</f>
        <v>17299946.5</v>
      </c>
      <c r="K344" s="359">
        <f>ROUND(J344*8%,0)</f>
        <v>1383996</v>
      </c>
      <c r="L344" s="358">
        <f t="shared" ref="L344:L347" si="273">ROUND(J344-K344,0)</f>
        <v>15915951</v>
      </c>
      <c r="M344" s="358">
        <f>2500000+5000000+3425614+2000000+2990310</f>
        <v>15915924</v>
      </c>
      <c r="N344" s="358">
        <f>L344-M344</f>
        <v>27</v>
      </c>
    </row>
    <row r="345" spans="1:14" x14ac:dyDescent="0.25">
      <c r="A345" s="429"/>
      <c r="B345" s="358">
        <v>17909076</v>
      </c>
      <c r="C345" s="358" t="s">
        <v>808</v>
      </c>
      <c r="D345" s="358">
        <f t="shared" si="271"/>
        <v>17909076</v>
      </c>
      <c r="E345" s="358"/>
      <c r="F345" s="358">
        <f>B345*5%</f>
        <v>895453.8</v>
      </c>
      <c r="G345" s="358"/>
      <c r="H345" s="358">
        <v>0</v>
      </c>
      <c r="I345" s="358">
        <f t="shared" ref="I345" si="274">SUM(E345:H345)</f>
        <v>895453.8</v>
      </c>
      <c r="J345" s="358">
        <f>D345-I345</f>
        <v>17013622.199999999</v>
      </c>
      <c r="K345" s="359">
        <f>ROUND(J345*8%,0)</f>
        <v>1361090</v>
      </c>
      <c r="L345" s="358">
        <f t="shared" si="273"/>
        <v>15652532</v>
      </c>
      <c r="M345" s="358">
        <f>12000000+1000000+2652532</f>
        <v>15652532</v>
      </c>
      <c r="N345" s="358">
        <f>L345-M345</f>
        <v>0</v>
      </c>
    </row>
    <row r="346" spans="1:14" x14ac:dyDescent="0.25">
      <c r="A346" s="429"/>
      <c r="B346" s="358">
        <v>13495940</v>
      </c>
      <c r="C346" s="358" t="s">
        <v>808</v>
      </c>
      <c r="D346" s="358">
        <f t="shared" ref="D346:D347" si="275">SUM(B346:C346)</f>
        <v>13495940</v>
      </c>
      <c r="E346" s="358">
        <v>5345700</v>
      </c>
      <c r="F346" s="358">
        <f>B346*5%</f>
        <v>674797</v>
      </c>
      <c r="G346" s="358"/>
      <c r="H346" s="358">
        <v>6712825</v>
      </c>
      <c r="I346" s="358">
        <f t="shared" ref="I346" si="276">SUM(E346:H346)</f>
        <v>12733322</v>
      </c>
      <c r="J346" s="358">
        <f>D346-I346</f>
        <v>762618</v>
      </c>
      <c r="K346" s="359">
        <f>ROUND(J346*8%,0)</f>
        <v>61009</v>
      </c>
      <c r="L346" s="358">
        <f t="shared" si="273"/>
        <v>701609</v>
      </c>
      <c r="M346" s="358">
        <v>701609</v>
      </c>
      <c r="N346" s="358">
        <f>L346-M346</f>
        <v>0</v>
      </c>
    </row>
    <row r="347" spans="1:14" x14ac:dyDescent="0.25">
      <c r="A347" s="429"/>
      <c r="B347" s="358">
        <v>21263766</v>
      </c>
      <c r="C347" s="358" t="s">
        <v>808</v>
      </c>
      <c r="D347" s="358">
        <f t="shared" si="275"/>
        <v>21263766</v>
      </c>
      <c r="E347" s="358">
        <v>11004123</v>
      </c>
      <c r="F347" s="358">
        <f>B347*5%</f>
        <v>1063188.3</v>
      </c>
      <c r="G347" s="358"/>
      <c r="H347" s="358">
        <v>1193100</v>
      </c>
      <c r="I347" s="358">
        <f t="shared" ref="I347" si="277">SUM(E347:H347)</f>
        <v>13260411.300000001</v>
      </c>
      <c r="J347" s="358">
        <f>D347-I347</f>
        <v>8003354.6999999993</v>
      </c>
      <c r="K347" s="359">
        <f>ROUND(J347*8%,0)</f>
        <v>640268</v>
      </c>
      <c r="L347" s="358">
        <f t="shared" si="273"/>
        <v>7363087</v>
      </c>
      <c r="M347" s="358">
        <v>7363104</v>
      </c>
      <c r="N347" s="358">
        <f>L347-M347</f>
        <v>-17</v>
      </c>
    </row>
    <row r="348" spans="1:14" x14ac:dyDescent="0.25">
      <c r="A348" s="429"/>
      <c r="B348" s="358"/>
      <c r="C348" s="555"/>
      <c r="D348" s="358"/>
      <c r="E348" s="358"/>
      <c r="F348" s="358"/>
      <c r="G348" s="358"/>
      <c r="H348" s="358"/>
      <c r="I348" s="358"/>
      <c r="J348" s="358"/>
      <c r="K348" s="359"/>
      <c r="L348" s="358"/>
      <c r="M348" s="358"/>
      <c r="N348" s="358">
        <f t="shared" ref="N348" si="278">L348-M348</f>
        <v>0</v>
      </c>
    </row>
    <row r="349" spans="1:14" x14ac:dyDescent="0.25">
      <c r="A349" s="429"/>
      <c r="B349" s="358"/>
      <c r="C349" s="555"/>
      <c r="D349" s="358"/>
      <c r="E349" s="358"/>
      <c r="F349" s="358"/>
      <c r="G349" s="358"/>
      <c r="H349" s="358"/>
      <c r="I349" s="358"/>
      <c r="J349" s="358"/>
      <c r="K349" s="359"/>
      <c r="L349" s="358"/>
      <c r="M349" s="358"/>
      <c r="N349" s="358"/>
    </row>
    <row r="350" spans="1:14" x14ac:dyDescent="0.25">
      <c r="A350" s="429" t="s">
        <v>700</v>
      </c>
      <c r="B350" s="360">
        <f>SUM(B344:B349)</f>
        <v>70879252</v>
      </c>
      <c r="C350" s="360">
        <f t="shared" ref="C350:N350" si="279">SUM(C344:C349)</f>
        <v>0</v>
      </c>
      <c r="D350" s="360">
        <f t="shared" si="279"/>
        <v>70879252</v>
      </c>
      <c r="E350" s="360">
        <f t="shared" si="279"/>
        <v>16349823</v>
      </c>
      <c r="F350" s="360">
        <f t="shared" si="279"/>
        <v>3543962.5999999996</v>
      </c>
      <c r="G350" s="360">
        <f t="shared" si="279"/>
        <v>0</v>
      </c>
      <c r="H350" s="360">
        <f t="shared" si="279"/>
        <v>7905925</v>
      </c>
      <c r="I350" s="360">
        <f t="shared" si="279"/>
        <v>27799710.600000001</v>
      </c>
      <c r="J350" s="360">
        <f t="shared" si="279"/>
        <v>43079541.400000006</v>
      </c>
      <c r="K350" s="360">
        <f t="shared" si="279"/>
        <v>3446363</v>
      </c>
      <c r="L350" s="360">
        <f t="shared" si="279"/>
        <v>39633179</v>
      </c>
      <c r="M350" s="360">
        <f t="shared" si="279"/>
        <v>39633169</v>
      </c>
      <c r="N350" s="360">
        <f t="shared" si="279"/>
        <v>10</v>
      </c>
    </row>
    <row r="351" spans="1:14" x14ac:dyDescent="0.25">
      <c r="A351" s="429" t="s">
        <v>701</v>
      </c>
      <c r="B351" s="358">
        <v>9670085.4299999997</v>
      </c>
      <c r="C351" s="555"/>
      <c r="D351" s="358">
        <f>SUM(B351:C351)</f>
        <v>9670085.4299999997</v>
      </c>
      <c r="E351" s="358"/>
      <c r="F351" s="358">
        <f>B351*5%</f>
        <v>483504.27150000003</v>
      </c>
      <c r="G351" s="358"/>
      <c r="H351" s="358">
        <v>0</v>
      </c>
      <c r="I351" s="358">
        <f>SUM(E351:H351)</f>
        <v>483504.27150000003</v>
      </c>
      <c r="J351" s="358">
        <f>D351-I351</f>
        <v>9186581.158499999</v>
      </c>
      <c r="K351" s="359">
        <f>ROUND(J351*8%,0)</f>
        <v>734926</v>
      </c>
      <c r="L351" s="358">
        <f>ROUND(J351-K351,0)</f>
        <v>8451655</v>
      </c>
      <c r="M351" s="358">
        <f>4000000+2000000+2451654</f>
        <v>8451654</v>
      </c>
      <c r="N351" s="358">
        <f>L351-M351</f>
        <v>1</v>
      </c>
    </row>
    <row r="352" spans="1:14" x14ac:dyDescent="0.25">
      <c r="A352" s="429" t="s">
        <v>701</v>
      </c>
      <c r="B352" s="358">
        <v>4144322</v>
      </c>
      <c r="C352" s="555"/>
      <c r="D352" s="358">
        <f>SUM(B352:C352)</f>
        <v>4144322</v>
      </c>
      <c r="E352" s="358"/>
      <c r="F352" s="358">
        <f>B352*5%</f>
        <v>207216.1</v>
      </c>
      <c r="G352" s="358"/>
      <c r="H352" s="358">
        <v>0</v>
      </c>
      <c r="I352" s="358">
        <f>SUM(E352:H352)</f>
        <v>207216.1</v>
      </c>
      <c r="J352" s="358">
        <f>D352-I352</f>
        <v>3937105.9</v>
      </c>
      <c r="K352" s="359">
        <f>ROUND(J352*8%,0)</f>
        <v>314968</v>
      </c>
      <c r="L352" s="358">
        <f>ROUND(J352-K352,0)</f>
        <v>3622138</v>
      </c>
      <c r="M352" s="358">
        <v>3622138</v>
      </c>
      <c r="N352" s="358">
        <f>L352-M352</f>
        <v>0</v>
      </c>
    </row>
    <row r="353" spans="1:15" x14ac:dyDescent="0.25">
      <c r="A353" s="429" t="s">
        <v>701</v>
      </c>
      <c r="B353" s="358">
        <v>0</v>
      </c>
      <c r="C353" s="555"/>
      <c r="D353" s="358">
        <f>SUM(B353:C353)</f>
        <v>0</v>
      </c>
      <c r="E353" s="358"/>
      <c r="F353" s="358">
        <v>-690720</v>
      </c>
      <c r="G353" s="358"/>
      <c r="H353" s="358">
        <v>0</v>
      </c>
      <c r="I353" s="358">
        <f>SUM(E353:H353)</f>
        <v>-690720</v>
      </c>
      <c r="J353" s="358">
        <f>D353-I353</f>
        <v>690720</v>
      </c>
      <c r="K353" s="359">
        <f>ROUND(J353*8%,0)</f>
        <v>55258</v>
      </c>
      <c r="L353" s="358">
        <f>ROUND(J353-K353,0)</f>
        <v>635462</v>
      </c>
      <c r="M353" s="358">
        <v>635462</v>
      </c>
      <c r="N353" s="358">
        <f>L353-M353</f>
        <v>0</v>
      </c>
    </row>
    <row r="354" spans="1:15" x14ac:dyDescent="0.25">
      <c r="A354" s="429" t="s">
        <v>701</v>
      </c>
      <c r="B354" s="358">
        <v>14053089</v>
      </c>
      <c r="C354" s="555"/>
      <c r="D354" s="358">
        <f>SUM(B354:C354)</f>
        <v>14053089</v>
      </c>
      <c r="E354" s="358"/>
      <c r="F354" s="358">
        <f>B354*5%</f>
        <v>702654.45000000007</v>
      </c>
      <c r="G354" s="358"/>
      <c r="H354" s="358">
        <v>0</v>
      </c>
      <c r="I354" s="358">
        <f>SUM(E354:H354)</f>
        <v>702654.45000000007</v>
      </c>
      <c r="J354" s="358">
        <f>D354-I354</f>
        <v>13350434.550000001</v>
      </c>
      <c r="K354" s="359">
        <f>ROUND(J354*8%,0)</f>
        <v>1068035</v>
      </c>
      <c r="L354" s="358">
        <f>ROUND(J354-K354,0)</f>
        <v>12282400</v>
      </c>
      <c r="M354" s="358">
        <v>12282400</v>
      </c>
      <c r="N354" s="358">
        <f>L354-M354</f>
        <v>0</v>
      </c>
    </row>
    <row r="355" spans="1:15" x14ac:dyDescent="0.25">
      <c r="A355" s="429"/>
      <c r="B355" s="358">
        <v>945667</v>
      </c>
      <c r="C355" s="358"/>
      <c r="D355" s="358">
        <f t="shared" ref="D355" si="280">SUM(B355:C355)</f>
        <v>945667</v>
      </c>
      <c r="E355" s="358"/>
      <c r="F355" s="358">
        <f>B355*5%</f>
        <v>47283.350000000006</v>
      </c>
      <c r="G355" s="358"/>
      <c r="H355" s="358">
        <v>0</v>
      </c>
      <c r="I355" s="358">
        <f t="shared" ref="I355" si="281">SUM(E355:H355)</f>
        <v>47283.350000000006</v>
      </c>
      <c r="J355" s="358">
        <f>D355-I355</f>
        <v>898383.65</v>
      </c>
      <c r="K355" s="359">
        <f>ROUND(J355*8%,0)</f>
        <v>71871</v>
      </c>
      <c r="L355" s="358">
        <f t="shared" ref="L355" si="282">ROUND(J355-K355,0)</f>
        <v>826513</v>
      </c>
      <c r="M355" s="358">
        <v>826513</v>
      </c>
      <c r="N355" s="358">
        <f>L355-M355</f>
        <v>0</v>
      </c>
    </row>
    <row r="356" spans="1:15" x14ac:dyDescent="0.25">
      <c r="A356" s="429"/>
      <c r="B356" s="360">
        <f>SUM(B351:B355)</f>
        <v>28813163.43</v>
      </c>
      <c r="C356" s="360">
        <f t="shared" ref="C356:N356" si="283">SUM(C351:C355)</f>
        <v>0</v>
      </c>
      <c r="D356" s="360">
        <f t="shared" si="283"/>
        <v>28813163.43</v>
      </c>
      <c r="E356" s="360">
        <f t="shared" si="283"/>
        <v>0</v>
      </c>
      <c r="F356" s="360">
        <f t="shared" si="283"/>
        <v>749938.17150000005</v>
      </c>
      <c r="G356" s="360">
        <f t="shared" si="283"/>
        <v>0</v>
      </c>
      <c r="H356" s="360">
        <f t="shared" si="283"/>
        <v>0</v>
      </c>
      <c r="I356" s="360">
        <f t="shared" si="283"/>
        <v>749938.17150000005</v>
      </c>
      <c r="J356" s="360">
        <f t="shared" si="283"/>
        <v>28063225.258499999</v>
      </c>
      <c r="K356" s="360">
        <f t="shared" si="283"/>
        <v>2245058</v>
      </c>
      <c r="L356" s="360">
        <f t="shared" si="283"/>
        <v>25818168</v>
      </c>
      <c r="M356" s="360">
        <f t="shared" si="283"/>
        <v>25818167</v>
      </c>
      <c r="N356" s="360">
        <f t="shared" si="283"/>
        <v>1</v>
      </c>
    </row>
    <row r="357" spans="1:15" x14ac:dyDescent="0.25">
      <c r="A357" s="429" t="s">
        <v>702</v>
      </c>
      <c r="B357" s="358">
        <v>19638362</v>
      </c>
      <c r="C357" s="358" t="s">
        <v>807</v>
      </c>
      <c r="D357" s="358">
        <f t="shared" ref="D357:D361" si="284">SUM(B357:C357)</f>
        <v>19638362</v>
      </c>
      <c r="E357" s="358"/>
      <c r="F357" s="358">
        <f>B357*5%</f>
        <v>981918.10000000009</v>
      </c>
      <c r="G357" s="358"/>
      <c r="H357" s="358">
        <v>0</v>
      </c>
      <c r="I357" s="358">
        <f t="shared" ref="I357:I361" si="285">SUM(E357:H357)</f>
        <v>981918.10000000009</v>
      </c>
      <c r="J357" s="358">
        <f>D357-I357</f>
        <v>18656443.899999999</v>
      </c>
      <c r="K357" s="359">
        <f>ROUND(J357*7.5%,0)</f>
        <v>1399233</v>
      </c>
      <c r="L357" s="358">
        <f t="shared" ref="L357:L362" si="286">ROUND(J357-K357,0)</f>
        <v>17257211</v>
      </c>
      <c r="M357" s="358">
        <f>2000000+2500000+5000000+2757210+2500000+2500000</f>
        <v>17257210</v>
      </c>
      <c r="N357" s="358">
        <f>L357-M357</f>
        <v>1</v>
      </c>
    </row>
    <row r="358" spans="1:15" x14ac:dyDescent="0.25">
      <c r="A358" s="429" t="s">
        <v>702</v>
      </c>
      <c r="B358" s="358">
        <v>9582244</v>
      </c>
      <c r="C358" s="358" t="s">
        <v>807</v>
      </c>
      <c r="D358" s="358">
        <f t="shared" si="284"/>
        <v>9582244</v>
      </c>
      <c r="E358" s="358"/>
      <c r="F358" s="358">
        <f>B358*5%</f>
        <v>479112.2</v>
      </c>
      <c r="G358" s="358"/>
      <c r="H358" s="358"/>
      <c r="I358" s="358">
        <f t="shared" si="285"/>
        <v>479112.2</v>
      </c>
      <c r="J358" s="358">
        <f>D358-I358</f>
        <v>9103131.8000000007</v>
      </c>
      <c r="K358" s="359">
        <f t="shared" ref="K358:K362" si="287">ROUND(J358*7.5%,0)</f>
        <v>682735</v>
      </c>
      <c r="L358" s="358">
        <f t="shared" si="286"/>
        <v>8420397</v>
      </c>
      <c r="M358" s="358">
        <v>8420396</v>
      </c>
      <c r="N358" s="358">
        <f>L358-M358</f>
        <v>1</v>
      </c>
    </row>
    <row r="359" spans="1:15" x14ac:dyDescent="0.25">
      <c r="A359" s="429"/>
      <c r="B359" s="358">
        <v>1441320</v>
      </c>
      <c r="C359" s="358" t="s">
        <v>807</v>
      </c>
      <c r="D359" s="358">
        <f t="shared" ref="D359" si="288">SUM(B359:C359)</f>
        <v>1441320</v>
      </c>
      <c r="E359" s="358"/>
      <c r="F359" s="358">
        <f>B359*5%</f>
        <v>72066</v>
      </c>
      <c r="G359" s="358"/>
      <c r="H359" s="358">
        <v>0</v>
      </c>
      <c r="I359" s="358">
        <f t="shared" si="285"/>
        <v>72066</v>
      </c>
      <c r="J359" s="358">
        <f>D359-I359</f>
        <v>1369254</v>
      </c>
      <c r="K359" s="359">
        <f t="shared" si="287"/>
        <v>102694</v>
      </c>
      <c r="L359" s="358">
        <f t="shared" si="286"/>
        <v>1266560</v>
      </c>
      <c r="M359" s="358">
        <v>1266560</v>
      </c>
      <c r="N359" s="358">
        <f>L359-M359</f>
        <v>0</v>
      </c>
    </row>
    <row r="360" spans="1:15" x14ac:dyDescent="0.25">
      <c r="A360" s="429"/>
      <c r="B360" s="358"/>
      <c r="C360" s="358"/>
      <c r="D360" s="358"/>
      <c r="E360" s="358"/>
      <c r="F360" s="358"/>
      <c r="G360" s="358"/>
      <c r="H360" s="358"/>
      <c r="I360" s="358"/>
      <c r="J360" s="358"/>
      <c r="K360" s="359"/>
      <c r="L360" s="358"/>
      <c r="M360" s="358"/>
      <c r="N360" s="358"/>
    </row>
    <row r="361" spans="1:15" x14ac:dyDescent="0.25">
      <c r="A361" s="429"/>
      <c r="B361" s="358">
        <v>8389797</v>
      </c>
      <c r="C361" s="358" t="s">
        <v>807</v>
      </c>
      <c r="D361" s="358">
        <f t="shared" si="284"/>
        <v>8389797</v>
      </c>
      <c r="E361" s="358"/>
      <c r="F361" s="358">
        <f>B361*5%</f>
        <v>419489.85000000003</v>
      </c>
      <c r="G361" s="358"/>
      <c r="H361" s="358">
        <v>0</v>
      </c>
      <c r="I361" s="358">
        <f t="shared" si="285"/>
        <v>419489.85000000003</v>
      </c>
      <c r="J361" s="358">
        <f>D361-I361</f>
        <v>7970307.1500000004</v>
      </c>
      <c r="K361" s="359">
        <f t="shared" si="287"/>
        <v>597773</v>
      </c>
      <c r="L361" s="358">
        <f t="shared" si="286"/>
        <v>7372534</v>
      </c>
      <c r="M361" s="358">
        <f>2000000+5372534</f>
        <v>7372534</v>
      </c>
      <c r="N361" s="358">
        <f>L361-M361</f>
        <v>0</v>
      </c>
    </row>
    <row r="362" spans="1:15" x14ac:dyDescent="0.25">
      <c r="A362" s="429"/>
      <c r="B362" s="358">
        <v>4750602</v>
      </c>
      <c r="C362" s="358" t="s">
        <v>807</v>
      </c>
      <c r="D362" s="358">
        <f t="shared" ref="D362" si="289">SUM(B362:C362)</f>
        <v>4750602</v>
      </c>
      <c r="E362" s="358"/>
      <c r="F362" s="358">
        <f>B362*5%</f>
        <v>237530.1</v>
      </c>
      <c r="G362" s="358"/>
      <c r="H362" s="358"/>
      <c r="I362" s="358">
        <f t="shared" ref="I362" si="290">SUM(E362:H362)</f>
        <v>237530.1</v>
      </c>
      <c r="J362" s="358">
        <f>D362-I362</f>
        <v>4513071.9000000004</v>
      </c>
      <c r="K362" s="359">
        <f t="shared" si="287"/>
        <v>338480</v>
      </c>
      <c r="L362" s="358">
        <f t="shared" si="286"/>
        <v>4174592</v>
      </c>
      <c r="M362" s="358">
        <v>3000000</v>
      </c>
      <c r="N362" s="358">
        <f>L362-M362</f>
        <v>1174592</v>
      </c>
    </row>
    <row r="363" spans="1:15" x14ac:dyDescent="0.25">
      <c r="A363" s="429"/>
      <c r="B363" s="358"/>
      <c r="C363" s="555"/>
      <c r="D363" s="358"/>
      <c r="E363" s="358"/>
      <c r="F363" s="358"/>
      <c r="G363" s="358"/>
      <c r="H363" s="358"/>
      <c r="I363" s="358"/>
      <c r="J363" s="358"/>
      <c r="K363" s="359"/>
      <c r="L363" s="358"/>
      <c r="M363" s="358"/>
      <c r="N363" s="358"/>
    </row>
    <row r="364" spans="1:15" x14ac:dyDescent="0.25">
      <c r="A364" s="429" t="s">
        <v>702</v>
      </c>
      <c r="B364" s="360">
        <f>SUM(B357:B363)</f>
        <v>43802325</v>
      </c>
      <c r="C364" s="360">
        <f t="shared" ref="C364:O364" si="291">SUM(C357:C363)</f>
        <v>0</v>
      </c>
      <c r="D364" s="360">
        <f t="shared" si="291"/>
        <v>43802325</v>
      </c>
      <c r="E364" s="360">
        <f t="shared" si="291"/>
        <v>0</v>
      </c>
      <c r="F364" s="360">
        <f t="shared" si="291"/>
        <v>2190116.25</v>
      </c>
      <c r="G364" s="360">
        <f t="shared" si="291"/>
        <v>0</v>
      </c>
      <c r="H364" s="360">
        <f t="shared" si="291"/>
        <v>0</v>
      </c>
      <c r="I364" s="360">
        <f t="shared" si="291"/>
        <v>2190116.25</v>
      </c>
      <c r="J364" s="360">
        <f t="shared" si="291"/>
        <v>41612208.75</v>
      </c>
      <c r="K364" s="360">
        <f t="shared" si="291"/>
        <v>3120915</v>
      </c>
      <c r="L364" s="360">
        <f t="shared" si="291"/>
        <v>38491294</v>
      </c>
      <c r="M364" s="360">
        <f t="shared" si="291"/>
        <v>37316700</v>
      </c>
      <c r="N364" s="360">
        <f t="shared" si="291"/>
        <v>1174594</v>
      </c>
      <c r="O364" s="360">
        <f t="shared" si="291"/>
        <v>0</v>
      </c>
    </row>
    <row r="365" spans="1:15" x14ac:dyDescent="0.25">
      <c r="A365" s="115" t="s">
        <v>723</v>
      </c>
      <c r="B365" s="358">
        <v>2471420</v>
      </c>
      <c r="C365" s="358"/>
      <c r="D365" s="358">
        <f>SUM(B365:C365)</f>
        <v>2471420</v>
      </c>
      <c r="F365" s="358">
        <f>B365*5%</f>
        <v>123571</v>
      </c>
      <c r="G365" s="358">
        <v>0</v>
      </c>
      <c r="I365" s="358">
        <f>SUM(E365:G365)</f>
        <v>123571</v>
      </c>
      <c r="J365" s="358">
        <f>D365-I365</f>
        <v>2347849</v>
      </c>
      <c r="K365" s="359">
        <f>ROUND(J365*8%,0)</f>
        <v>187828</v>
      </c>
      <c r="L365" s="358">
        <f>ROUND(J365-K365,0)</f>
        <v>2160021</v>
      </c>
      <c r="M365" s="358">
        <v>2160021</v>
      </c>
      <c r="N365" s="358">
        <f>L365-M365</f>
        <v>0</v>
      </c>
    </row>
    <row r="366" spans="1:15" x14ac:dyDescent="0.25">
      <c r="A366" s="115" t="s">
        <v>723</v>
      </c>
      <c r="B366" s="358">
        <v>1059180</v>
      </c>
      <c r="C366" s="358"/>
      <c r="D366" s="358">
        <f>SUM(B366:C366)</f>
        <v>1059180</v>
      </c>
      <c r="F366" s="358">
        <f>B366*5%</f>
        <v>52959</v>
      </c>
      <c r="G366" s="358">
        <v>0</v>
      </c>
      <c r="I366" s="358">
        <f>SUM(E366:G366)</f>
        <v>52959</v>
      </c>
      <c r="J366" s="358">
        <f>D366-I366</f>
        <v>1006221</v>
      </c>
      <c r="K366" s="359">
        <f>ROUND(J366*8%,0)</f>
        <v>80498</v>
      </c>
      <c r="L366" s="358">
        <f>ROUND(J366-K366,0)</f>
        <v>925723</v>
      </c>
      <c r="M366" s="358">
        <v>925723</v>
      </c>
      <c r="N366" s="358">
        <f>L366-M366</f>
        <v>0</v>
      </c>
    </row>
    <row r="367" spans="1:15" x14ac:dyDescent="0.25">
      <c r="A367" s="115" t="s">
        <v>723</v>
      </c>
      <c r="B367" s="358">
        <v>0</v>
      </c>
      <c r="C367" s="358"/>
      <c r="D367" s="358">
        <f>SUM(B367:C367)</f>
        <v>0</v>
      </c>
      <c r="F367" s="358">
        <v>-176530</v>
      </c>
      <c r="G367" s="358">
        <v>0</v>
      </c>
      <c r="I367" s="358">
        <f>SUM(E367:G367)</f>
        <v>-176530</v>
      </c>
      <c r="J367" s="358">
        <f>D367-I367</f>
        <v>176530</v>
      </c>
      <c r="K367" s="359">
        <f>ROUND(J367*8%,0)</f>
        <v>14122</v>
      </c>
      <c r="L367" s="358">
        <f>ROUND(J367-K367,0)</f>
        <v>162408</v>
      </c>
      <c r="M367" s="358">
        <v>162408</v>
      </c>
      <c r="N367" s="358">
        <f>L367-M367</f>
        <v>0</v>
      </c>
    </row>
    <row r="368" spans="1:15" x14ac:dyDescent="0.25">
      <c r="A368" s="115" t="s">
        <v>723</v>
      </c>
      <c r="B368" s="360">
        <f t="shared" ref="B368:N368" si="292">SUM(B365:B367)</f>
        <v>3530600</v>
      </c>
      <c r="C368" s="360">
        <f t="shared" si="292"/>
        <v>0</v>
      </c>
      <c r="D368" s="360">
        <f t="shared" si="292"/>
        <v>3530600</v>
      </c>
      <c r="E368" s="360">
        <f t="shared" si="292"/>
        <v>0</v>
      </c>
      <c r="F368" s="360">
        <f t="shared" si="292"/>
        <v>0</v>
      </c>
      <c r="G368" s="360">
        <f t="shared" si="292"/>
        <v>0</v>
      </c>
      <c r="H368" s="360">
        <f t="shared" si="292"/>
        <v>0</v>
      </c>
      <c r="I368" s="360">
        <f t="shared" si="292"/>
        <v>0</v>
      </c>
      <c r="J368" s="360">
        <f t="shared" si="292"/>
        <v>3530600</v>
      </c>
      <c r="K368" s="360">
        <f t="shared" si="292"/>
        <v>282448</v>
      </c>
      <c r="L368" s="360">
        <f t="shared" si="292"/>
        <v>3248152</v>
      </c>
      <c r="M368" s="360">
        <f t="shared" si="292"/>
        <v>3248152</v>
      </c>
      <c r="N368" s="360">
        <f t="shared" si="292"/>
        <v>0</v>
      </c>
    </row>
    <row r="369" spans="1:14" x14ac:dyDescent="0.25">
      <c r="A369" s="115" t="s">
        <v>724</v>
      </c>
      <c r="B369" s="662">
        <v>7488477</v>
      </c>
      <c r="C369" s="429"/>
      <c r="D369" s="358">
        <f>SUM(B369:C369)</f>
        <v>7488477</v>
      </c>
      <c r="E369" s="429"/>
      <c r="F369" s="358">
        <f>D369*5%</f>
        <v>374423.85000000003</v>
      </c>
      <c r="G369" s="429"/>
      <c r="H369" s="429"/>
      <c r="I369" s="358">
        <f>SUM(E369:G369)</f>
        <v>374423.85000000003</v>
      </c>
      <c r="J369" s="358">
        <f>D369-I369</f>
        <v>7114053.1500000004</v>
      </c>
      <c r="K369" s="359">
        <f>ROUND(J369*8%,0)</f>
        <v>569124</v>
      </c>
      <c r="L369" s="358">
        <f>ROUND(J369-K369,0)</f>
        <v>6544929</v>
      </c>
      <c r="M369" s="358">
        <v>6544929</v>
      </c>
      <c r="N369" s="358">
        <f>L369-M369</f>
        <v>0</v>
      </c>
    </row>
    <row r="370" spans="1:14" x14ac:dyDescent="0.25">
      <c r="A370" s="115"/>
      <c r="B370" s="662">
        <v>3209347</v>
      </c>
      <c r="C370" s="429"/>
      <c r="D370" s="358">
        <f t="shared" ref="D370:D371" si="293">SUM(B370:C370)</f>
        <v>3209347</v>
      </c>
      <c r="E370" s="429"/>
      <c r="F370" s="358">
        <f>D370*5%</f>
        <v>160467.35</v>
      </c>
      <c r="G370" s="358">
        <v>0</v>
      </c>
      <c r="H370" s="429"/>
      <c r="I370" s="358">
        <f t="shared" ref="I370:I372" si="294">SUM(E370:G370)</f>
        <v>160467.35</v>
      </c>
      <c r="J370" s="358">
        <f t="shared" ref="J370:J372" si="295">D370-I370</f>
        <v>3048879.65</v>
      </c>
      <c r="K370" s="359">
        <f t="shared" ref="K370:K372" si="296">ROUND(J370*8%,0)</f>
        <v>243910</v>
      </c>
      <c r="L370" s="358">
        <f t="shared" ref="L370:L372" si="297">ROUND(J370-K370,0)</f>
        <v>2804970</v>
      </c>
      <c r="M370" s="358">
        <v>2804970</v>
      </c>
      <c r="N370" s="358">
        <f t="shared" ref="N370:N372" si="298">L370-M370</f>
        <v>0</v>
      </c>
    </row>
    <row r="371" spans="1:14" x14ac:dyDescent="0.25">
      <c r="A371" s="115"/>
      <c r="B371" s="662">
        <v>4380110</v>
      </c>
      <c r="C371" s="429"/>
      <c r="D371" s="358">
        <f t="shared" si="293"/>
        <v>4380110</v>
      </c>
      <c r="E371" s="429"/>
      <c r="F371" s="358">
        <f>D371*5%</f>
        <v>219005.5</v>
      </c>
      <c r="G371" s="358">
        <v>0</v>
      </c>
      <c r="H371" s="429"/>
      <c r="I371" s="358">
        <f t="shared" si="294"/>
        <v>219005.5</v>
      </c>
      <c r="J371" s="358">
        <f t="shared" si="295"/>
        <v>4161104.5</v>
      </c>
      <c r="K371" s="359">
        <f t="shared" si="296"/>
        <v>332888</v>
      </c>
      <c r="L371" s="358">
        <f t="shared" si="297"/>
        <v>3828217</v>
      </c>
      <c r="M371" s="358">
        <v>3828216</v>
      </c>
      <c r="N371" s="358">
        <f t="shared" si="298"/>
        <v>1</v>
      </c>
    </row>
    <row r="372" spans="1:14" x14ac:dyDescent="0.25">
      <c r="A372" s="115"/>
      <c r="B372" s="662"/>
      <c r="C372" s="429"/>
      <c r="D372" s="358"/>
      <c r="E372" s="429"/>
      <c r="F372" s="358">
        <f>D372*5%</f>
        <v>0</v>
      </c>
      <c r="G372" s="358">
        <v>0</v>
      </c>
      <c r="H372" s="429"/>
      <c r="I372" s="358">
        <f t="shared" si="294"/>
        <v>0</v>
      </c>
      <c r="J372" s="358">
        <f t="shared" si="295"/>
        <v>0</v>
      </c>
      <c r="K372" s="359">
        <f t="shared" si="296"/>
        <v>0</v>
      </c>
      <c r="L372" s="358">
        <f t="shared" si="297"/>
        <v>0</v>
      </c>
      <c r="M372" s="358">
        <v>0</v>
      </c>
      <c r="N372" s="358">
        <f t="shared" si="298"/>
        <v>0</v>
      </c>
    </row>
    <row r="373" spans="1:14" x14ac:dyDescent="0.25">
      <c r="A373" s="429"/>
      <c r="B373" s="663">
        <f>SUM(B369:B372)</f>
        <v>15077934</v>
      </c>
      <c r="C373" s="663">
        <f t="shared" ref="C373:N373" si="299">SUM(C369:C372)</f>
        <v>0</v>
      </c>
      <c r="D373" s="663">
        <f t="shared" si="299"/>
        <v>15077934</v>
      </c>
      <c r="E373" s="663">
        <f t="shared" si="299"/>
        <v>0</v>
      </c>
      <c r="F373" s="663">
        <f t="shared" si="299"/>
        <v>753896.70000000007</v>
      </c>
      <c r="G373" s="663">
        <f t="shared" si="299"/>
        <v>0</v>
      </c>
      <c r="H373" s="663">
        <f t="shared" si="299"/>
        <v>0</v>
      </c>
      <c r="I373" s="663">
        <f t="shared" si="299"/>
        <v>753896.70000000007</v>
      </c>
      <c r="J373" s="663">
        <f t="shared" si="299"/>
        <v>14324037.300000001</v>
      </c>
      <c r="K373" s="663">
        <f t="shared" si="299"/>
        <v>1145922</v>
      </c>
      <c r="L373" s="663">
        <f t="shared" si="299"/>
        <v>13178116</v>
      </c>
      <c r="M373" s="663">
        <f t="shared" si="299"/>
        <v>13178115</v>
      </c>
      <c r="N373" s="663">
        <f t="shared" si="299"/>
        <v>1</v>
      </c>
    </row>
    <row r="374" spans="1:14" x14ac:dyDescent="0.25">
      <c r="A374" s="664" t="s">
        <v>809</v>
      </c>
      <c r="B374" s="358">
        <v>5717309</v>
      </c>
      <c r="C374" s="665"/>
      <c r="D374" s="666">
        <f>B374+C374</f>
        <v>5717309</v>
      </c>
      <c r="E374" s="665"/>
      <c r="F374" s="358">
        <f>D374*5%</f>
        <v>285865.45</v>
      </c>
      <c r="G374" s="358">
        <v>0</v>
      </c>
      <c r="H374" s="665"/>
      <c r="I374" s="358">
        <f>SUM(E374:H374)</f>
        <v>285865.45</v>
      </c>
      <c r="J374" s="358">
        <f>D374-I374</f>
        <v>5431443.5499999998</v>
      </c>
      <c r="K374" s="359">
        <f t="shared" ref="K374:K376" si="300">ROUND(J374*8%,0)</f>
        <v>434515</v>
      </c>
      <c r="L374" s="358">
        <f t="shared" ref="L374:L376" si="301">ROUND(J374-K374,0)</f>
        <v>4996929</v>
      </c>
      <c r="M374" s="358">
        <v>4996928</v>
      </c>
      <c r="N374" s="358">
        <f t="shared" ref="N374:N376" si="302">L374-M374</f>
        <v>1</v>
      </c>
    </row>
    <row r="375" spans="1:14" x14ac:dyDescent="0.25">
      <c r="A375" s="664"/>
      <c r="B375" s="358">
        <v>2776482</v>
      </c>
      <c r="C375" s="665"/>
      <c r="D375" s="666">
        <f t="shared" ref="D375:D376" si="303">B375+C375</f>
        <v>2776482</v>
      </c>
      <c r="E375" s="665"/>
      <c r="F375" s="358">
        <f>D375*5%</f>
        <v>138824.1</v>
      </c>
      <c r="G375" s="358">
        <v>0</v>
      </c>
      <c r="H375" s="358">
        <v>237658</v>
      </c>
      <c r="I375" s="358">
        <f t="shared" ref="I375:I376" si="304">SUM(E375:H375)</f>
        <v>376482.1</v>
      </c>
      <c r="J375" s="358">
        <f t="shared" ref="J375:J376" si="305">D375-I375</f>
        <v>2399999.9</v>
      </c>
      <c r="K375" s="359">
        <f t="shared" si="300"/>
        <v>192000</v>
      </c>
      <c r="L375" s="358">
        <f t="shared" si="301"/>
        <v>2208000</v>
      </c>
      <c r="M375" s="358">
        <f>1500000+708003</f>
        <v>2208003</v>
      </c>
      <c r="N375" s="358">
        <f t="shared" si="302"/>
        <v>-3</v>
      </c>
    </row>
    <row r="376" spans="1:14" x14ac:dyDescent="0.25">
      <c r="A376" s="664"/>
      <c r="B376" s="358">
        <v>3156754</v>
      </c>
      <c r="C376" s="665"/>
      <c r="D376" s="666">
        <f t="shared" si="303"/>
        <v>3156754</v>
      </c>
      <c r="E376" s="665"/>
      <c r="F376" s="358">
        <f>D376*5%</f>
        <v>157837.70000000001</v>
      </c>
      <c r="G376" s="358">
        <v>0</v>
      </c>
      <c r="H376" s="665"/>
      <c r="I376" s="358">
        <f t="shared" si="304"/>
        <v>157837.70000000001</v>
      </c>
      <c r="J376" s="358">
        <f t="shared" si="305"/>
        <v>2998916.3</v>
      </c>
      <c r="K376" s="359">
        <f t="shared" si="300"/>
        <v>239913</v>
      </c>
      <c r="L376" s="358">
        <f t="shared" si="301"/>
        <v>2759003</v>
      </c>
      <c r="M376" s="358">
        <v>2759003</v>
      </c>
      <c r="N376" s="358">
        <f t="shared" si="302"/>
        <v>0</v>
      </c>
    </row>
    <row r="377" spans="1:14" x14ac:dyDescent="0.25">
      <c r="A377" s="664"/>
      <c r="B377" s="665">
        <f>SUM(B374:B376)</f>
        <v>11650545</v>
      </c>
      <c r="C377" s="665">
        <f t="shared" ref="C377:N377" si="306">SUM(C374:C376)</f>
        <v>0</v>
      </c>
      <c r="D377" s="665">
        <f t="shared" si="306"/>
        <v>11650545</v>
      </c>
      <c r="E377" s="665">
        <f t="shared" si="306"/>
        <v>0</v>
      </c>
      <c r="F377" s="665">
        <f t="shared" si="306"/>
        <v>582527.25</v>
      </c>
      <c r="G377" s="665">
        <f t="shared" si="306"/>
        <v>0</v>
      </c>
      <c r="H377" s="665">
        <f t="shared" si="306"/>
        <v>237658</v>
      </c>
      <c r="I377" s="665">
        <f t="shared" si="306"/>
        <v>820185.25</v>
      </c>
      <c r="J377" s="665">
        <f t="shared" si="306"/>
        <v>10830359.75</v>
      </c>
      <c r="K377" s="665">
        <f t="shared" si="306"/>
        <v>866428</v>
      </c>
      <c r="L377" s="665">
        <f t="shared" si="306"/>
        <v>9963932</v>
      </c>
      <c r="M377" s="665">
        <f t="shared" si="306"/>
        <v>9963934</v>
      </c>
      <c r="N377" s="665">
        <f t="shared" si="306"/>
        <v>-2</v>
      </c>
    </row>
    <row r="378" spans="1:14" x14ac:dyDescent="0.25">
      <c r="A378" s="587" t="s">
        <v>756</v>
      </c>
      <c r="B378" s="448">
        <v>564295064</v>
      </c>
      <c r="D378" s="660">
        <f>SUM(B378:C378)</f>
        <v>564295064</v>
      </c>
      <c r="F378" s="660">
        <f>D378*5%</f>
        <v>28214753.200000003</v>
      </c>
      <c r="I378" s="660">
        <f>SUM(E378:G378)</f>
        <v>28214753.200000003</v>
      </c>
      <c r="J378" s="660">
        <f>D378-I378</f>
        <v>536080310.80000001</v>
      </c>
      <c r="K378" s="661">
        <f>ROUND(J378*8%,0)</f>
        <v>42886425</v>
      </c>
      <c r="L378" s="660">
        <f>ROUND(J378-K378,0)</f>
        <v>493193886</v>
      </c>
      <c r="M378" s="660">
        <v>0</v>
      </c>
      <c r="N378" s="660">
        <f>L378-M378</f>
        <v>493193886</v>
      </c>
    </row>
    <row r="379" spans="1:14" x14ac:dyDescent="0.25">
      <c r="B379" s="581">
        <f>SUM(B373,B368,B364,B356,B350,B343,B332,B329,B326,B323,B319,B315,B311,B306,B295,B292,B289,B286,B284,B275,B264,B253,B239,B236,B226,B214,B197,B191,B183,B172,B164,B161,B156,B151,B147,B143,B138,B130,B120,B107,B98,B93,B85,B79,B74,B55,B51,B48,B44,B41,B32,B21,B378,B377,B335,B338,B340,B302,E242)</f>
        <v>6059913920.1600008</v>
      </c>
      <c r="C379" s="581">
        <f t="shared" ref="C379:N379" si="307">SUM(C373,C368,C364,C356,C350,C343,C332,C329,C326,C323,C319,C315,C311,C306,C295,C292,C289,C286,C284,C275,C264,C253,C239,C236,C226,C214,C197,C191,C183,C172,C164,C161,C156,C151,C147,C143,C138,C130,C120,C107,C98,C93,C85,C79,C74,C55,C51,C48,C44,C41,C32,C21,C378,C377,C335,C338,C340,C302,F242)</f>
        <v>75841908.849999994</v>
      </c>
      <c r="D379" s="581">
        <f t="shared" si="307"/>
        <v>5998341866.1600008</v>
      </c>
      <c r="E379" s="581">
        <f t="shared" si="307"/>
        <v>1756860657</v>
      </c>
      <c r="F379" s="581">
        <f t="shared" si="307"/>
        <v>295187146.40800011</v>
      </c>
      <c r="G379" s="581">
        <f t="shared" si="307"/>
        <v>72912190.150000006</v>
      </c>
      <c r="H379" s="581">
        <f t="shared" si="307"/>
        <v>473732647</v>
      </c>
      <c r="I379" s="581">
        <f t="shared" si="307"/>
        <v>2597109329.558001</v>
      </c>
      <c r="J379" s="581">
        <f t="shared" si="307"/>
        <v>3414933670.6019998</v>
      </c>
      <c r="K379" s="581">
        <f t="shared" si="307"/>
        <v>263632604</v>
      </c>
      <c r="L379" s="581">
        <f t="shared" si="307"/>
        <v>3144450511.8499999</v>
      </c>
      <c r="M379" s="581">
        <f t="shared" si="307"/>
        <v>2560333677</v>
      </c>
      <c r="N379" s="581">
        <f t="shared" si="307"/>
        <v>584116834.85000002</v>
      </c>
    </row>
    <row r="380" spans="1:14" x14ac:dyDescent="0.25">
      <c r="B380" s="448">
        <f>'Anx-E'!M68*1000000</f>
        <v>6059913920.3729343</v>
      </c>
    </row>
    <row r="381" spans="1:14" x14ac:dyDescent="0.25">
      <c r="B381" s="476">
        <f>B380-B379</f>
        <v>0.21293354034423828</v>
      </c>
    </row>
  </sheetData>
  <mergeCells count="10">
    <mergeCell ref="A3:A4"/>
    <mergeCell ref="K3:K4"/>
    <mergeCell ref="L3:L4"/>
    <mergeCell ref="M3:M4"/>
    <mergeCell ref="N3:N4"/>
    <mergeCell ref="B3:B4"/>
    <mergeCell ref="C3:C4"/>
    <mergeCell ref="D3:D4"/>
    <mergeCell ref="E3:I3"/>
    <mergeCell ref="J3:J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view="pageBreakPreview" zoomScale="70" zoomScaleNormal="100" zoomScaleSheetLayoutView="70" workbookViewId="0">
      <pane xSplit="4" ySplit="8" topLeftCell="K37" activePane="bottomRight" state="frozen"/>
      <selection pane="topRight" activeCell="E1" sqref="E1"/>
      <selection pane="bottomLeft" activeCell="A9" sqref="A9"/>
      <selection pane="bottomRight" activeCell="O49" sqref="O49"/>
    </sheetView>
  </sheetViews>
  <sheetFormatPr defaultColWidth="9.140625" defaultRowHeight="12.75" x14ac:dyDescent="0.2"/>
  <cols>
    <col min="1" max="1" width="4" style="668" bestFit="1" customWidth="1"/>
    <col min="2" max="2" width="30.28515625" style="668" customWidth="1"/>
    <col min="3" max="3" width="6.85546875" style="668" customWidth="1"/>
    <col min="4" max="4" width="13.85546875" style="668" customWidth="1"/>
    <col min="5" max="5" width="12.85546875" style="697" customWidth="1"/>
    <col min="6" max="6" width="12" style="668" hidden="1" customWidth="1"/>
    <col min="7" max="7" width="14.85546875" style="668" customWidth="1"/>
    <col min="8" max="8" width="14.28515625" style="668" customWidth="1"/>
    <col min="9" max="9" width="16" style="668" hidden="1" customWidth="1"/>
    <col min="10" max="10" width="20.140625" style="668" bestFit="1" customWidth="1"/>
    <col min="11" max="11" width="10.28515625" style="668" customWidth="1"/>
    <col min="12" max="12" width="13.42578125" style="668" customWidth="1"/>
    <col min="13" max="13" width="10.28515625" style="668" customWidth="1"/>
    <col min="14" max="14" width="2.7109375" style="668" hidden="1" customWidth="1"/>
    <col min="15" max="15" width="16" style="668" customWidth="1"/>
    <col min="16" max="16" width="12.140625" style="668" bestFit="1" customWidth="1"/>
    <col min="17" max="17" width="12.7109375" style="668" hidden="1" customWidth="1"/>
    <col min="18" max="18" width="19.140625" style="668" bestFit="1" customWidth="1"/>
    <col min="19" max="19" width="14.28515625" style="668" customWidth="1"/>
    <col min="20" max="20" width="18.28515625" style="668" bestFit="1" customWidth="1"/>
    <col min="21" max="21" width="15.5703125" style="668" customWidth="1"/>
    <col min="22" max="22" width="16.7109375" style="668" bestFit="1" customWidth="1"/>
    <col min="23" max="23" width="10.85546875" style="701" customWidth="1"/>
    <col min="24" max="24" width="17.140625" style="668" bestFit="1" customWidth="1"/>
    <col min="25" max="25" width="21.140625" style="668" customWidth="1"/>
    <col min="26" max="27" width="16.85546875" style="668" bestFit="1" customWidth="1"/>
    <col min="28" max="28" width="19.85546875" style="668" bestFit="1" customWidth="1"/>
    <col min="29" max="29" width="11.5703125" style="668" bestFit="1" customWidth="1"/>
    <col min="30" max="30" width="16.85546875" style="668" bestFit="1" customWidth="1"/>
    <col min="31" max="16384" width="9.140625" style="668"/>
  </cols>
  <sheetData>
    <row r="1" spans="1:30" x14ac:dyDescent="0.2">
      <c r="A1" s="119"/>
      <c r="B1" s="801" t="s">
        <v>276</v>
      </c>
      <c r="C1" s="801"/>
      <c r="D1" s="801"/>
      <c r="E1" s="801"/>
      <c r="F1" s="801"/>
      <c r="G1" s="801"/>
      <c r="H1" s="801"/>
      <c r="I1" s="801"/>
      <c r="J1" s="801"/>
      <c r="K1" s="801"/>
      <c r="L1" s="801"/>
      <c r="M1" s="801"/>
      <c r="N1" s="801"/>
      <c r="O1" s="801"/>
      <c r="P1" s="801"/>
      <c r="Q1" s="801"/>
      <c r="R1" s="801"/>
      <c r="S1" s="801"/>
      <c r="T1" s="801"/>
      <c r="U1" s="801"/>
      <c r="V1" s="801"/>
      <c r="W1" s="801"/>
      <c r="X1" s="801"/>
      <c r="Y1" s="801"/>
    </row>
    <row r="2" spans="1:30" x14ac:dyDescent="0.2">
      <c r="A2" s="119"/>
      <c r="B2" s="669"/>
      <c r="C2" s="669"/>
      <c r="D2" s="669"/>
      <c r="E2" s="670"/>
      <c r="F2" s="671"/>
      <c r="G2" s="672"/>
      <c r="H2" s="669"/>
      <c r="I2" s="669"/>
      <c r="J2" s="672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73"/>
      <c r="W2" s="674"/>
      <c r="X2" s="669">
        <f>1300*3.281</f>
        <v>4265.3</v>
      </c>
      <c r="Y2" s="675">
        <f>'Anx-E'!V1</f>
        <v>45809</v>
      </c>
    </row>
    <row r="3" spans="1:30" x14ac:dyDescent="0.2">
      <c r="A3" s="119"/>
      <c r="B3" s="802" t="s">
        <v>277</v>
      </c>
      <c r="C3" s="802"/>
      <c r="D3" s="802"/>
      <c r="E3" s="802"/>
      <c r="F3" s="802"/>
      <c r="G3" s="802"/>
      <c r="H3" s="802"/>
      <c r="I3" s="802"/>
      <c r="J3" s="802"/>
      <c r="K3" s="802"/>
      <c r="L3" s="802"/>
      <c r="M3" s="802"/>
      <c r="N3" s="802"/>
      <c r="O3" s="802"/>
      <c r="P3" s="802"/>
      <c r="Q3" s="802"/>
      <c r="R3" s="802"/>
      <c r="S3" s="802"/>
      <c r="T3" s="802"/>
      <c r="U3" s="802"/>
      <c r="V3" s="802"/>
      <c r="W3" s="802"/>
      <c r="X3" s="802"/>
      <c r="Y3" s="802"/>
    </row>
    <row r="4" spans="1:30" x14ac:dyDescent="0.2">
      <c r="A4" s="119"/>
      <c r="B4" s="802" t="s">
        <v>1</v>
      </c>
      <c r="C4" s="802"/>
      <c r="D4" s="802"/>
      <c r="E4" s="802"/>
      <c r="F4" s="802"/>
      <c r="G4" s="802"/>
      <c r="H4" s="802"/>
      <c r="I4" s="802"/>
      <c r="J4" s="802"/>
      <c r="K4" s="802"/>
      <c r="L4" s="802"/>
      <c r="M4" s="802"/>
      <c r="N4" s="802"/>
      <c r="O4" s="802"/>
      <c r="P4" s="802"/>
      <c r="Q4" s="802"/>
      <c r="R4" s="802"/>
      <c r="S4" s="802"/>
      <c r="T4" s="802"/>
      <c r="U4" s="802"/>
      <c r="V4" s="802"/>
      <c r="W4" s="802"/>
      <c r="X4" s="802"/>
      <c r="Y4" s="802"/>
    </row>
    <row r="5" spans="1:30" ht="13.5" thickBot="1" x14ac:dyDescent="0.25">
      <c r="A5" s="119"/>
      <c r="B5" s="120"/>
      <c r="C5" s="120"/>
      <c r="D5" s="120"/>
      <c r="E5" s="493"/>
      <c r="F5" s="121"/>
      <c r="G5" s="120"/>
      <c r="H5" s="120"/>
      <c r="I5" s="120"/>
      <c r="J5" s="5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597"/>
      <c r="X5" s="120"/>
      <c r="Y5" s="122" t="s">
        <v>2</v>
      </c>
    </row>
    <row r="6" spans="1:30" ht="13.5" thickTop="1" x14ac:dyDescent="0.2">
      <c r="A6" s="803" t="s">
        <v>141</v>
      </c>
      <c r="B6" s="788" t="s">
        <v>278</v>
      </c>
      <c r="C6" s="788" t="s">
        <v>279</v>
      </c>
      <c r="D6" s="804" t="s">
        <v>280</v>
      </c>
      <c r="E6" s="807" t="s">
        <v>281</v>
      </c>
      <c r="F6" s="808"/>
      <c r="G6" s="808"/>
      <c r="H6" s="808"/>
      <c r="I6" s="808"/>
      <c r="J6" s="808"/>
      <c r="K6" s="808"/>
      <c r="L6" s="809"/>
      <c r="M6" s="788" t="s">
        <v>282</v>
      </c>
      <c r="N6" s="788"/>
      <c r="O6" s="788"/>
      <c r="P6" s="788"/>
      <c r="Q6" s="788"/>
      <c r="R6" s="788"/>
      <c r="S6" s="788"/>
      <c r="T6" s="788"/>
      <c r="U6" s="810" t="s">
        <v>554</v>
      </c>
      <c r="V6" s="811"/>
      <c r="W6" s="788" t="s">
        <v>283</v>
      </c>
      <c r="X6" s="788"/>
      <c r="Y6" s="814" t="s">
        <v>275</v>
      </c>
    </row>
    <row r="7" spans="1:30" ht="14.45" customHeight="1" x14ac:dyDescent="0.2">
      <c r="A7" s="803"/>
      <c r="B7" s="788"/>
      <c r="C7" s="788"/>
      <c r="D7" s="805"/>
      <c r="E7" s="788" t="s">
        <v>189</v>
      </c>
      <c r="F7" s="788"/>
      <c r="G7" s="788"/>
      <c r="H7" s="788" t="s">
        <v>76</v>
      </c>
      <c r="I7" s="788"/>
      <c r="J7" s="788"/>
      <c r="K7" s="788" t="s">
        <v>77</v>
      </c>
      <c r="L7" s="788"/>
      <c r="M7" s="817" t="s">
        <v>189</v>
      </c>
      <c r="N7" s="817"/>
      <c r="O7" s="817"/>
      <c r="P7" s="817" t="s">
        <v>76</v>
      </c>
      <c r="Q7" s="817"/>
      <c r="R7" s="817"/>
      <c r="S7" s="788" t="s">
        <v>77</v>
      </c>
      <c r="T7" s="788"/>
      <c r="U7" s="812"/>
      <c r="V7" s="813"/>
      <c r="W7" s="788" t="s">
        <v>284</v>
      </c>
      <c r="X7" s="788"/>
      <c r="Y7" s="815"/>
    </row>
    <row r="8" spans="1:30" ht="22.9" customHeight="1" thickBot="1" x14ac:dyDescent="0.25">
      <c r="A8" s="803"/>
      <c r="B8" s="788"/>
      <c r="C8" s="788"/>
      <c r="D8" s="806"/>
      <c r="E8" s="494" t="s">
        <v>285</v>
      </c>
      <c r="F8" s="148" t="s">
        <v>286</v>
      </c>
      <c r="G8" s="619" t="s">
        <v>287</v>
      </c>
      <c r="H8" s="619" t="s">
        <v>285</v>
      </c>
      <c r="I8" s="619" t="s">
        <v>286</v>
      </c>
      <c r="J8" s="619" t="s">
        <v>287</v>
      </c>
      <c r="K8" s="619" t="s">
        <v>285</v>
      </c>
      <c r="L8" s="622" t="s">
        <v>287</v>
      </c>
      <c r="M8" s="619" t="s">
        <v>285</v>
      </c>
      <c r="N8" s="619" t="s">
        <v>286</v>
      </c>
      <c r="O8" s="619" t="s">
        <v>287</v>
      </c>
      <c r="P8" s="619" t="s">
        <v>285</v>
      </c>
      <c r="Q8" s="619" t="s">
        <v>286</v>
      </c>
      <c r="R8" s="619" t="s">
        <v>287</v>
      </c>
      <c r="S8" s="619" t="s">
        <v>285</v>
      </c>
      <c r="T8" s="619" t="s">
        <v>287</v>
      </c>
      <c r="U8" s="619" t="s">
        <v>285</v>
      </c>
      <c r="V8" s="619" t="s">
        <v>287</v>
      </c>
      <c r="W8" s="619" t="s">
        <v>285</v>
      </c>
      <c r="X8" s="619" t="s">
        <v>287</v>
      </c>
      <c r="Y8" s="816"/>
    </row>
    <row r="9" spans="1:30" ht="13.5" thickTop="1" x14ac:dyDescent="0.2">
      <c r="A9" s="123"/>
      <c r="B9" s="124"/>
      <c r="C9" s="125"/>
      <c r="D9" s="125"/>
      <c r="E9" s="495"/>
      <c r="F9" s="126"/>
      <c r="G9" s="127"/>
      <c r="H9" s="128"/>
      <c r="I9" s="128"/>
      <c r="J9" s="129"/>
      <c r="K9" s="129"/>
      <c r="L9" s="129"/>
      <c r="M9" s="622"/>
      <c r="N9" s="622"/>
      <c r="O9" s="622"/>
      <c r="P9" s="130"/>
      <c r="Q9" s="130"/>
      <c r="R9" s="622"/>
      <c r="S9" s="622"/>
      <c r="T9" s="622"/>
      <c r="U9" s="622"/>
      <c r="V9" s="130"/>
      <c r="W9" s="622"/>
      <c r="X9" s="130"/>
      <c r="Y9" s="131"/>
      <c r="Z9" s="668" t="s">
        <v>523</v>
      </c>
    </row>
    <row r="10" spans="1:30" x14ac:dyDescent="0.2">
      <c r="A10" s="132">
        <v>1</v>
      </c>
      <c r="B10" s="123" t="s">
        <v>288</v>
      </c>
      <c r="C10" s="622" t="s">
        <v>289</v>
      </c>
      <c r="D10" s="401">
        <v>26014</v>
      </c>
      <c r="E10" s="409">
        <v>0</v>
      </c>
      <c r="F10" s="133"/>
      <c r="G10" s="134">
        <v>0</v>
      </c>
      <c r="H10" s="136">
        <f>558.5+20238.17+338.2+318.5+371.31+358.8+720.52+157.48</f>
        <v>23061.48</v>
      </c>
      <c r="I10" s="136"/>
      <c r="J10" s="676">
        <f>18517610+522760095+11914648+8995588+8472100+9876846+15408065+22463048+2574522</f>
        <v>620982522</v>
      </c>
      <c r="K10" s="409"/>
      <c r="L10" s="134"/>
      <c r="M10" s="134"/>
      <c r="N10" s="137"/>
      <c r="O10" s="138"/>
      <c r="P10" s="136">
        <v>0</v>
      </c>
      <c r="Q10" s="136"/>
      <c r="R10" s="138"/>
      <c r="S10" s="136"/>
      <c r="T10" s="136"/>
      <c r="U10" s="677">
        <f>12331.415+JMF!E17</f>
        <v>23057.984</v>
      </c>
      <c r="V10" s="620">
        <f>+U10*26927.26</f>
        <v>620888330.24383998</v>
      </c>
      <c r="W10" s="620">
        <f>+H10-U10</f>
        <v>3.4959999999991851</v>
      </c>
      <c r="X10" s="615">
        <f>+J10-V10</f>
        <v>94191.756160020828</v>
      </c>
      <c r="Y10" s="457">
        <f>+J10/H10</f>
        <v>26927.262343960578</v>
      </c>
      <c r="Z10" s="678">
        <f>+U10*Y10</f>
        <v>620888384.29084551</v>
      </c>
      <c r="AA10" s="679">
        <f>+U10*Y10</f>
        <v>620888384.29084551</v>
      </c>
      <c r="AB10" s="679">
        <f>+X10/W10</f>
        <v>26942.722013742215</v>
      </c>
      <c r="AC10" s="679">
        <f>+J10/H10</f>
        <v>26927.262343960578</v>
      </c>
      <c r="AD10" s="679">
        <f>+AC10*U10</f>
        <v>620888384.29084551</v>
      </c>
    </row>
    <row r="11" spans="1:30" x14ac:dyDescent="0.2">
      <c r="A11" s="622">
        <f>A10+1</f>
        <v>2</v>
      </c>
      <c r="B11" s="123" t="s">
        <v>290</v>
      </c>
      <c r="C11" s="622" t="s">
        <v>291</v>
      </c>
      <c r="D11" s="401">
        <v>2032805</v>
      </c>
      <c r="E11" s="409">
        <v>0</v>
      </c>
      <c r="F11" s="133"/>
      <c r="G11" s="134">
        <v>0</v>
      </c>
      <c r="H11" s="136">
        <f>29896+636628+14592+24920+12096+43768+27925</f>
        <v>789825</v>
      </c>
      <c r="I11" s="136"/>
      <c r="J11" s="141">
        <f>549130+88491292+273794+1955328+3339280+2492676+7659750+4503960</f>
        <v>109265210</v>
      </c>
      <c r="K11" s="417"/>
      <c r="L11" s="134"/>
      <c r="M11" s="134">
        <v>0</v>
      </c>
      <c r="N11" s="137"/>
      <c r="O11" s="138">
        <v>0</v>
      </c>
      <c r="P11" s="136">
        <f>4169-4169</f>
        <v>0</v>
      </c>
      <c r="Q11" s="136"/>
      <c r="R11" s="138">
        <f>558680.8-558680.8</f>
        <v>0</v>
      </c>
      <c r="S11" s="136">
        <v>0</v>
      </c>
      <c r="T11" s="136">
        <v>0</v>
      </c>
      <c r="U11" s="136">
        <f>+JMF!G17-16314</f>
        <v>789825.38500000001</v>
      </c>
      <c r="V11" s="588">
        <v>109265210</v>
      </c>
      <c r="W11" s="417">
        <f>H11-P11-U11</f>
        <v>-0.38500000000931323</v>
      </c>
      <c r="X11" s="417">
        <f>J11-R11-V11</f>
        <v>0</v>
      </c>
      <c r="Y11" s="457">
        <f>+J11/H11</f>
        <v>138.34103757161395</v>
      </c>
      <c r="Z11" s="678">
        <f>+U11*Y11</f>
        <v>109265263.26129946</v>
      </c>
      <c r="AA11" s="679">
        <f>+U11*Y11</f>
        <v>109265263.26129946</v>
      </c>
      <c r="AB11" s="679">
        <f>7241.61*AB10</f>
        <v>195108685.16193575</v>
      </c>
    </row>
    <row r="12" spans="1:30" x14ac:dyDescent="0.2">
      <c r="A12" s="622">
        <f t="shared" ref="A12:A49" si="0">A11+1</f>
        <v>3</v>
      </c>
      <c r="B12" s="123" t="s">
        <v>292</v>
      </c>
      <c r="C12" s="622" t="s">
        <v>291</v>
      </c>
      <c r="D12" s="401">
        <v>1588399</v>
      </c>
      <c r="E12" s="680">
        <v>0</v>
      </c>
      <c r="F12" s="133"/>
      <c r="G12" s="134">
        <v>0</v>
      </c>
      <c r="H12" s="136">
        <f>1005+396403+18463+10005+10799+22555+5940+38059+8796</f>
        <v>512025</v>
      </c>
      <c r="I12" s="136"/>
      <c r="J12" s="141">
        <f>72819231.1-5312071+3256412+357720+1803433+3766685+1224565+6576061+1395308</f>
        <v>85887344.099999994</v>
      </c>
      <c r="K12" s="140"/>
      <c r="L12" s="134"/>
      <c r="M12" s="134">
        <v>0</v>
      </c>
      <c r="N12" s="137"/>
      <c r="O12" s="138">
        <v>0</v>
      </c>
      <c r="P12" s="136">
        <f>18211-18211</f>
        <v>0</v>
      </c>
      <c r="Q12" s="136"/>
      <c r="R12" s="138">
        <f>3041191.9-3041191.9</f>
        <v>0</v>
      </c>
      <c r="S12" s="136">
        <v>0</v>
      </c>
      <c r="T12" s="136">
        <v>0</v>
      </c>
      <c r="U12" s="136">
        <f>+JMF!F16-10098</f>
        <v>493813.82</v>
      </c>
      <c r="V12" s="588">
        <v>85887344</v>
      </c>
      <c r="W12" s="417">
        <f>H12-P12-U12</f>
        <v>18211.179999999993</v>
      </c>
      <c r="X12" s="417">
        <f>J12-R12-V12</f>
        <v>9.9999994039535522E-2</v>
      </c>
      <c r="Y12" s="457">
        <f>+J12/H12</f>
        <v>167.74052848981981</v>
      </c>
      <c r="Z12" s="681">
        <f>JMF!F16</f>
        <v>503911.82</v>
      </c>
      <c r="AA12" s="679">
        <f>+U12*Y12</f>
        <v>82832591.142376751</v>
      </c>
      <c r="AB12" s="679">
        <f>+X10-AB11</f>
        <v>-195014493.40577573</v>
      </c>
    </row>
    <row r="13" spans="1:30" x14ac:dyDescent="0.2">
      <c r="A13" s="622">
        <f t="shared" si="0"/>
        <v>4</v>
      </c>
      <c r="B13" s="123" t="s">
        <v>293</v>
      </c>
      <c r="C13" s="622" t="s">
        <v>294</v>
      </c>
      <c r="D13" s="401">
        <v>252167</v>
      </c>
      <c r="E13" s="409">
        <v>0</v>
      </c>
      <c r="F13" s="133">
        <v>0</v>
      </c>
      <c r="G13" s="134">
        <v>0</v>
      </c>
      <c r="H13" s="136">
        <f>88530+3000+4710+4770+1890</f>
        <v>102900</v>
      </c>
      <c r="I13" s="136">
        <f>J13/H13</f>
        <v>119</v>
      </c>
      <c r="J13" s="141">
        <f>10535070-82840+439840+560490+567630+224910</f>
        <v>12245100</v>
      </c>
      <c r="K13" s="140"/>
      <c r="L13" s="134"/>
      <c r="M13" s="134"/>
      <c r="N13" s="137"/>
      <c r="O13" s="138"/>
      <c r="P13" s="136"/>
      <c r="Q13" s="136"/>
      <c r="R13" s="138"/>
      <c r="S13" s="136"/>
      <c r="T13" s="136"/>
      <c r="U13" s="136">
        <v>102900</v>
      </c>
      <c r="V13" s="588">
        <f>+U13*119</f>
        <v>12245100</v>
      </c>
      <c r="W13" s="417">
        <f>H13-P13-U13</f>
        <v>0</v>
      </c>
      <c r="X13" s="417">
        <f>J13-R13-V13</f>
        <v>0</v>
      </c>
      <c r="Y13" s="608" t="e">
        <f>+X13/W13</f>
        <v>#DIV/0!</v>
      </c>
      <c r="Z13" s="681">
        <f>JMF!K16</f>
        <v>127778.61</v>
      </c>
      <c r="AA13" s="679" t="e">
        <f>+U13*Y13</f>
        <v>#DIV/0!</v>
      </c>
      <c r="AB13" s="668">
        <f>7548.2-7241.61</f>
        <v>306.59000000000015</v>
      </c>
    </row>
    <row r="14" spans="1:30" x14ac:dyDescent="0.2">
      <c r="A14" s="622">
        <f t="shared" si="0"/>
        <v>5</v>
      </c>
      <c r="B14" s="824" t="s">
        <v>295</v>
      </c>
      <c r="C14" s="825"/>
      <c r="D14" s="826"/>
      <c r="E14" s="409"/>
      <c r="F14" s="133"/>
      <c r="G14" s="134"/>
      <c r="H14" s="142"/>
      <c r="I14" s="136"/>
      <c r="J14" s="141"/>
      <c r="K14" s="99"/>
      <c r="L14" s="134"/>
      <c r="M14" s="136"/>
      <c r="N14" s="136"/>
      <c r="O14" s="138"/>
      <c r="P14" s="136"/>
      <c r="Q14" s="136"/>
      <c r="R14" s="138"/>
      <c r="S14" s="136"/>
      <c r="T14" s="136"/>
      <c r="U14" s="142"/>
      <c r="V14" s="588"/>
      <c r="W14" s="417">
        <f>H14-P14-U14</f>
        <v>0</v>
      </c>
      <c r="X14" s="417">
        <f>J14-R14-V14</f>
        <v>0</v>
      </c>
      <c r="Y14" s="139"/>
      <c r="AB14" s="668">
        <f>+AB13*26400</f>
        <v>8093976.0000000037</v>
      </c>
    </row>
    <row r="15" spans="1:30" x14ac:dyDescent="0.2">
      <c r="A15" s="622">
        <f t="shared" si="0"/>
        <v>6</v>
      </c>
      <c r="B15" s="143" t="s">
        <v>296</v>
      </c>
      <c r="C15" s="622" t="s">
        <v>289</v>
      </c>
      <c r="D15" s="402">
        <v>582.32000000000005</v>
      </c>
      <c r="E15" s="409"/>
      <c r="F15" s="403"/>
      <c r="G15" s="134"/>
      <c r="H15" s="142">
        <v>240.89999999999998</v>
      </c>
      <c r="I15" s="136">
        <f t="shared" ref="I15:I21" si="1">+J15/H15</f>
        <v>262748.09999999998</v>
      </c>
      <c r="J15" s="682">
        <v>63296017.289999992</v>
      </c>
      <c r="K15" s="136"/>
      <c r="L15" s="134"/>
      <c r="M15" s="136"/>
      <c r="N15" s="136"/>
      <c r="O15" s="138"/>
      <c r="P15" s="136"/>
      <c r="Q15" s="136"/>
      <c r="R15" s="138"/>
      <c r="S15" s="136"/>
      <c r="T15" s="136"/>
      <c r="U15" s="827">
        <f>+H21+H15+H16+H17+H18+H19+H20</f>
        <v>5010.5749999999998</v>
      </c>
      <c r="V15" s="830">
        <f>+J15+J16+J17+J18+J19+J20+J21</f>
        <v>1316519060.8154998</v>
      </c>
      <c r="W15" s="830">
        <f>+H15+H16+H17+H18+H19+H20+H21-U15</f>
        <v>0</v>
      </c>
      <c r="X15" s="830">
        <f>+J15+J16+J17+J18+J19+J20+J21-V15</f>
        <v>0</v>
      </c>
      <c r="Y15" s="139"/>
      <c r="Z15" s="679"/>
      <c r="AB15" s="683">
        <f>+X10-AB14</f>
        <v>-7999784.2438399829</v>
      </c>
    </row>
    <row r="16" spans="1:30" x14ac:dyDescent="0.2">
      <c r="A16" s="622">
        <f t="shared" si="0"/>
        <v>7</v>
      </c>
      <c r="B16" s="143" t="s">
        <v>297</v>
      </c>
      <c r="C16" s="622" t="s">
        <v>289</v>
      </c>
      <c r="D16" s="402">
        <v>1048.17</v>
      </c>
      <c r="E16" s="409">
        <v>0</v>
      </c>
      <c r="F16" s="133"/>
      <c r="G16" s="134">
        <v>0</v>
      </c>
      <c r="H16" s="142">
        <f>49.82+1656.015</f>
        <v>1705.835</v>
      </c>
      <c r="I16" s="136">
        <f t="shared" si="1"/>
        <v>262748.09979951166</v>
      </c>
      <c r="J16" s="684">
        <f>13090110+435114794.8215</f>
        <v>448204904.8215</v>
      </c>
      <c r="K16" s="136"/>
      <c r="L16" s="134"/>
      <c r="M16" s="136"/>
      <c r="N16" s="136"/>
      <c r="O16" s="138"/>
      <c r="P16" s="136"/>
      <c r="Q16" s="136"/>
      <c r="R16" s="138"/>
      <c r="S16" s="136"/>
      <c r="T16" s="136"/>
      <c r="U16" s="828"/>
      <c r="V16" s="831"/>
      <c r="W16" s="831"/>
      <c r="X16" s="831"/>
      <c r="Y16" s="139"/>
    </row>
    <row r="17" spans="1:27" x14ac:dyDescent="0.2">
      <c r="A17" s="622">
        <f t="shared" si="0"/>
        <v>8</v>
      </c>
      <c r="B17" s="143" t="s">
        <v>298</v>
      </c>
      <c r="C17" s="622" t="s">
        <v>289</v>
      </c>
      <c r="D17" s="402">
        <v>2154.58</v>
      </c>
      <c r="E17" s="409"/>
      <c r="F17" s="133"/>
      <c r="G17" s="134"/>
      <c r="H17" s="142">
        <v>1668.0800000000002</v>
      </c>
      <c r="I17" s="136">
        <f t="shared" si="1"/>
        <v>262748.09999999998</v>
      </c>
      <c r="J17" s="684">
        <v>438284850.648</v>
      </c>
      <c r="K17" s="136"/>
      <c r="L17" s="134"/>
      <c r="M17" s="136"/>
      <c r="N17" s="136"/>
      <c r="O17" s="138"/>
      <c r="P17" s="136"/>
      <c r="Q17" s="136"/>
      <c r="R17" s="138"/>
      <c r="S17" s="136"/>
      <c r="T17" s="136"/>
      <c r="U17" s="828"/>
      <c r="V17" s="831"/>
      <c r="W17" s="831"/>
      <c r="X17" s="831"/>
      <c r="Y17" s="139"/>
    </row>
    <row r="18" spans="1:27" x14ac:dyDescent="0.2">
      <c r="A18" s="622">
        <f t="shared" si="0"/>
        <v>9</v>
      </c>
      <c r="B18" s="143" t="s">
        <v>299</v>
      </c>
      <c r="C18" s="622" t="s">
        <v>289</v>
      </c>
      <c r="D18" s="402">
        <v>1746.95</v>
      </c>
      <c r="E18" s="409"/>
      <c r="F18" s="133"/>
      <c r="G18" s="134"/>
      <c r="H18" s="142">
        <v>673.67499999999995</v>
      </c>
      <c r="I18" s="136">
        <f t="shared" si="1"/>
        <v>262748.09999999998</v>
      </c>
      <c r="J18" s="684">
        <v>177006826.26749998</v>
      </c>
      <c r="K18" s="136"/>
      <c r="L18" s="134"/>
      <c r="M18" s="136"/>
      <c r="N18" s="136"/>
      <c r="O18" s="138"/>
      <c r="P18" s="136"/>
      <c r="Q18" s="136"/>
      <c r="R18" s="138"/>
      <c r="S18" s="136"/>
      <c r="T18" s="136"/>
      <c r="U18" s="828"/>
      <c r="V18" s="831"/>
      <c r="W18" s="831"/>
      <c r="X18" s="831"/>
      <c r="Y18" s="139"/>
    </row>
    <row r="19" spans="1:27" x14ac:dyDescent="0.2">
      <c r="A19" s="622">
        <f t="shared" si="0"/>
        <v>10</v>
      </c>
      <c r="B19" s="143" t="s">
        <v>300</v>
      </c>
      <c r="C19" s="622" t="s">
        <v>289</v>
      </c>
      <c r="D19" s="402">
        <v>291.16000000000003</v>
      </c>
      <c r="E19" s="409"/>
      <c r="F19" s="133"/>
      <c r="G19" s="134"/>
      <c r="H19" s="142">
        <v>218.19</v>
      </c>
      <c r="I19" s="136">
        <f t="shared" si="1"/>
        <v>262748.09999999998</v>
      </c>
      <c r="J19" s="684">
        <v>57329007.938999996</v>
      </c>
      <c r="K19" s="99"/>
      <c r="L19" s="134"/>
      <c r="M19" s="136"/>
      <c r="N19" s="136"/>
      <c r="O19" s="138"/>
      <c r="P19" s="136"/>
      <c r="Q19" s="136"/>
      <c r="R19" s="138"/>
      <c r="S19" s="136"/>
      <c r="T19" s="136"/>
      <c r="U19" s="828"/>
      <c r="V19" s="831"/>
      <c r="W19" s="831"/>
      <c r="X19" s="831"/>
      <c r="Y19" s="139"/>
    </row>
    <row r="20" spans="1:27" x14ac:dyDescent="0.2">
      <c r="A20" s="622">
        <f t="shared" si="0"/>
        <v>11</v>
      </c>
      <c r="B20" s="143" t="s">
        <v>301</v>
      </c>
      <c r="C20" s="622" t="s">
        <v>289</v>
      </c>
      <c r="D20" s="402">
        <v>291.16000000000003</v>
      </c>
      <c r="E20" s="409"/>
      <c r="F20" s="133"/>
      <c r="G20" s="134"/>
      <c r="H20" s="142">
        <v>186.685</v>
      </c>
      <c r="I20" s="136">
        <f t="shared" si="1"/>
        <v>262748.09999999998</v>
      </c>
      <c r="J20" s="684">
        <v>49051129.048499994</v>
      </c>
      <c r="K20" s="99"/>
      <c r="L20" s="134"/>
      <c r="M20" s="136"/>
      <c r="N20" s="136"/>
      <c r="O20" s="138"/>
      <c r="P20" s="136"/>
      <c r="Q20" s="136"/>
      <c r="R20" s="138"/>
      <c r="S20" s="136"/>
      <c r="T20" s="136"/>
      <c r="U20" s="828"/>
      <c r="V20" s="831"/>
      <c r="W20" s="831"/>
      <c r="X20" s="831"/>
      <c r="Y20" s="139"/>
    </row>
    <row r="21" spans="1:27" x14ac:dyDescent="0.2">
      <c r="A21" s="622">
        <f t="shared" si="0"/>
        <v>12</v>
      </c>
      <c r="B21" s="143" t="s">
        <v>302</v>
      </c>
      <c r="C21" s="622" t="s">
        <v>289</v>
      </c>
      <c r="D21" s="144">
        <v>291.16000000000003</v>
      </c>
      <c r="E21" s="409"/>
      <c r="F21" s="133"/>
      <c r="G21" s="134"/>
      <c r="H21" s="142">
        <v>317.20999999999998</v>
      </c>
      <c r="I21" s="136">
        <f t="shared" si="1"/>
        <v>262748.09999999998</v>
      </c>
      <c r="J21" s="684">
        <v>83346324.800999984</v>
      </c>
      <c r="K21" s="99"/>
      <c r="L21" s="134"/>
      <c r="M21" s="136"/>
      <c r="N21" s="136"/>
      <c r="O21" s="138"/>
      <c r="P21" s="136"/>
      <c r="Q21" s="136"/>
      <c r="R21" s="138"/>
      <c r="S21" s="136"/>
      <c r="T21" s="136"/>
      <c r="U21" s="829"/>
      <c r="V21" s="832"/>
      <c r="W21" s="832"/>
      <c r="X21" s="832"/>
      <c r="Y21" s="139"/>
    </row>
    <row r="22" spans="1:27" ht="21.6" customHeight="1" x14ac:dyDescent="0.2">
      <c r="A22" s="622">
        <f>A21+1</f>
        <v>13</v>
      </c>
      <c r="B22" s="824" t="s">
        <v>303</v>
      </c>
      <c r="C22" s="825"/>
      <c r="D22" s="826"/>
      <c r="E22" s="409"/>
      <c r="F22" s="99"/>
      <c r="G22" s="134"/>
      <c r="H22" s="142"/>
      <c r="I22" s="136"/>
      <c r="J22" s="141"/>
      <c r="K22" s="99"/>
      <c r="L22" s="134"/>
      <c r="M22" s="136"/>
      <c r="N22" s="136"/>
      <c r="O22" s="138"/>
      <c r="P22" s="136"/>
      <c r="Q22" s="136"/>
      <c r="R22" s="138"/>
      <c r="S22" s="136"/>
      <c r="T22" s="138"/>
      <c r="U22" s="142"/>
      <c r="V22" s="588"/>
      <c r="W22" s="417">
        <f>H22-P22-U22</f>
        <v>0</v>
      </c>
      <c r="X22" s="417">
        <f t="shared" ref="X22:X28" si="2">J22-R22-V22</f>
        <v>0</v>
      </c>
      <c r="Y22" s="139"/>
    </row>
    <row r="23" spans="1:27" ht="22.15" customHeight="1" x14ac:dyDescent="0.2">
      <c r="A23" s="622">
        <f t="shared" si="0"/>
        <v>14</v>
      </c>
      <c r="B23" s="143" t="s">
        <v>304</v>
      </c>
      <c r="C23" s="622" t="s">
        <v>305</v>
      </c>
      <c r="D23" s="144">
        <v>0</v>
      </c>
      <c r="E23" s="685">
        <v>0</v>
      </c>
      <c r="F23" s="136"/>
      <c r="G23" s="134">
        <f>+E23*14200</f>
        <v>0</v>
      </c>
      <c r="H23" s="420">
        <f>JMF!D8</f>
        <v>3697.5</v>
      </c>
      <c r="I23" s="136">
        <v>14200</v>
      </c>
      <c r="J23" s="141">
        <f>3187900+19340400+923000+1455500+1952500+1405800+13979900+9535300+695800</f>
        <v>52476100</v>
      </c>
      <c r="K23" s="686"/>
      <c r="L23" s="134"/>
      <c r="M23" s="134">
        <v>0</v>
      </c>
      <c r="N23" s="136"/>
      <c r="O23" s="138">
        <f>+M23*14200</f>
        <v>0</v>
      </c>
      <c r="P23" s="134">
        <v>62</v>
      </c>
      <c r="Q23" s="136"/>
      <c r="R23" s="138">
        <f>+P23*14200</f>
        <v>880400</v>
      </c>
      <c r="S23" s="134"/>
      <c r="T23" s="138"/>
      <c r="U23" s="142">
        <f>+H23-P23</f>
        <v>3635.5</v>
      </c>
      <c r="V23" s="588">
        <f>+J23-R23</f>
        <v>51595700</v>
      </c>
      <c r="W23" s="417">
        <f>H23-P23-U23</f>
        <v>0</v>
      </c>
      <c r="X23" s="417">
        <f t="shared" si="2"/>
        <v>0</v>
      </c>
      <c r="Y23" s="702">
        <f>U23+P23</f>
        <v>3697.5</v>
      </c>
      <c r="Z23" s="703">
        <f>JMF!D8</f>
        <v>3697.5</v>
      </c>
      <c r="AA23" s="703">
        <f>Y23-Z23</f>
        <v>0</v>
      </c>
    </row>
    <row r="24" spans="1:27" ht="16.899999999999999" customHeight="1" x14ac:dyDescent="0.2">
      <c r="A24" s="622">
        <f t="shared" si="0"/>
        <v>15</v>
      </c>
      <c r="B24" s="143" t="s">
        <v>306</v>
      </c>
      <c r="C24" s="622" t="s">
        <v>305</v>
      </c>
      <c r="D24" s="144">
        <v>0</v>
      </c>
      <c r="E24" s="685">
        <v>0</v>
      </c>
      <c r="F24" s="136"/>
      <c r="G24" s="134">
        <f>+E24*15300</f>
        <v>0</v>
      </c>
      <c r="H24" s="420">
        <f>JMF!D9</f>
        <v>96</v>
      </c>
      <c r="I24" s="136">
        <v>15300</v>
      </c>
      <c r="J24" s="141">
        <f>22950+497250+405450+359550+168300+15300</f>
        <v>1468800</v>
      </c>
      <c r="K24" s="687"/>
      <c r="L24" s="134"/>
      <c r="M24" s="134"/>
      <c r="N24" s="136"/>
      <c r="O24" s="138"/>
      <c r="P24" s="134"/>
      <c r="Q24" s="136"/>
      <c r="R24" s="138"/>
      <c r="S24" s="134"/>
      <c r="T24" s="138"/>
      <c r="U24" s="142">
        <f>+H24-P24</f>
        <v>96</v>
      </c>
      <c r="V24" s="588">
        <f>+J24-R24</f>
        <v>1468800</v>
      </c>
      <c r="W24" s="417">
        <f>H24-P24-U24</f>
        <v>0</v>
      </c>
      <c r="X24" s="417">
        <f t="shared" si="2"/>
        <v>0</v>
      </c>
      <c r="Y24" s="702">
        <f t="shared" ref="Y24:Y28" si="3">U24+P24</f>
        <v>96</v>
      </c>
      <c r="Z24" s="703">
        <f>JMF!D9</f>
        <v>96</v>
      </c>
      <c r="AA24" s="703">
        <f t="shared" ref="AA24:AA28" si="4">Y24-Z24</f>
        <v>0</v>
      </c>
    </row>
    <row r="25" spans="1:27" ht="15.6" customHeight="1" x14ac:dyDescent="0.2">
      <c r="A25" s="622">
        <f t="shared" si="0"/>
        <v>16</v>
      </c>
      <c r="B25" s="143" t="s">
        <v>307</v>
      </c>
      <c r="C25" s="622" t="s">
        <v>305</v>
      </c>
      <c r="D25" s="144">
        <v>0</v>
      </c>
      <c r="E25" s="685">
        <v>0</v>
      </c>
      <c r="F25" s="136"/>
      <c r="G25" s="134">
        <f>+E25*17400</f>
        <v>0</v>
      </c>
      <c r="H25" s="420">
        <f>JMF!D10</f>
        <v>2073.5</v>
      </c>
      <c r="I25" s="136">
        <v>17400</v>
      </c>
      <c r="J25" s="141">
        <f>3497400+10657500+1331100+1418100+2305500+2375100+6829500+6237900+1087500</f>
        <v>35739600</v>
      </c>
      <c r="K25" s="687"/>
      <c r="L25" s="134"/>
      <c r="M25" s="134">
        <v>0</v>
      </c>
      <c r="N25" s="136"/>
      <c r="O25" s="138">
        <f>+M25*17400</f>
        <v>0</v>
      </c>
      <c r="P25" s="134">
        <v>187</v>
      </c>
      <c r="Q25" s="136"/>
      <c r="R25" s="138">
        <f>+P25*17400</f>
        <v>3253800</v>
      </c>
      <c r="S25" s="134"/>
      <c r="T25" s="138"/>
      <c r="U25" s="142">
        <f>+H25-P25</f>
        <v>1886.5</v>
      </c>
      <c r="V25" s="588">
        <f>+J25-R25</f>
        <v>32485800</v>
      </c>
      <c r="W25" s="417">
        <v>0</v>
      </c>
      <c r="X25" s="417">
        <f t="shared" si="2"/>
        <v>0</v>
      </c>
      <c r="Y25" s="702">
        <f t="shared" si="3"/>
        <v>2073.5</v>
      </c>
      <c r="Z25" s="703">
        <f>JMF!D10</f>
        <v>2073.5</v>
      </c>
      <c r="AA25" s="703">
        <f t="shared" si="4"/>
        <v>0</v>
      </c>
    </row>
    <row r="26" spans="1:27" ht="18.600000000000001" customHeight="1" x14ac:dyDescent="0.2">
      <c r="A26" s="622">
        <f t="shared" si="0"/>
        <v>17</v>
      </c>
      <c r="B26" s="143" t="s">
        <v>711</v>
      </c>
      <c r="C26" s="622" t="s">
        <v>305</v>
      </c>
      <c r="D26" s="144"/>
      <c r="E26" s="685">
        <v>0</v>
      </c>
      <c r="F26" s="136"/>
      <c r="G26" s="134">
        <f>+E26*20285</f>
        <v>0</v>
      </c>
      <c r="H26" s="420">
        <f>JMF!D11</f>
        <v>1133</v>
      </c>
      <c r="I26" s="136"/>
      <c r="J26" s="141">
        <f>11613163+4275064+7023681</f>
        <v>22911908</v>
      </c>
      <c r="K26" s="686"/>
      <c r="L26" s="134"/>
      <c r="M26" s="134">
        <v>0</v>
      </c>
      <c r="N26" s="136"/>
      <c r="O26" s="138">
        <v>0</v>
      </c>
      <c r="P26" s="134">
        <f>572.5+210.75+346.25+3.5</f>
        <v>1133</v>
      </c>
      <c r="Q26" s="136"/>
      <c r="R26" s="138">
        <f>11613163+4275064+7023681</f>
        <v>22911908</v>
      </c>
      <c r="S26" s="134"/>
      <c r="T26" s="138"/>
      <c r="U26" s="142">
        <v>0</v>
      </c>
      <c r="V26" s="588">
        <v>0</v>
      </c>
      <c r="W26" s="417">
        <v>0</v>
      </c>
      <c r="X26" s="417">
        <f t="shared" si="2"/>
        <v>0</v>
      </c>
      <c r="Y26" s="702">
        <f t="shared" si="3"/>
        <v>1133</v>
      </c>
      <c r="Z26" s="703">
        <f>JMF!D11</f>
        <v>1133</v>
      </c>
      <c r="AA26" s="703">
        <f t="shared" si="4"/>
        <v>0</v>
      </c>
    </row>
    <row r="27" spans="1:27" s="689" customFormat="1" ht="19.149999999999999" customHeight="1" x14ac:dyDescent="0.2">
      <c r="A27" s="622">
        <f>A25+1</f>
        <v>17</v>
      </c>
      <c r="B27" s="143" t="s">
        <v>308</v>
      </c>
      <c r="C27" s="622" t="s">
        <v>305</v>
      </c>
      <c r="D27" s="144">
        <v>0</v>
      </c>
      <c r="E27" s="680">
        <v>0</v>
      </c>
      <c r="F27" s="136"/>
      <c r="G27" s="134">
        <f>+E27*20100</f>
        <v>0</v>
      </c>
      <c r="H27" s="420">
        <f>JMF!D12</f>
        <v>20723</v>
      </c>
      <c r="I27" s="136">
        <v>20100</v>
      </c>
      <c r="J27" s="141">
        <f>18481950+383296950+3648150+1306500+2422050+3527550+1145700+914550+1768800</f>
        <v>416512200</v>
      </c>
      <c r="K27" s="686"/>
      <c r="L27" s="134"/>
      <c r="M27" s="134">
        <v>0</v>
      </c>
      <c r="N27" s="136"/>
      <c r="O27" s="138">
        <f>+M27*20100</f>
        <v>0</v>
      </c>
      <c r="P27" s="134">
        <v>249.5</v>
      </c>
      <c r="Q27" s="136"/>
      <c r="R27" s="138">
        <f>+P27*20100</f>
        <v>5014950</v>
      </c>
      <c r="S27" s="134"/>
      <c r="T27" s="138"/>
      <c r="U27" s="688">
        <f>+H27-P27</f>
        <v>20473.5</v>
      </c>
      <c r="V27" s="588">
        <f>+J27-R27</f>
        <v>411497250</v>
      </c>
      <c r="W27" s="417">
        <v>0</v>
      </c>
      <c r="X27" s="417">
        <f t="shared" si="2"/>
        <v>0</v>
      </c>
      <c r="Y27" s="702">
        <f t="shared" si="3"/>
        <v>20723</v>
      </c>
      <c r="Z27" s="703">
        <f>JMF!D12</f>
        <v>20723</v>
      </c>
      <c r="AA27" s="703">
        <f t="shared" si="4"/>
        <v>0</v>
      </c>
    </row>
    <row r="28" spans="1:27" ht="19.149999999999999" customHeight="1" x14ac:dyDescent="0.2">
      <c r="A28" s="622">
        <f t="shared" si="0"/>
        <v>18</v>
      </c>
      <c r="B28" s="143" t="s">
        <v>568</v>
      </c>
      <c r="C28" s="622" t="s">
        <v>305</v>
      </c>
      <c r="D28" s="144"/>
      <c r="E28" s="685"/>
      <c r="F28" s="136"/>
      <c r="G28" s="134"/>
      <c r="H28" s="420">
        <f>JMF!D13</f>
        <v>12</v>
      </c>
      <c r="I28" s="136">
        <v>23000</v>
      </c>
      <c r="J28" s="141">
        <v>276000</v>
      </c>
      <c r="K28" s="99"/>
      <c r="L28" s="134"/>
      <c r="M28" s="136">
        <v>0</v>
      </c>
      <c r="N28" s="136"/>
      <c r="O28" s="138"/>
      <c r="P28" s="136"/>
      <c r="Q28" s="136"/>
      <c r="R28" s="138"/>
      <c r="S28" s="136"/>
      <c r="T28" s="136"/>
      <c r="U28" s="142">
        <f>+H28-P28</f>
        <v>12</v>
      </c>
      <c r="V28" s="588">
        <f>+J28-R28</f>
        <v>276000</v>
      </c>
      <c r="W28" s="417">
        <v>0</v>
      </c>
      <c r="X28" s="417">
        <f t="shared" si="2"/>
        <v>0</v>
      </c>
      <c r="Y28" s="702">
        <f t="shared" si="3"/>
        <v>12</v>
      </c>
      <c r="Z28" s="703">
        <f>JMF!D13</f>
        <v>12</v>
      </c>
      <c r="AA28" s="703">
        <f t="shared" si="4"/>
        <v>0</v>
      </c>
    </row>
    <row r="29" spans="1:27" ht="21.6" customHeight="1" x14ac:dyDescent="0.2">
      <c r="A29" s="622">
        <f t="shared" si="0"/>
        <v>19</v>
      </c>
      <c r="B29" s="123" t="s">
        <v>309</v>
      </c>
      <c r="C29" s="622" t="s">
        <v>310</v>
      </c>
      <c r="D29" s="144">
        <v>325</v>
      </c>
      <c r="E29" s="409"/>
      <c r="F29" s="133"/>
      <c r="G29" s="145"/>
      <c r="H29" s="374">
        <v>337</v>
      </c>
      <c r="I29" s="136">
        <v>196903</v>
      </c>
      <c r="J29" s="141">
        <f>H29*I29</f>
        <v>66356311</v>
      </c>
      <c r="K29" s="99"/>
      <c r="L29" s="134"/>
      <c r="M29" s="136">
        <v>0</v>
      </c>
      <c r="N29" s="136">
        <v>0</v>
      </c>
      <c r="O29" s="138">
        <f>+M29*196903</f>
        <v>0</v>
      </c>
      <c r="P29" s="136">
        <f>51+286</f>
        <v>337</v>
      </c>
      <c r="Q29" s="136">
        <v>196903</v>
      </c>
      <c r="R29" s="138">
        <f>10042053+56314258</f>
        <v>66356311</v>
      </c>
      <c r="S29" s="136"/>
      <c r="T29" s="138"/>
      <c r="U29" s="142"/>
      <c r="V29" s="588"/>
      <c r="W29" s="417">
        <f t="shared" ref="W29:W63" si="5">H29-P29-U29</f>
        <v>0</v>
      </c>
      <c r="X29" s="417">
        <f t="shared" ref="X29:X40" si="6">J29-R29-V29</f>
        <v>0</v>
      </c>
      <c r="Y29" s="139"/>
    </row>
    <row r="30" spans="1:27" ht="21.6" customHeight="1" x14ac:dyDescent="0.2">
      <c r="A30" s="622">
        <f t="shared" si="0"/>
        <v>20</v>
      </c>
      <c r="B30" s="123" t="s">
        <v>311</v>
      </c>
      <c r="C30" s="622" t="s">
        <v>310</v>
      </c>
      <c r="D30" s="146">
        <v>379</v>
      </c>
      <c r="E30" s="409"/>
      <c r="F30" s="133"/>
      <c r="G30" s="145"/>
      <c r="H30" s="374">
        <v>472</v>
      </c>
      <c r="I30" s="136">
        <v>238989</v>
      </c>
      <c r="J30" s="141">
        <f>H30*I30</f>
        <v>112802808</v>
      </c>
      <c r="K30" s="99"/>
      <c r="L30" s="134"/>
      <c r="M30" s="136">
        <v>0</v>
      </c>
      <c r="N30" s="136">
        <v>0</v>
      </c>
      <c r="O30" s="138">
        <f>+M30*-238989</f>
        <v>0</v>
      </c>
      <c r="P30" s="136">
        <f>20+377+75-88.57</f>
        <v>383.43</v>
      </c>
      <c r="Q30" s="136">
        <v>238989</v>
      </c>
      <c r="R30" s="138">
        <f>3938060+90098853+18765895-21167255.7</f>
        <v>91635552.299999997</v>
      </c>
      <c r="S30" s="136"/>
      <c r="T30" s="138"/>
      <c r="U30" s="142">
        <v>88.6</v>
      </c>
      <c r="V30" s="588">
        <v>21167255.699999999</v>
      </c>
      <c r="W30" s="417">
        <f t="shared" si="5"/>
        <v>-3.0000000000001137E-2</v>
      </c>
      <c r="X30" s="417">
        <f t="shared" si="6"/>
        <v>0</v>
      </c>
      <c r="Y30" s="571"/>
    </row>
    <row r="31" spans="1:27" ht="21.6" hidden="1" customHeight="1" x14ac:dyDescent="0.2">
      <c r="A31" s="622">
        <f t="shared" si="0"/>
        <v>21</v>
      </c>
      <c r="B31" s="123" t="s">
        <v>548</v>
      </c>
      <c r="C31" s="622" t="s">
        <v>310</v>
      </c>
      <c r="D31" s="146">
        <v>165</v>
      </c>
      <c r="E31" s="409"/>
      <c r="F31" s="133"/>
      <c r="G31" s="145"/>
      <c r="H31" s="374">
        <v>0</v>
      </c>
      <c r="I31" s="136"/>
      <c r="J31" s="141"/>
      <c r="K31" s="99"/>
      <c r="L31" s="134"/>
      <c r="M31" s="136">
        <v>0</v>
      </c>
      <c r="N31" s="136"/>
      <c r="O31" s="138"/>
      <c r="P31" s="136"/>
      <c r="Q31" s="136"/>
      <c r="R31" s="138"/>
      <c r="S31" s="136"/>
      <c r="T31" s="138"/>
      <c r="U31" s="142"/>
      <c r="V31" s="588"/>
      <c r="W31" s="417">
        <f t="shared" si="5"/>
        <v>0</v>
      </c>
      <c r="X31" s="417">
        <f t="shared" si="6"/>
        <v>0</v>
      </c>
      <c r="Y31" s="821"/>
    </row>
    <row r="32" spans="1:27" ht="21.6" hidden="1" customHeight="1" x14ac:dyDescent="0.2">
      <c r="A32" s="622">
        <f t="shared" si="0"/>
        <v>22</v>
      </c>
      <c r="B32" s="123" t="s">
        <v>549</v>
      </c>
      <c r="C32" s="622" t="s">
        <v>310</v>
      </c>
      <c r="D32" s="146">
        <v>164</v>
      </c>
      <c r="E32" s="409"/>
      <c r="F32" s="136"/>
      <c r="G32" s="138"/>
      <c r="H32" s="374">
        <f>38+5-43</f>
        <v>0</v>
      </c>
      <c r="I32" s="136"/>
      <c r="J32" s="138">
        <v>0</v>
      </c>
      <c r="K32" s="99"/>
      <c r="L32" s="134"/>
      <c r="M32" s="136"/>
      <c r="N32" s="136"/>
      <c r="O32" s="138"/>
      <c r="P32" s="136"/>
      <c r="Q32" s="138"/>
      <c r="R32" s="138"/>
      <c r="S32" s="136"/>
      <c r="T32" s="138"/>
      <c r="U32" s="142"/>
      <c r="V32" s="588"/>
      <c r="W32" s="417">
        <f t="shared" si="5"/>
        <v>0</v>
      </c>
      <c r="X32" s="417">
        <f t="shared" si="6"/>
        <v>0</v>
      </c>
      <c r="Y32" s="822"/>
    </row>
    <row r="33" spans="1:28" ht="21.6" hidden="1" customHeight="1" x14ac:dyDescent="0.2">
      <c r="A33" s="622">
        <f t="shared" si="0"/>
        <v>23</v>
      </c>
      <c r="B33" s="123" t="s">
        <v>550</v>
      </c>
      <c r="C33" s="622" t="s">
        <v>310</v>
      </c>
      <c r="D33" s="146">
        <v>240</v>
      </c>
      <c r="E33" s="409"/>
      <c r="F33" s="136"/>
      <c r="G33" s="138"/>
      <c r="H33" s="374">
        <v>0</v>
      </c>
      <c r="I33" s="136"/>
      <c r="J33" s="138">
        <v>0</v>
      </c>
      <c r="K33" s="99"/>
      <c r="L33" s="134"/>
      <c r="M33" s="136"/>
      <c r="N33" s="136"/>
      <c r="O33" s="138"/>
      <c r="P33" s="136"/>
      <c r="Q33" s="138"/>
      <c r="R33" s="138"/>
      <c r="S33" s="136"/>
      <c r="T33" s="138"/>
      <c r="U33" s="142"/>
      <c r="V33" s="588"/>
      <c r="W33" s="417">
        <f t="shared" si="5"/>
        <v>0</v>
      </c>
      <c r="X33" s="417">
        <f t="shared" si="6"/>
        <v>0</v>
      </c>
      <c r="Y33" s="822"/>
    </row>
    <row r="34" spans="1:28" ht="21.6" hidden="1" customHeight="1" x14ac:dyDescent="0.2">
      <c r="A34" s="622">
        <f t="shared" si="0"/>
        <v>24</v>
      </c>
      <c r="B34" s="123" t="s">
        <v>551</v>
      </c>
      <c r="C34" s="622" t="s">
        <v>310</v>
      </c>
      <c r="D34" s="146">
        <v>163</v>
      </c>
      <c r="E34" s="409"/>
      <c r="F34" s="136"/>
      <c r="G34" s="138"/>
      <c r="H34" s="374">
        <v>0</v>
      </c>
      <c r="I34" s="136"/>
      <c r="J34" s="138">
        <v>0</v>
      </c>
      <c r="K34" s="99"/>
      <c r="L34" s="134"/>
      <c r="M34" s="136"/>
      <c r="N34" s="136"/>
      <c r="O34" s="138"/>
      <c r="P34" s="136"/>
      <c r="Q34" s="138"/>
      <c r="R34" s="138"/>
      <c r="S34" s="136"/>
      <c r="T34" s="138"/>
      <c r="U34" s="142"/>
      <c r="V34" s="588"/>
      <c r="W34" s="417">
        <f t="shared" si="5"/>
        <v>0</v>
      </c>
      <c r="X34" s="417">
        <f t="shared" si="6"/>
        <v>0</v>
      </c>
      <c r="Y34" s="822"/>
    </row>
    <row r="35" spans="1:28" ht="21.6" hidden="1" customHeight="1" x14ac:dyDescent="0.2">
      <c r="A35" s="622">
        <f t="shared" si="0"/>
        <v>25</v>
      </c>
      <c r="B35" s="123" t="s">
        <v>552</v>
      </c>
      <c r="C35" s="622" t="s">
        <v>310</v>
      </c>
      <c r="D35" s="146">
        <v>177</v>
      </c>
      <c r="E35" s="409"/>
      <c r="F35" s="136"/>
      <c r="G35" s="393"/>
      <c r="H35" s="374">
        <v>0</v>
      </c>
      <c r="I35" s="136"/>
      <c r="J35" s="138">
        <v>0</v>
      </c>
      <c r="K35" s="99"/>
      <c r="L35" s="134"/>
      <c r="M35" s="136"/>
      <c r="N35" s="393">
        <v>124182.88125000001</v>
      </c>
      <c r="O35" s="393"/>
      <c r="P35" s="136"/>
      <c r="Q35" s="138"/>
      <c r="R35" s="393"/>
      <c r="S35" s="136"/>
      <c r="T35" s="393"/>
      <c r="U35" s="142"/>
      <c r="V35" s="588"/>
      <c r="W35" s="417">
        <f t="shared" si="5"/>
        <v>0</v>
      </c>
      <c r="X35" s="417">
        <f t="shared" si="6"/>
        <v>0</v>
      </c>
      <c r="Y35" s="822"/>
    </row>
    <row r="36" spans="1:28" ht="21.6" hidden="1" customHeight="1" x14ac:dyDescent="0.2">
      <c r="A36" s="622">
        <f t="shared" si="0"/>
        <v>26</v>
      </c>
      <c r="B36" s="123" t="s">
        <v>553</v>
      </c>
      <c r="C36" s="622" t="s">
        <v>310</v>
      </c>
      <c r="D36" s="146">
        <v>45</v>
      </c>
      <c r="E36" s="409"/>
      <c r="F36" s="136"/>
      <c r="G36" s="138"/>
      <c r="H36" s="374">
        <v>0</v>
      </c>
      <c r="I36" s="136"/>
      <c r="J36" s="138">
        <v>0</v>
      </c>
      <c r="K36" s="99"/>
      <c r="L36" s="134"/>
      <c r="M36" s="136"/>
      <c r="N36" s="136"/>
      <c r="O36" s="138"/>
      <c r="P36" s="136"/>
      <c r="Q36" s="138"/>
      <c r="R36" s="138"/>
      <c r="S36" s="136"/>
      <c r="T36" s="138"/>
      <c r="U36" s="142"/>
      <c r="V36" s="588"/>
      <c r="W36" s="417">
        <f t="shared" si="5"/>
        <v>0</v>
      </c>
      <c r="X36" s="417">
        <f t="shared" si="6"/>
        <v>0</v>
      </c>
      <c r="Y36" s="823"/>
    </row>
    <row r="37" spans="1:28" ht="22.15" customHeight="1" x14ac:dyDescent="0.2">
      <c r="A37" s="622">
        <f t="shared" si="0"/>
        <v>27</v>
      </c>
      <c r="B37" s="123" t="s">
        <v>566</v>
      </c>
      <c r="C37" s="622" t="s">
        <v>310</v>
      </c>
      <c r="D37" s="146">
        <v>8</v>
      </c>
      <c r="E37" s="409"/>
      <c r="F37" s="136"/>
      <c r="G37" s="138"/>
      <c r="H37" s="374">
        <v>8</v>
      </c>
      <c r="I37" s="136"/>
      <c r="J37" s="138">
        <v>131000000</v>
      </c>
      <c r="K37" s="133"/>
      <c r="L37" s="134"/>
      <c r="M37" s="136">
        <v>0</v>
      </c>
      <c r="N37" s="136"/>
      <c r="O37" s="393">
        <v>0</v>
      </c>
      <c r="P37" s="136">
        <f>1+6+1</f>
        <v>8</v>
      </c>
      <c r="Q37" s="138"/>
      <c r="R37" s="138">
        <f>98250000+16375000+16375000</f>
        <v>131000000</v>
      </c>
      <c r="S37" s="136"/>
      <c r="T37" s="138"/>
      <c r="U37" s="142"/>
      <c r="V37" s="588"/>
      <c r="W37" s="417">
        <f t="shared" si="5"/>
        <v>0</v>
      </c>
      <c r="X37" s="417">
        <f>J37-R37-V37</f>
        <v>0</v>
      </c>
      <c r="Y37" s="414"/>
    </row>
    <row r="38" spans="1:28" ht="22.15" customHeight="1" x14ac:dyDescent="0.2">
      <c r="A38" s="622">
        <f t="shared" si="0"/>
        <v>28</v>
      </c>
      <c r="B38" s="123" t="s">
        <v>576</v>
      </c>
      <c r="C38" s="622" t="s">
        <v>567</v>
      </c>
      <c r="D38" s="146"/>
      <c r="E38" s="409">
        <v>422.19</v>
      </c>
      <c r="F38" s="136"/>
      <c r="G38" s="136">
        <v>14692000</v>
      </c>
      <c r="H38" s="374">
        <f>1313.64+997.6+599.48+624.32+422.19</f>
        <v>3957.2300000000005</v>
      </c>
      <c r="I38" s="136"/>
      <c r="J38" s="138">
        <f>45696397+34716507.84+20879977.2+21726527+14692000</f>
        <v>137711409.04000002</v>
      </c>
      <c r="K38" s="99">
        <v>422.19</v>
      </c>
      <c r="L38" s="134">
        <v>14692000</v>
      </c>
      <c r="M38" s="136">
        <v>422</v>
      </c>
      <c r="N38" s="136"/>
      <c r="O38" s="393">
        <v>14692000</v>
      </c>
      <c r="P38" s="136">
        <f>997.6+1313.6-120-120+433+1031+422</f>
        <v>3957.2</v>
      </c>
      <c r="Q38" s="138"/>
      <c r="R38" s="138">
        <f>34716508+45696397-4175125-4175125+15076103+35880651+14692000</f>
        <v>137711409</v>
      </c>
      <c r="S38" s="136">
        <v>422</v>
      </c>
      <c r="T38" s="138">
        <v>14692000</v>
      </c>
      <c r="U38" s="142">
        <v>0</v>
      </c>
      <c r="V38" s="588">
        <v>0</v>
      </c>
      <c r="W38" s="417">
        <f>H38-P38-U38</f>
        <v>3.0000000000654836E-2</v>
      </c>
      <c r="X38" s="417">
        <f>J38-R38-V38</f>
        <v>4.0000021457672119E-2</v>
      </c>
      <c r="Y38" s="419"/>
      <c r="Z38" s="679">
        <v>34792.707251644169</v>
      </c>
      <c r="AA38" s="690">
        <f>+Z38*120</f>
        <v>4175124.8701973003</v>
      </c>
      <c r="AB38" s="668">
        <f>15*40</f>
        <v>600</v>
      </c>
    </row>
    <row r="39" spans="1:28" ht="22.15" customHeight="1" x14ac:dyDescent="0.2">
      <c r="A39" s="622">
        <f t="shared" si="0"/>
        <v>29</v>
      </c>
      <c r="B39" s="123" t="s">
        <v>646</v>
      </c>
      <c r="C39" s="622" t="s">
        <v>567</v>
      </c>
      <c r="D39" s="146"/>
      <c r="E39" s="409">
        <v>0</v>
      </c>
      <c r="F39" s="136"/>
      <c r="G39" s="419">
        <v>0</v>
      </c>
      <c r="H39" s="374">
        <v>1414.17</v>
      </c>
      <c r="I39" s="136"/>
      <c r="J39" s="138">
        <v>50372735.399999999</v>
      </c>
      <c r="K39" s="99"/>
      <c r="L39" s="134"/>
      <c r="M39" s="136">
        <v>0</v>
      </c>
      <c r="N39" s="136"/>
      <c r="O39" s="393">
        <v>0</v>
      </c>
      <c r="P39" s="136">
        <v>96.27</v>
      </c>
      <c r="Q39" s="138"/>
      <c r="R39" s="138">
        <v>3429137</v>
      </c>
      <c r="S39" s="136"/>
      <c r="T39" s="138"/>
      <c r="U39" s="142">
        <v>1317.9</v>
      </c>
      <c r="V39" s="588">
        <f>+U39*35620</f>
        <v>46943598</v>
      </c>
      <c r="W39" s="417">
        <f t="shared" si="5"/>
        <v>0</v>
      </c>
      <c r="X39" s="417">
        <f t="shared" si="6"/>
        <v>0.39999999850988388</v>
      </c>
      <c r="Y39" s="451"/>
      <c r="Z39" s="690">
        <f>+Y39*120</f>
        <v>0</v>
      </c>
    </row>
    <row r="40" spans="1:28" ht="22.15" customHeight="1" x14ac:dyDescent="0.2">
      <c r="A40" s="622">
        <f t="shared" si="0"/>
        <v>30</v>
      </c>
      <c r="B40" s="123" t="s">
        <v>787</v>
      </c>
      <c r="C40" s="622" t="s">
        <v>567</v>
      </c>
      <c r="D40" s="146"/>
      <c r="E40" s="409">
        <v>0</v>
      </c>
      <c r="F40" s="136"/>
      <c r="G40" s="419">
        <v>0</v>
      </c>
      <c r="H40" s="374">
        <v>350</v>
      </c>
      <c r="I40" s="136"/>
      <c r="J40" s="138">
        <v>12250000</v>
      </c>
      <c r="K40" s="99"/>
      <c r="L40" s="134"/>
      <c r="M40" s="136">
        <v>0</v>
      </c>
      <c r="N40" s="136"/>
      <c r="O40" s="393">
        <f>+M40*35000</f>
        <v>0</v>
      </c>
      <c r="P40" s="136">
        <f>306+44</f>
        <v>350</v>
      </c>
      <c r="Q40" s="138"/>
      <c r="R40" s="138">
        <f>10710000+1540000</f>
        <v>12250000</v>
      </c>
      <c r="S40" s="136"/>
      <c r="T40" s="138"/>
      <c r="U40" s="142"/>
      <c r="V40" s="588"/>
      <c r="W40" s="417">
        <f t="shared" si="5"/>
        <v>0</v>
      </c>
      <c r="X40" s="417">
        <f t="shared" si="6"/>
        <v>0</v>
      </c>
      <c r="Y40" s="451"/>
      <c r="Z40" s="690"/>
    </row>
    <row r="41" spans="1:28" ht="22.15" customHeight="1" x14ac:dyDescent="0.2">
      <c r="A41" s="622">
        <f t="shared" si="0"/>
        <v>31</v>
      </c>
      <c r="B41" s="123" t="s">
        <v>589</v>
      </c>
      <c r="C41" s="622" t="s">
        <v>590</v>
      </c>
      <c r="D41" s="146"/>
      <c r="E41" s="409">
        <v>0</v>
      </c>
      <c r="F41" s="136"/>
      <c r="G41" s="419"/>
      <c r="H41" s="374">
        <v>45.75</v>
      </c>
      <c r="I41" s="136"/>
      <c r="J41" s="138">
        <v>3435000</v>
      </c>
      <c r="K41" s="99"/>
      <c r="L41" s="134"/>
      <c r="M41" s="136">
        <v>0</v>
      </c>
      <c r="N41" s="136"/>
      <c r="O41" s="393">
        <v>0</v>
      </c>
      <c r="P41" s="136">
        <v>45.75</v>
      </c>
      <c r="Q41" s="138"/>
      <c r="R41" s="138">
        <v>3435000</v>
      </c>
      <c r="S41" s="136"/>
      <c r="T41" s="138"/>
      <c r="U41" s="142"/>
      <c r="V41" s="588"/>
      <c r="W41" s="417">
        <f t="shared" si="5"/>
        <v>0</v>
      </c>
      <c r="X41" s="417">
        <f t="shared" ref="X41:X48" si="7">J41-R41-V41</f>
        <v>0</v>
      </c>
      <c r="Y41" s="451"/>
    </row>
    <row r="42" spans="1:28" ht="22.15" customHeight="1" x14ac:dyDescent="0.2">
      <c r="A42" s="622">
        <f t="shared" si="0"/>
        <v>32</v>
      </c>
      <c r="B42" s="123" t="s">
        <v>577</v>
      </c>
      <c r="C42" s="622" t="s">
        <v>590</v>
      </c>
      <c r="D42" s="146"/>
      <c r="E42" s="409">
        <v>0</v>
      </c>
      <c r="F42" s="136"/>
      <c r="G42" s="419">
        <f>+E42*21475.41</f>
        <v>0</v>
      </c>
      <c r="H42" s="374">
        <f>1891+1952-200+200</f>
        <v>3843</v>
      </c>
      <c r="I42" s="136"/>
      <c r="J42" s="138">
        <f>40610000+41920000-4295082+4295082</f>
        <v>82530000</v>
      </c>
      <c r="K42" s="99"/>
      <c r="L42" s="134"/>
      <c r="M42" s="138">
        <f>2421.38-2413</f>
        <v>8.3800000000001091</v>
      </c>
      <c r="N42" s="136"/>
      <c r="O42" s="667">
        <f>+M42*21475.41</f>
        <v>179963.93580000233</v>
      </c>
      <c r="P42" s="417">
        <f>97.6+976+782+1109-693+141+8.4</f>
        <v>2421</v>
      </c>
      <c r="Q42" s="417"/>
      <c r="R42" s="417">
        <f>2097043.3+20960000+16793419+23815731-14882459.13+3028032.81+179963.94</f>
        <v>51991730.919999994</v>
      </c>
      <c r="S42" s="417">
        <v>8.4</v>
      </c>
      <c r="T42" s="417">
        <v>179963.94</v>
      </c>
      <c r="U42" s="454">
        <v>1127.0953979999999</v>
      </c>
      <c r="V42" s="588">
        <f>+U42*21475.2</f>
        <v>24204599.091129601</v>
      </c>
      <c r="W42" s="417">
        <f>H42-P42-U42</f>
        <v>294.90460200000007</v>
      </c>
      <c r="X42" s="417">
        <f>J42-R42-V42</f>
        <v>6333669.9888704047</v>
      </c>
      <c r="Y42" s="451"/>
      <c r="Z42" s="668">
        <f>500/3.281</f>
        <v>152.39256324291375</v>
      </c>
      <c r="AA42" s="668">
        <f>444/12</f>
        <v>37</v>
      </c>
    </row>
    <row r="43" spans="1:28" ht="22.15" customHeight="1" x14ac:dyDescent="0.2">
      <c r="A43" s="622">
        <f t="shared" si="0"/>
        <v>33</v>
      </c>
      <c r="B43" s="123" t="s">
        <v>725</v>
      </c>
      <c r="C43" s="622" t="s">
        <v>567</v>
      </c>
      <c r="D43" s="146"/>
      <c r="E43" s="409">
        <v>0</v>
      </c>
      <c r="F43" s="136"/>
      <c r="G43" s="419">
        <v>0</v>
      </c>
      <c r="H43" s="374">
        <v>255</v>
      </c>
      <c r="I43" s="136"/>
      <c r="J43" s="138">
        <v>1389622.5</v>
      </c>
      <c r="K43" s="99"/>
      <c r="L43" s="134"/>
      <c r="M43" s="138">
        <v>0</v>
      </c>
      <c r="N43" s="136"/>
      <c r="O43" s="417">
        <v>0</v>
      </c>
      <c r="P43" s="417">
        <v>255</v>
      </c>
      <c r="Q43" s="417"/>
      <c r="R43" s="417">
        <v>1389623</v>
      </c>
      <c r="S43" s="417"/>
      <c r="T43" s="417"/>
      <c r="U43" s="454"/>
      <c r="V43" s="588"/>
      <c r="W43" s="417">
        <f t="shared" si="5"/>
        <v>0</v>
      </c>
      <c r="X43" s="417">
        <f>J43-R43-V43</f>
        <v>-0.5</v>
      </c>
      <c r="Y43" s="451"/>
    </row>
    <row r="44" spans="1:28" ht="22.15" customHeight="1" x14ac:dyDescent="0.2">
      <c r="A44" s="622">
        <f>A42+1</f>
        <v>33</v>
      </c>
      <c r="B44" s="123" t="s">
        <v>614</v>
      </c>
      <c r="C44" s="622" t="s">
        <v>590</v>
      </c>
      <c r="D44" s="146"/>
      <c r="E44" s="409">
        <v>0</v>
      </c>
      <c r="F44" s="136"/>
      <c r="G44" s="419"/>
      <c r="H44" s="374">
        <v>671</v>
      </c>
      <c r="I44" s="136"/>
      <c r="J44" s="419">
        <f>+H44*3475.21</f>
        <v>2331865.91</v>
      </c>
      <c r="K44" s="374"/>
      <c r="L44" s="393"/>
      <c r="M44" s="138">
        <f>347.455-336</f>
        <v>11.454999999999984</v>
      </c>
      <c r="N44" s="136"/>
      <c r="O44" s="417">
        <f>+M44*3475.21</f>
        <v>39808.530549999945</v>
      </c>
      <c r="P44" s="417">
        <f>671-335.5+11.5</f>
        <v>347</v>
      </c>
      <c r="Q44" s="417"/>
      <c r="R44" s="417">
        <f>2331865.9-1165933+39809</f>
        <v>1205741.8999999999</v>
      </c>
      <c r="S44" s="667">
        <v>11.5</v>
      </c>
      <c r="T44" s="417">
        <v>39809</v>
      </c>
      <c r="U44" s="454">
        <v>0</v>
      </c>
      <c r="V44" s="588">
        <v>0</v>
      </c>
      <c r="W44" s="417">
        <f t="shared" si="5"/>
        <v>324</v>
      </c>
      <c r="X44" s="417">
        <f t="shared" si="7"/>
        <v>1126124.0100000002</v>
      </c>
      <c r="Y44" s="451"/>
    </row>
    <row r="45" spans="1:28" ht="22.15" customHeight="1" x14ac:dyDescent="0.2">
      <c r="A45" s="622">
        <f t="shared" si="0"/>
        <v>34</v>
      </c>
      <c r="B45" s="123" t="s">
        <v>615</v>
      </c>
      <c r="C45" s="622" t="s">
        <v>567</v>
      </c>
      <c r="D45" s="146"/>
      <c r="E45" s="409">
        <v>0</v>
      </c>
      <c r="F45" s="136"/>
      <c r="G45" s="419"/>
      <c r="H45" s="374">
        <v>1600</v>
      </c>
      <c r="I45" s="136"/>
      <c r="J45" s="138">
        <f>+H45*650</f>
        <v>1040000</v>
      </c>
      <c r="K45" s="99"/>
      <c r="L45" s="134"/>
      <c r="M45" s="138">
        <v>0</v>
      </c>
      <c r="N45" s="136"/>
      <c r="O45" s="417">
        <v>0</v>
      </c>
      <c r="P45" s="417">
        <v>1600</v>
      </c>
      <c r="Q45" s="417"/>
      <c r="R45" s="417">
        <v>1040000</v>
      </c>
      <c r="S45" s="417"/>
      <c r="T45" s="417"/>
      <c r="U45" s="454"/>
      <c r="V45" s="588"/>
      <c r="W45" s="417">
        <f t="shared" si="5"/>
        <v>0</v>
      </c>
      <c r="X45" s="417">
        <f t="shared" si="7"/>
        <v>0</v>
      </c>
      <c r="Y45" s="451"/>
    </row>
    <row r="46" spans="1:28" ht="22.15" customHeight="1" x14ac:dyDescent="0.2">
      <c r="A46" s="622">
        <f t="shared" si="0"/>
        <v>35</v>
      </c>
      <c r="B46" s="123" t="s">
        <v>781</v>
      </c>
      <c r="C46" s="622" t="s">
        <v>567</v>
      </c>
      <c r="D46" s="146"/>
      <c r="E46" s="409">
        <v>0</v>
      </c>
      <c r="F46" s="136"/>
      <c r="G46" s="419">
        <v>0</v>
      </c>
      <c r="H46" s="374">
        <v>120</v>
      </c>
      <c r="I46" s="136"/>
      <c r="J46" s="138">
        <v>60000</v>
      </c>
      <c r="K46" s="99"/>
      <c r="L46" s="134"/>
      <c r="M46" s="138">
        <v>0</v>
      </c>
      <c r="N46" s="136"/>
      <c r="O46" s="417">
        <v>0</v>
      </c>
      <c r="P46" s="417">
        <v>120</v>
      </c>
      <c r="Q46" s="417"/>
      <c r="R46" s="417">
        <v>60000</v>
      </c>
      <c r="S46" s="417"/>
      <c r="T46" s="417"/>
      <c r="U46" s="454"/>
      <c r="V46" s="588"/>
      <c r="W46" s="417">
        <f t="shared" si="5"/>
        <v>0</v>
      </c>
      <c r="X46" s="417">
        <f t="shared" si="7"/>
        <v>0</v>
      </c>
      <c r="Y46" s="451"/>
    </row>
    <row r="47" spans="1:28" ht="22.15" customHeight="1" x14ac:dyDescent="0.2">
      <c r="A47" s="622">
        <f t="shared" si="0"/>
        <v>36</v>
      </c>
      <c r="B47" s="123" t="s">
        <v>578</v>
      </c>
      <c r="C47" s="622" t="s">
        <v>289</v>
      </c>
      <c r="D47" s="146"/>
      <c r="E47" s="409">
        <f>-2270.3-500-500-932.6+500</f>
        <v>-3702.9000000000005</v>
      </c>
      <c r="F47" s="136">
        <v>13000</v>
      </c>
      <c r="G47" s="393">
        <f>+E47*12503</f>
        <v>-46297358.70000001</v>
      </c>
      <c r="H47" s="374">
        <f>5162+1478+14591.24+491.72+10187.04+11930+6123.18-4915.72+8069.54+2365.53-1027.63-500-2270.3-500-500-932.6+500</f>
        <v>50252</v>
      </c>
      <c r="I47" s="136"/>
      <c r="J47" s="138">
        <f>76558120+548139552-61461247+100893459+29576222-12848457.89-6251500-46297359</f>
        <v>628308789.11000001</v>
      </c>
      <c r="K47" s="409">
        <f>+E47</f>
        <v>-3702.9000000000005</v>
      </c>
      <c r="L47" s="393">
        <f>+G47</f>
        <v>-46297358.70000001</v>
      </c>
      <c r="M47" s="409">
        <f>-4202.9+500</f>
        <v>-3702.8999999999996</v>
      </c>
      <c r="N47" s="136"/>
      <c r="O47" s="393">
        <f>+M47*12503</f>
        <v>-46297358.699999996</v>
      </c>
      <c r="P47" s="417">
        <f>5162+1478+14591.2+491.8+10187+11930+6123.18-4916+8070+2365.53-1027.63-500-4202.9+500</f>
        <v>50252.18</v>
      </c>
      <c r="Q47" s="417"/>
      <c r="R47" s="417">
        <f>70811000+18829000+170230378+6392360+9618854+2172296+130394112+139552+139552000+76558120-61461247+100893459+29576222-12848457.89-6251500-46297359</f>
        <v>628308789.11000001</v>
      </c>
      <c r="S47" s="409">
        <f>+M47</f>
        <v>-3702.8999999999996</v>
      </c>
      <c r="T47" s="393">
        <f>+O47</f>
        <v>-46297358.699999996</v>
      </c>
      <c r="U47" s="514"/>
      <c r="V47" s="588"/>
      <c r="W47" s="417">
        <f t="shared" si="5"/>
        <v>-0.18000000000029104</v>
      </c>
      <c r="X47" s="417">
        <f>J47-R47-V47</f>
        <v>0</v>
      </c>
      <c r="Y47" s="451">
        <f>+R47/P47</f>
        <v>12503.115071027765</v>
      </c>
      <c r="Z47" s="691">
        <f>6000*Y47</f>
        <v>75018690.426166594</v>
      </c>
    </row>
    <row r="48" spans="1:28" ht="22.15" customHeight="1" x14ac:dyDescent="0.2">
      <c r="A48" s="622">
        <f t="shared" si="0"/>
        <v>37</v>
      </c>
      <c r="B48" s="123" t="s">
        <v>503</v>
      </c>
      <c r="C48" s="622" t="s">
        <v>289</v>
      </c>
      <c r="D48" s="393"/>
      <c r="E48" s="409">
        <f>23171-24584.92</f>
        <v>-1413.9199999999983</v>
      </c>
      <c r="F48" s="136">
        <f>+J48/H48</f>
        <v>13200.023952354235</v>
      </c>
      <c r="G48" s="393">
        <f>+E48*13200</f>
        <v>-18663743.999999978</v>
      </c>
      <c r="H48" s="374">
        <f>10785+575.76+2953.01+8186.23+754+1330.92-1413.92</f>
        <v>23171</v>
      </c>
      <c r="I48" s="136"/>
      <c r="J48" s="393">
        <f>7772760+142189800+38979706+108058236+9952800+17568197-18663744</f>
        <v>305857755</v>
      </c>
      <c r="K48" s="409">
        <v>-1413.92</v>
      </c>
      <c r="L48" s="393">
        <v>-18663744</v>
      </c>
      <c r="M48" s="409">
        <v>-1413.92</v>
      </c>
      <c r="N48" s="136"/>
      <c r="O48" s="393">
        <v>-18663744</v>
      </c>
      <c r="P48" s="417">
        <f>10785+575.8+2953+8186+754+1330.92-1413.92</f>
        <v>23170.800000000003</v>
      </c>
      <c r="Q48" s="417"/>
      <c r="R48" s="393">
        <f>142189800+7772760+38979706+108058236+9952800+17568197-18663744</f>
        <v>305857755</v>
      </c>
      <c r="S48" s="409">
        <v>-1413.92</v>
      </c>
      <c r="T48" s="393">
        <v>-18663744</v>
      </c>
      <c r="U48" s="454"/>
      <c r="V48" s="588"/>
      <c r="W48" s="417">
        <f t="shared" si="5"/>
        <v>0.19999999999708962</v>
      </c>
      <c r="X48" s="417">
        <f t="shared" si="7"/>
        <v>0</v>
      </c>
      <c r="Y48" s="451">
        <f>+R48/P48</f>
        <v>13200.137889067273</v>
      </c>
      <c r="Z48" s="679">
        <f>3000*Y48</f>
        <v>39600413.667201817</v>
      </c>
      <c r="AB48" s="690">
        <f>600*13200</f>
        <v>7920000</v>
      </c>
    </row>
    <row r="49" spans="1:27" ht="22.15" customHeight="1" x14ac:dyDescent="0.2">
      <c r="A49" s="622">
        <f t="shared" si="0"/>
        <v>38</v>
      </c>
      <c r="B49" s="123" t="s">
        <v>798</v>
      </c>
      <c r="C49" s="622" t="s">
        <v>310</v>
      </c>
      <c r="D49" s="146"/>
      <c r="E49" s="409">
        <v>0</v>
      </c>
      <c r="F49" s="136"/>
      <c r="G49" s="138">
        <v>0</v>
      </c>
      <c r="H49" s="374">
        <v>500</v>
      </c>
      <c r="I49" s="136"/>
      <c r="J49" s="138">
        <v>7150000</v>
      </c>
      <c r="K49" s="374"/>
      <c r="L49" s="393"/>
      <c r="M49" s="138">
        <v>0</v>
      </c>
      <c r="N49" s="136"/>
      <c r="O49" s="417">
        <f>+M49*14300</f>
        <v>0</v>
      </c>
      <c r="P49" s="417">
        <f>89+80</f>
        <v>169</v>
      </c>
      <c r="Q49" s="417"/>
      <c r="R49" s="417">
        <f>1272700+1144000</f>
        <v>2416700</v>
      </c>
      <c r="S49" s="417"/>
      <c r="T49" s="417"/>
      <c r="U49" s="454"/>
      <c r="V49" s="588"/>
      <c r="W49" s="417">
        <f>H49-P49-U49</f>
        <v>331</v>
      </c>
      <c r="X49" s="417">
        <f>J49-R49-V49</f>
        <v>4733300</v>
      </c>
      <c r="Y49" s="414"/>
    </row>
    <row r="50" spans="1:27" ht="22.15" customHeight="1" x14ac:dyDescent="0.2">
      <c r="A50" s="622">
        <v>37</v>
      </c>
      <c r="B50" s="123" t="s">
        <v>714</v>
      </c>
      <c r="C50" s="622" t="s">
        <v>310</v>
      </c>
      <c r="D50" s="146"/>
      <c r="E50" s="409">
        <v>0</v>
      </c>
      <c r="F50" s="136"/>
      <c r="G50" s="138">
        <v>0</v>
      </c>
      <c r="H50" s="409">
        <f>140+52+60</f>
        <v>252</v>
      </c>
      <c r="I50" s="136"/>
      <c r="J50" s="138">
        <f>9924040+3596320+4253160</f>
        <v>17773520</v>
      </c>
      <c r="K50" s="409"/>
      <c r="L50" s="138"/>
      <c r="M50" s="138">
        <v>0</v>
      </c>
      <c r="N50" s="136"/>
      <c r="O50" s="417">
        <v>0</v>
      </c>
      <c r="P50" s="417">
        <f>50+102</f>
        <v>152</v>
      </c>
      <c r="Q50" s="417"/>
      <c r="R50" s="417">
        <v>10720534</v>
      </c>
      <c r="S50" s="417"/>
      <c r="T50" s="417"/>
      <c r="U50" s="454">
        <v>0</v>
      </c>
      <c r="V50" s="588">
        <v>0</v>
      </c>
      <c r="W50" s="417">
        <f>H50-P50-U50</f>
        <v>100</v>
      </c>
      <c r="X50" s="417">
        <f>J50-R50-V50</f>
        <v>7052986</v>
      </c>
      <c r="Y50" s="570"/>
      <c r="Z50" s="690">
        <f>50*70529.8</f>
        <v>3526490</v>
      </c>
    </row>
    <row r="51" spans="1:27" ht="22.15" customHeight="1" x14ac:dyDescent="0.2">
      <c r="A51" s="622">
        <f>+A50+1</f>
        <v>38</v>
      </c>
      <c r="B51" s="123" t="s">
        <v>585</v>
      </c>
      <c r="C51" s="622" t="s">
        <v>588</v>
      </c>
      <c r="D51" s="146"/>
      <c r="E51" s="409">
        <v>0</v>
      </c>
      <c r="F51" s="136"/>
      <c r="G51" s="138">
        <v>0</v>
      </c>
      <c r="H51" s="374">
        <f>6183-583</f>
        <v>5600</v>
      </c>
      <c r="I51" s="136"/>
      <c r="J51" s="138">
        <f>2504115-236115</f>
        <v>2268000</v>
      </c>
      <c r="K51" s="374"/>
      <c r="L51" s="138"/>
      <c r="M51" s="138"/>
      <c r="N51" s="136"/>
      <c r="O51" s="138"/>
      <c r="P51" s="417">
        <f>3920+2263-583</f>
        <v>5600</v>
      </c>
      <c r="Q51" s="417"/>
      <c r="R51" s="417">
        <f>1587600+916515-236115</f>
        <v>2268000</v>
      </c>
      <c r="S51" s="417"/>
      <c r="T51" s="417"/>
      <c r="U51" s="454">
        <v>0</v>
      </c>
      <c r="V51" s="588">
        <v>0</v>
      </c>
      <c r="W51" s="417">
        <f t="shared" si="5"/>
        <v>0</v>
      </c>
      <c r="X51" s="417">
        <f t="shared" ref="X51:X87" si="8">J51-R51-V51</f>
        <v>0</v>
      </c>
      <c r="Y51" s="606"/>
    </row>
    <row r="52" spans="1:27" ht="22.15" customHeight="1" x14ac:dyDescent="0.2">
      <c r="A52" s="622">
        <f t="shared" ref="A52:A91" si="9">+A51+1</f>
        <v>39</v>
      </c>
      <c r="B52" s="123" t="s">
        <v>586</v>
      </c>
      <c r="C52" s="622" t="s">
        <v>588</v>
      </c>
      <c r="D52" s="146"/>
      <c r="E52" s="409">
        <v>0</v>
      </c>
      <c r="F52" s="136"/>
      <c r="G52" s="138">
        <v>0</v>
      </c>
      <c r="H52" s="374">
        <v>2550</v>
      </c>
      <c r="I52" s="136"/>
      <c r="J52" s="138">
        <f>2054000+228250</f>
        <v>2282250</v>
      </c>
      <c r="K52" s="374"/>
      <c r="L52" s="138"/>
      <c r="M52" s="138">
        <v>0</v>
      </c>
      <c r="N52" s="136"/>
      <c r="O52" s="138">
        <v>0</v>
      </c>
      <c r="P52" s="417">
        <f>2550</f>
        <v>2550</v>
      </c>
      <c r="Q52" s="417"/>
      <c r="R52" s="417">
        <f>2054000+228250</f>
        <v>2282250</v>
      </c>
      <c r="S52" s="417"/>
      <c r="T52" s="417"/>
      <c r="U52" s="454">
        <v>0</v>
      </c>
      <c r="V52" s="588">
        <v>0</v>
      </c>
      <c r="W52" s="417">
        <f t="shared" si="5"/>
        <v>0</v>
      </c>
      <c r="X52" s="417">
        <f t="shared" si="8"/>
        <v>0</v>
      </c>
      <c r="Y52" s="414"/>
    </row>
    <row r="53" spans="1:27" ht="22.15" customHeight="1" x14ac:dyDescent="0.2">
      <c r="A53" s="622">
        <f t="shared" si="9"/>
        <v>40</v>
      </c>
      <c r="B53" s="123" t="s">
        <v>726</v>
      </c>
      <c r="C53" s="622" t="s">
        <v>567</v>
      </c>
      <c r="D53" s="146"/>
      <c r="E53" s="409">
        <v>0</v>
      </c>
      <c r="F53" s="136"/>
      <c r="G53" s="138">
        <v>0</v>
      </c>
      <c r="H53" s="374">
        <v>390</v>
      </c>
      <c r="I53" s="136"/>
      <c r="J53" s="138">
        <v>202858.5</v>
      </c>
      <c r="K53" s="374"/>
      <c r="L53" s="138"/>
      <c r="M53" s="138">
        <v>0</v>
      </c>
      <c r="N53" s="136"/>
      <c r="O53" s="138">
        <v>0</v>
      </c>
      <c r="P53" s="417">
        <v>390</v>
      </c>
      <c r="Q53" s="417"/>
      <c r="R53" s="417">
        <v>202858.5</v>
      </c>
      <c r="S53" s="417"/>
      <c r="T53" s="417"/>
      <c r="U53" s="454"/>
      <c r="V53" s="588"/>
      <c r="W53" s="417">
        <f t="shared" si="5"/>
        <v>0</v>
      </c>
      <c r="X53" s="417">
        <f t="shared" si="8"/>
        <v>0</v>
      </c>
      <c r="Y53" s="414"/>
    </row>
    <row r="54" spans="1:27" ht="22.15" customHeight="1" x14ac:dyDescent="0.2">
      <c r="A54" s="622">
        <f>+A52+1</f>
        <v>40</v>
      </c>
      <c r="B54" s="123" t="s">
        <v>587</v>
      </c>
      <c r="C54" s="622" t="s">
        <v>588</v>
      </c>
      <c r="D54" s="146"/>
      <c r="E54" s="409">
        <v>0</v>
      </c>
      <c r="F54" s="136"/>
      <c r="G54" s="138">
        <v>0</v>
      </c>
      <c r="H54" s="374">
        <v>2332</v>
      </c>
      <c r="I54" s="136"/>
      <c r="J54" s="138">
        <f>2087540+3183180</f>
        <v>5270720</v>
      </c>
      <c r="K54" s="374"/>
      <c r="L54" s="138"/>
      <c r="M54" s="138">
        <v>130</v>
      </c>
      <c r="N54" s="136"/>
      <c r="O54" s="138">
        <v>293100</v>
      </c>
      <c r="P54" s="417">
        <f>2332-923.69+794+130</f>
        <v>2332.31</v>
      </c>
      <c r="Q54" s="417"/>
      <c r="R54" s="417">
        <f>3183180+1794440+293100</f>
        <v>5270720</v>
      </c>
      <c r="S54" s="417">
        <v>130</v>
      </c>
      <c r="T54" s="417">
        <v>293100</v>
      </c>
      <c r="U54" s="454">
        <v>0</v>
      </c>
      <c r="V54" s="588">
        <v>0</v>
      </c>
      <c r="W54" s="417">
        <f t="shared" si="5"/>
        <v>-0.30999999999994543</v>
      </c>
      <c r="X54" s="417">
        <f>J54-R54-V54</f>
        <v>0</v>
      </c>
      <c r="Y54" s="570"/>
    </row>
    <row r="55" spans="1:27" ht="22.15" customHeight="1" x14ac:dyDescent="0.2">
      <c r="A55" s="622">
        <f t="shared" si="9"/>
        <v>41</v>
      </c>
      <c r="B55" s="123" t="s">
        <v>647</v>
      </c>
      <c r="C55" s="622" t="s">
        <v>648</v>
      </c>
      <c r="D55" s="146"/>
      <c r="E55" s="409">
        <v>0</v>
      </c>
      <c r="F55" s="136"/>
      <c r="G55" s="138">
        <v>0</v>
      </c>
      <c r="H55" s="374">
        <v>15331</v>
      </c>
      <c r="I55" s="136"/>
      <c r="J55" s="138">
        <v>10808355</v>
      </c>
      <c r="K55" s="374"/>
      <c r="L55" s="374"/>
      <c r="M55" s="138">
        <v>0</v>
      </c>
      <c r="N55" s="136"/>
      <c r="O55" s="138">
        <f>+M55*705</f>
        <v>0</v>
      </c>
      <c r="P55" s="417">
        <f>1261+2839+4528.4+2956+591</f>
        <v>12175.4</v>
      </c>
      <c r="Q55" s="417"/>
      <c r="R55" s="417">
        <f>2001495+889005+3192505.1+2083698+416665</f>
        <v>8583368.0999999996</v>
      </c>
      <c r="S55" s="417"/>
      <c r="T55" s="417"/>
      <c r="U55" s="454"/>
      <c r="V55" s="588"/>
      <c r="W55" s="417">
        <f t="shared" si="5"/>
        <v>3155.6000000000004</v>
      </c>
      <c r="X55" s="417">
        <f>J55-R55-V55</f>
        <v>2224986.9000000004</v>
      </c>
      <c r="Y55" s="606"/>
      <c r="Z55" s="691">
        <f>591*705</f>
        <v>416655</v>
      </c>
      <c r="AA55" s="691">
        <f>+Y55*Z55</f>
        <v>0</v>
      </c>
    </row>
    <row r="56" spans="1:27" ht="22.15" customHeight="1" x14ac:dyDescent="0.2">
      <c r="A56" s="622">
        <f t="shared" si="9"/>
        <v>42</v>
      </c>
      <c r="B56" s="686" t="s">
        <v>669</v>
      </c>
      <c r="C56" s="622" t="s">
        <v>590</v>
      </c>
      <c r="D56" s="146"/>
      <c r="E56" s="409">
        <v>0</v>
      </c>
      <c r="F56" s="136"/>
      <c r="G56" s="138">
        <v>0</v>
      </c>
      <c r="H56" s="374">
        <v>1912</v>
      </c>
      <c r="I56" s="136"/>
      <c r="J56" s="138">
        <v>2351760</v>
      </c>
      <c r="K56" s="374"/>
      <c r="L56" s="374"/>
      <c r="M56" s="138">
        <v>0</v>
      </c>
      <c r="N56" s="136"/>
      <c r="O56" s="138">
        <v>0</v>
      </c>
      <c r="P56" s="417">
        <v>1912</v>
      </c>
      <c r="Q56" s="417"/>
      <c r="R56" s="417">
        <v>2351760</v>
      </c>
      <c r="S56" s="417"/>
      <c r="T56" s="417"/>
      <c r="U56" s="454"/>
      <c r="V56" s="588"/>
      <c r="W56" s="417">
        <f t="shared" si="5"/>
        <v>0</v>
      </c>
      <c r="X56" s="417">
        <f>J56-R56-V56</f>
        <v>0</v>
      </c>
      <c r="Y56" s="414"/>
      <c r="AA56" s="668">
        <v>2083698</v>
      </c>
    </row>
    <row r="57" spans="1:27" ht="22.15" customHeight="1" x14ac:dyDescent="0.2">
      <c r="A57" s="622">
        <f t="shared" si="9"/>
        <v>43</v>
      </c>
      <c r="B57" s="123" t="s">
        <v>649</v>
      </c>
      <c r="C57" s="622" t="s">
        <v>648</v>
      </c>
      <c r="D57" s="146"/>
      <c r="E57" s="409">
        <v>0</v>
      </c>
      <c r="F57" s="136"/>
      <c r="G57" s="138">
        <v>0</v>
      </c>
      <c r="H57" s="374">
        <v>5736</v>
      </c>
      <c r="I57" s="136"/>
      <c r="J57" s="138">
        <v>1778160</v>
      </c>
      <c r="K57" s="374"/>
      <c r="L57" s="374"/>
      <c r="M57" s="138">
        <v>0</v>
      </c>
      <c r="N57" s="136"/>
      <c r="O57" s="138">
        <v>0</v>
      </c>
      <c r="P57" s="417">
        <f>5736-5736</f>
        <v>0</v>
      </c>
      <c r="Q57" s="417"/>
      <c r="R57" s="417">
        <f>1778160-1778160</f>
        <v>0</v>
      </c>
      <c r="S57" s="417"/>
      <c r="T57" s="417"/>
      <c r="U57" s="454"/>
      <c r="V57" s="588"/>
      <c r="W57" s="417">
        <f t="shared" si="5"/>
        <v>5736</v>
      </c>
      <c r="X57" s="417">
        <f>J57-R57-V57</f>
        <v>1778160</v>
      </c>
      <c r="Y57" s="414"/>
    </row>
    <row r="58" spans="1:27" ht="22.15" customHeight="1" x14ac:dyDescent="0.2">
      <c r="A58" s="622">
        <f t="shared" si="9"/>
        <v>44</v>
      </c>
      <c r="B58" s="123" t="s">
        <v>786</v>
      </c>
      <c r="C58" s="622" t="s">
        <v>310</v>
      </c>
      <c r="D58" s="146"/>
      <c r="E58" s="409">
        <v>0</v>
      </c>
      <c r="F58" s="136"/>
      <c r="G58" s="138">
        <v>0</v>
      </c>
      <c r="H58" s="374">
        <v>4</v>
      </c>
      <c r="I58" s="136"/>
      <c r="J58" s="138">
        <v>3600000</v>
      </c>
      <c r="K58" s="374"/>
      <c r="L58" s="138"/>
      <c r="M58" s="138">
        <v>0</v>
      </c>
      <c r="N58" s="136"/>
      <c r="O58" s="138">
        <v>0</v>
      </c>
      <c r="P58" s="417">
        <v>4</v>
      </c>
      <c r="Q58" s="417"/>
      <c r="R58" s="138">
        <v>3600000</v>
      </c>
      <c r="S58" s="417"/>
      <c r="T58" s="138"/>
      <c r="U58" s="454"/>
      <c r="V58" s="588"/>
      <c r="W58" s="417">
        <f t="shared" si="5"/>
        <v>0</v>
      </c>
      <c r="X58" s="417">
        <f t="shared" si="8"/>
        <v>0</v>
      </c>
      <c r="Y58" s="414"/>
    </row>
    <row r="59" spans="1:27" ht="22.15" customHeight="1" x14ac:dyDescent="0.2">
      <c r="A59" s="622">
        <f t="shared" si="9"/>
        <v>45</v>
      </c>
      <c r="B59" s="123" t="s">
        <v>736</v>
      </c>
      <c r="C59" s="622"/>
      <c r="D59" s="146"/>
      <c r="E59" s="409">
        <v>0</v>
      </c>
      <c r="F59" s="136"/>
      <c r="G59" s="138">
        <v>0</v>
      </c>
      <c r="H59" s="374">
        <v>3</v>
      </c>
      <c r="I59" s="136"/>
      <c r="J59" s="138">
        <v>2655000</v>
      </c>
      <c r="K59" s="374"/>
      <c r="L59" s="138"/>
      <c r="M59" s="138">
        <v>0</v>
      </c>
      <c r="N59" s="136"/>
      <c r="O59" s="138">
        <v>0</v>
      </c>
      <c r="P59" s="417">
        <v>3</v>
      </c>
      <c r="Q59" s="417"/>
      <c r="R59" s="138">
        <v>2655000</v>
      </c>
      <c r="S59" s="417"/>
      <c r="T59" s="138"/>
      <c r="U59" s="454"/>
      <c r="V59" s="588"/>
      <c r="W59" s="417">
        <f t="shared" si="5"/>
        <v>0</v>
      </c>
      <c r="X59" s="417">
        <f t="shared" si="8"/>
        <v>0</v>
      </c>
      <c r="Y59" s="414"/>
    </row>
    <row r="60" spans="1:27" ht="25.9" customHeight="1" x14ac:dyDescent="0.2">
      <c r="A60" s="622">
        <f t="shared" si="9"/>
        <v>46</v>
      </c>
      <c r="B60" s="123" t="s">
        <v>650</v>
      </c>
      <c r="C60" s="622" t="s">
        <v>310</v>
      </c>
      <c r="D60" s="146"/>
      <c r="E60" s="409">
        <v>0</v>
      </c>
      <c r="F60" s="136"/>
      <c r="G60" s="138">
        <v>0</v>
      </c>
      <c r="H60" s="374">
        <v>1</v>
      </c>
      <c r="I60" s="136"/>
      <c r="J60" s="138">
        <v>236000</v>
      </c>
      <c r="K60" s="374"/>
      <c r="L60" s="138"/>
      <c r="M60" s="138">
        <v>0</v>
      </c>
      <c r="N60" s="136"/>
      <c r="O60" s="138">
        <v>0</v>
      </c>
      <c r="P60" s="417">
        <v>1</v>
      </c>
      <c r="Q60" s="417"/>
      <c r="R60" s="417">
        <v>236000</v>
      </c>
      <c r="S60" s="417"/>
      <c r="T60" s="417"/>
      <c r="U60" s="454"/>
      <c r="V60" s="588"/>
      <c r="W60" s="417">
        <f t="shared" si="5"/>
        <v>0</v>
      </c>
      <c r="X60" s="417">
        <f t="shared" si="8"/>
        <v>0</v>
      </c>
      <c r="Y60" s="414"/>
    </row>
    <row r="61" spans="1:27" ht="25.9" customHeight="1" x14ac:dyDescent="0.2">
      <c r="A61" s="622">
        <f t="shared" si="9"/>
        <v>47</v>
      </c>
      <c r="B61" s="123" t="s">
        <v>782</v>
      </c>
      <c r="C61" s="622" t="s">
        <v>310</v>
      </c>
      <c r="D61" s="146"/>
      <c r="E61" s="409">
        <v>0</v>
      </c>
      <c r="F61" s="136"/>
      <c r="G61" s="138">
        <v>0</v>
      </c>
      <c r="H61" s="374">
        <v>200</v>
      </c>
      <c r="I61" s="136"/>
      <c r="J61" s="138">
        <v>59620</v>
      </c>
      <c r="K61" s="374"/>
      <c r="L61" s="138"/>
      <c r="M61" s="138">
        <v>0</v>
      </c>
      <c r="N61" s="136"/>
      <c r="O61" s="138">
        <v>0</v>
      </c>
      <c r="P61" s="417">
        <v>200</v>
      </c>
      <c r="Q61" s="417"/>
      <c r="R61" s="417">
        <v>59620</v>
      </c>
      <c r="S61" s="417"/>
      <c r="T61" s="417"/>
      <c r="U61" s="454"/>
      <c r="V61" s="588"/>
      <c r="W61" s="417">
        <f t="shared" si="5"/>
        <v>0</v>
      </c>
      <c r="X61" s="417">
        <f t="shared" si="8"/>
        <v>0</v>
      </c>
      <c r="Y61" s="414"/>
    </row>
    <row r="62" spans="1:27" ht="22.15" customHeight="1" x14ac:dyDescent="0.2">
      <c r="A62" s="622">
        <f t="shared" si="9"/>
        <v>48</v>
      </c>
      <c r="B62" s="123" t="s">
        <v>651</v>
      </c>
      <c r="C62" s="622" t="s">
        <v>310</v>
      </c>
      <c r="D62" s="146"/>
      <c r="E62" s="409">
        <v>0</v>
      </c>
      <c r="F62" s="136"/>
      <c r="G62" s="138">
        <v>0</v>
      </c>
      <c r="H62" s="374">
        <v>1</v>
      </c>
      <c r="I62" s="136"/>
      <c r="J62" s="138">
        <v>4240000</v>
      </c>
      <c r="K62" s="374"/>
      <c r="L62" s="138"/>
      <c r="M62" s="138">
        <v>0</v>
      </c>
      <c r="N62" s="136"/>
      <c r="O62" s="138">
        <v>0</v>
      </c>
      <c r="P62" s="417">
        <v>1</v>
      </c>
      <c r="Q62" s="417"/>
      <c r="R62" s="138">
        <v>4240000</v>
      </c>
      <c r="S62" s="417"/>
      <c r="T62" s="138"/>
      <c r="U62" s="454"/>
      <c r="V62" s="588"/>
      <c r="W62" s="417">
        <f t="shared" si="5"/>
        <v>0</v>
      </c>
      <c r="X62" s="417">
        <f t="shared" si="8"/>
        <v>0</v>
      </c>
      <c r="Y62" s="414"/>
    </row>
    <row r="63" spans="1:27" ht="22.15" customHeight="1" x14ac:dyDescent="0.2">
      <c r="A63" s="622">
        <f t="shared" si="9"/>
        <v>49</v>
      </c>
      <c r="B63" s="123" t="s">
        <v>652</v>
      </c>
      <c r="C63" s="622" t="s">
        <v>310</v>
      </c>
      <c r="D63" s="146"/>
      <c r="E63" s="409">
        <v>0</v>
      </c>
      <c r="F63" s="136"/>
      <c r="G63" s="138">
        <v>0</v>
      </c>
      <c r="H63" s="374">
        <v>1</v>
      </c>
      <c r="I63" s="136"/>
      <c r="J63" s="138">
        <v>3250000</v>
      </c>
      <c r="K63" s="374"/>
      <c r="L63" s="138"/>
      <c r="M63" s="138">
        <v>0</v>
      </c>
      <c r="N63" s="136"/>
      <c r="O63" s="138">
        <v>0</v>
      </c>
      <c r="P63" s="417">
        <v>1</v>
      </c>
      <c r="Q63" s="417"/>
      <c r="R63" s="138">
        <v>3250000</v>
      </c>
      <c r="S63" s="417"/>
      <c r="T63" s="138"/>
      <c r="U63" s="454"/>
      <c r="V63" s="588"/>
      <c r="W63" s="417">
        <f t="shared" si="5"/>
        <v>0</v>
      </c>
      <c r="X63" s="417">
        <f t="shared" si="8"/>
        <v>0</v>
      </c>
      <c r="Y63" s="414"/>
    </row>
    <row r="64" spans="1:27" ht="22.15" customHeight="1" x14ac:dyDescent="0.2">
      <c r="A64" s="622">
        <f t="shared" si="9"/>
        <v>50</v>
      </c>
      <c r="B64" s="123" t="s">
        <v>737</v>
      </c>
      <c r="C64" s="622" t="s">
        <v>310</v>
      </c>
      <c r="D64" s="146"/>
      <c r="E64" s="409">
        <v>0</v>
      </c>
      <c r="F64" s="136"/>
      <c r="G64" s="138">
        <v>0</v>
      </c>
      <c r="H64" s="374">
        <v>4</v>
      </c>
      <c r="I64" s="136"/>
      <c r="J64" s="138">
        <v>3400000</v>
      </c>
      <c r="K64" s="374"/>
      <c r="L64" s="138"/>
      <c r="M64" s="138">
        <v>0</v>
      </c>
      <c r="N64" s="136"/>
      <c r="O64" s="138">
        <f>+M64*850000</f>
        <v>0</v>
      </c>
      <c r="P64" s="417">
        <f>3+1</f>
        <v>4</v>
      </c>
      <c r="Q64" s="417"/>
      <c r="R64" s="138">
        <f>850000+2550000</f>
        <v>3400000</v>
      </c>
      <c r="S64" s="417"/>
      <c r="T64" s="138"/>
      <c r="U64" s="454"/>
      <c r="V64" s="588"/>
      <c r="W64" s="417">
        <f t="shared" ref="W64:W87" si="10">H64-P64-U64</f>
        <v>0</v>
      </c>
      <c r="X64" s="417">
        <f t="shared" si="8"/>
        <v>0</v>
      </c>
      <c r="Y64" s="606"/>
    </row>
    <row r="65" spans="1:25" ht="30" customHeight="1" x14ac:dyDescent="0.2">
      <c r="A65" s="622">
        <f t="shared" si="9"/>
        <v>51</v>
      </c>
      <c r="B65" s="686" t="s">
        <v>670</v>
      </c>
      <c r="C65" s="692" t="s">
        <v>310</v>
      </c>
      <c r="D65" s="146"/>
      <c r="E65" s="680">
        <v>0</v>
      </c>
      <c r="F65" s="136"/>
      <c r="G65" s="138"/>
      <c r="H65" s="686">
        <v>210</v>
      </c>
      <c r="I65" s="136"/>
      <c r="J65" s="138">
        <v>6693521.0999999996</v>
      </c>
      <c r="K65" s="374"/>
      <c r="L65" s="138"/>
      <c r="M65" s="138">
        <v>0</v>
      </c>
      <c r="N65" s="136"/>
      <c r="O65" s="138">
        <v>0</v>
      </c>
      <c r="P65" s="138">
        <f>176-134+168</f>
        <v>210</v>
      </c>
      <c r="Q65" s="417"/>
      <c r="R65" s="138">
        <f>5609824-4271041+5354738</f>
        <v>6693521</v>
      </c>
      <c r="S65" s="417"/>
      <c r="T65" s="138"/>
      <c r="U65" s="454"/>
      <c r="V65" s="588"/>
      <c r="W65" s="417">
        <f t="shared" si="10"/>
        <v>0</v>
      </c>
      <c r="X65" s="417">
        <f t="shared" si="8"/>
        <v>9.999999962747097E-2</v>
      </c>
      <c r="Y65" s="570"/>
    </row>
    <row r="66" spans="1:25" ht="30" customHeight="1" x14ac:dyDescent="0.2">
      <c r="A66" s="622">
        <f t="shared" si="9"/>
        <v>52</v>
      </c>
      <c r="B66" s="686" t="s">
        <v>671</v>
      </c>
      <c r="C66" s="692" t="s">
        <v>310</v>
      </c>
      <c r="D66" s="146"/>
      <c r="E66" s="680">
        <v>0</v>
      </c>
      <c r="F66" s="136"/>
      <c r="G66" s="138">
        <v>0</v>
      </c>
      <c r="H66" s="686">
        <f>20+18</f>
        <v>38</v>
      </c>
      <c r="I66" s="136"/>
      <c r="J66" s="138">
        <f>660378.4+594340.56</f>
        <v>1254718.96</v>
      </c>
      <c r="K66" s="374"/>
      <c r="L66" s="138"/>
      <c r="M66" s="138">
        <v>0</v>
      </c>
      <c r="N66" s="136"/>
      <c r="O66" s="138">
        <f>+M66*33018.92</f>
        <v>0</v>
      </c>
      <c r="P66" s="417">
        <f>20+18</f>
        <v>38</v>
      </c>
      <c r="Q66" s="417"/>
      <c r="R66" s="138">
        <f>660378.4+594340.6</f>
        <v>1254719</v>
      </c>
      <c r="S66" s="417"/>
      <c r="T66" s="138"/>
      <c r="U66" s="454"/>
      <c r="V66" s="588"/>
      <c r="W66" s="417">
        <f t="shared" si="10"/>
        <v>0</v>
      </c>
      <c r="X66" s="417">
        <f t="shared" si="8"/>
        <v>-4.0000000037252903E-2</v>
      </c>
      <c r="Y66" s="570"/>
    </row>
    <row r="67" spans="1:25" ht="30" customHeight="1" x14ac:dyDescent="0.2">
      <c r="A67" s="622">
        <f t="shared" si="9"/>
        <v>53</v>
      </c>
      <c r="B67" s="686" t="s">
        <v>672</v>
      </c>
      <c r="C67" s="692" t="s">
        <v>310</v>
      </c>
      <c r="D67" s="146"/>
      <c r="E67" s="680">
        <v>0</v>
      </c>
      <c r="F67" s="136"/>
      <c r="G67" s="138">
        <v>0</v>
      </c>
      <c r="H67" s="686">
        <f>39+93</f>
        <v>132</v>
      </c>
      <c r="I67" s="136"/>
      <c r="J67" s="138">
        <f>1441291.8+3436926.6</f>
        <v>4878218.4000000004</v>
      </c>
      <c r="K67" s="374"/>
      <c r="L67" s="138"/>
      <c r="M67" s="138">
        <v>0</v>
      </c>
      <c r="N67" s="136"/>
      <c r="O67" s="138">
        <f>+M67*36956.2</f>
        <v>0</v>
      </c>
      <c r="P67" s="417">
        <f>43+89</f>
        <v>132</v>
      </c>
      <c r="Q67" s="417"/>
      <c r="R67" s="138">
        <f>1589116.6+3289101.8</f>
        <v>4878218.4000000004</v>
      </c>
      <c r="S67" s="417"/>
      <c r="T67" s="138"/>
      <c r="U67" s="454"/>
      <c r="V67" s="588"/>
      <c r="W67" s="417">
        <f t="shared" si="10"/>
        <v>0</v>
      </c>
      <c r="X67" s="417">
        <f t="shared" si="8"/>
        <v>0</v>
      </c>
      <c r="Y67" s="570"/>
    </row>
    <row r="68" spans="1:25" ht="30" customHeight="1" x14ac:dyDescent="0.2">
      <c r="A68" s="622">
        <f t="shared" si="9"/>
        <v>54</v>
      </c>
      <c r="B68" s="686" t="s">
        <v>673</v>
      </c>
      <c r="C68" s="692" t="s">
        <v>674</v>
      </c>
      <c r="D68" s="146"/>
      <c r="E68" s="680">
        <v>0</v>
      </c>
      <c r="F68" s="136"/>
      <c r="G68" s="138"/>
      <c r="H68" s="693">
        <v>750</v>
      </c>
      <c r="I68" s="136"/>
      <c r="J68" s="138">
        <v>494325.6</v>
      </c>
      <c r="K68" s="374"/>
      <c r="L68" s="138"/>
      <c r="M68" s="138">
        <v>0</v>
      </c>
      <c r="N68" s="136">
        <f>+J68/H68</f>
        <v>659.10079999999994</v>
      </c>
      <c r="O68" s="138">
        <v>0</v>
      </c>
      <c r="P68" s="417">
        <f>150+600</f>
        <v>750</v>
      </c>
      <c r="Q68" s="417"/>
      <c r="R68" s="138">
        <f>98865+395460.48</f>
        <v>494325.48</v>
      </c>
      <c r="S68" s="417"/>
      <c r="T68" s="138"/>
      <c r="U68" s="454"/>
      <c r="V68" s="588"/>
      <c r="W68" s="417">
        <f t="shared" si="10"/>
        <v>0</v>
      </c>
      <c r="X68" s="417">
        <f t="shared" si="8"/>
        <v>0.11999999999534339</v>
      </c>
      <c r="Y68" s="414"/>
    </row>
    <row r="69" spans="1:25" ht="30" customHeight="1" x14ac:dyDescent="0.2">
      <c r="A69" s="622">
        <f t="shared" si="9"/>
        <v>55</v>
      </c>
      <c r="B69" s="686" t="s">
        <v>675</v>
      </c>
      <c r="C69" s="692" t="s">
        <v>674</v>
      </c>
      <c r="D69" s="146"/>
      <c r="E69" s="680">
        <v>0</v>
      </c>
      <c r="F69" s="136"/>
      <c r="G69" s="138"/>
      <c r="H69" s="693">
        <f>8104+8396</f>
        <v>16500</v>
      </c>
      <c r="I69" s="136"/>
      <c r="J69" s="138">
        <f>4169824.1+4320069.444</f>
        <v>8489893.5439999998</v>
      </c>
      <c r="K69" s="374"/>
      <c r="L69" s="138"/>
      <c r="M69" s="138">
        <f>14839-12965</f>
        <v>1874</v>
      </c>
      <c r="N69" s="136">
        <f>+J69/H69</f>
        <v>514.53900266666665</v>
      </c>
      <c r="O69" s="138">
        <f>+M69*514.61</f>
        <v>964379.14</v>
      </c>
      <c r="P69" s="417">
        <f>6716.8+6248+1874</f>
        <v>14838.8</v>
      </c>
      <c r="Q69" s="417"/>
      <c r="R69" s="138">
        <f>3456055.5552+3214596+964379.1</f>
        <v>7635030.655199999</v>
      </c>
      <c r="S69" s="417">
        <v>1874</v>
      </c>
      <c r="T69" s="138">
        <v>964379.1</v>
      </c>
      <c r="U69" s="454"/>
      <c r="V69" s="588"/>
      <c r="W69" s="417">
        <f t="shared" si="10"/>
        <v>1661.2000000000007</v>
      </c>
      <c r="X69" s="417">
        <f t="shared" si="8"/>
        <v>854862.88880000077</v>
      </c>
      <c r="Y69" s="570">
        <f>+X69/W69</f>
        <v>514.60563977847369</v>
      </c>
    </row>
    <row r="70" spans="1:25" ht="30" customHeight="1" x14ac:dyDescent="0.2">
      <c r="A70" s="622">
        <f t="shared" si="9"/>
        <v>56</v>
      </c>
      <c r="B70" s="686" t="s">
        <v>738</v>
      </c>
      <c r="C70" s="692" t="s">
        <v>674</v>
      </c>
      <c r="D70" s="146"/>
      <c r="E70" s="680">
        <v>0</v>
      </c>
      <c r="F70" s="136"/>
      <c r="G70" s="138">
        <v>0</v>
      </c>
      <c r="H70" s="693">
        <v>2000</v>
      </c>
      <c r="I70" s="136"/>
      <c r="J70" s="138">
        <v>3452400</v>
      </c>
      <c r="K70" s="374"/>
      <c r="L70" s="138"/>
      <c r="M70" s="138">
        <v>0</v>
      </c>
      <c r="N70" s="136"/>
      <c r="O70" s="138"/>
      <c r="P70" s="417"/>
      <c r="Q70" s="417"/>
      <c r="R70" s="138"/>
      <c r="S70" s="417"/>
      <c r="T70" s="138"/>
      <c r="U70" s="454"/>
      <c r="V70" s="588"/>
      <c r="W70" s="417">
        <f t="shared" si="10"/>
        <v>2000</v>
      </c>
      <c r="X70" s="417">
        <f t="shared" si="8"/>
        <v>3452400</v>
      </c>
      <c r="Y70" s="414"/>
    </row>
    <row r="71" spans="1:25" ht="30" customHeight="1" x14ac:dyDescent="0.2">
      <c r="A71" s="622">
        <f t="shared" si="9"/>
        <v>57</v>
      </c>
      <c r="B71" s="686" t="s">
        <v>739</v>
      </c>
      <c r="C71" s="692" t="s">
        <v>674</v>
      </c>
      <c r="D71" s="146"/>
      <c r="E71" s="680">
        <v>0</v>
      </c>
      <c r="F71" s="136"/>
      <c r="G71" s="138">
        <v>0</v>
      </c>
      <c r="H71" s="693">
        <v>90</v>
      </c>
      <c r="I71" s="136"/>
      <c r="J71" s="138">
        <v>181244</v>
      </c>
      <c r="K71" s="374"/>
      <c r="L71" s="138"/>
      <c r="M71" s="138">
        <v>90</v>
      </c>
      <c r="N71" s="136"/>
      <c r="O71" s="138">
        <v>181244</v>
      </c>
      <c r="P71" s="417">
        <v>90</v>
      </c>
      <c r="Q71" s="417"/>
      <c r="R71" s="138">
        <v>181244</v>
      </c>
      <c r="S71" s="417">
        <v>90</v>
      </c>
      <c r="T71" s="138">
        <v>181244</v>
      </c>
      <c r="U71" s="454"/>
      <c r="V71" s="588"/>
      <c r="W71" s="417">
        <f t="shared" si="10"/>
        <v>0</v>
      </c>
      <c r="X71" s="417">
        <f t="shared" si="8"/>
        <v>0</v>
      </c>
      <c r="Y71" s="414"/>
    </row>
    <row r="72" spans="1:25" ht="30" customHeight="1" x14ac:dyDescent="0.2">
      <c r="A72" s="622">
        <f t="shared" si="9"/>
        <v>58</v>
      </c>
      <c r="B72" s="686" t="s">
        <v>676</v>
      </c>
      <c r="C72" s="692" t="s">
        <v>674</v>
      </c>
      <c r="D72" s="146"/>
      <c r="E72" s="680">
        <v>0</v>
      </c>
      <c r="F72" s="136"/>
      <c r="G72" s="138">
        <v>0</v>
      </c>
      <c r="H72" s="693">
        <f>8200+9300</f>
        <v>17500</v>
      </c>
      <c r="I72" s="136"/>
      <c r="J72" s="138">
        <f>756372.9+857837.58</f>
        <v>1614210.48</v>
      </c>
      <c r="K72" s="374"/>
      <c r="L72" s="138"/>
      <c r="M72" s="138">
        <f>14839-13499</f>
        <v>1340</v>
      </c>
      <c r="N72" s="136">
        <f t="shared" ref="N72:N77" si="11">+J72/H72</f>
        <v>92.240598857142857</v>
      </c>
      <c r="O72" s="138">
        <f>+M72*92.2</f>
        <v>123548</v>
      </c>
      <c r="P72" s="417">
        <f>5979+7440+80+1340</f>
        <v>14839</v>
      </c>
      <c r="Q72" s="417"/>
      <c r="R72" s="138">
        <f>686270.064+551263.8+7376+123548</f>
        <v>1368457.8640000001</v>
      </c>
      <c r="S72" s="417">
        <v>1340</v>
      </c>
      <c r="T72" s="138">
        <v>123548</v>
      </c>
      <c r="U72" s="454"/>
      <c r="V72" s="588"/>
      <c r="W72" s="417">
        <f t="shared" si="10"/>
        <v>2661</v>
      </c>
      <c r="X72" s="417">
        <f t="shared" si="8"/>
        <v>245752.61599999992</v>
      </c>
      <c r="Y72" s="414"/>
    </row>
    <row r="73" spans="1:25" ht="30" customHeight="1" x14ac:dyDescent="0.2">
      <c r="A73" s="622">
        <f t="shared" si="9"/>
        <v>59</v>
      </c>
      <c r="B73" s="686" t="s">
        <v>677</v>
      </c>
      <c r="C73" s="692" t="s">
        <v>674</v>
      </c>
      <c r="D73" s="146"/>
      <c r="E73" s="680">
        <v>0</v>
      </c>
      <c r="F73" s="136"/>
      <c r="G73" s="138">
        <v>0</v>
      </c>
      <c r="H73" s="693">
        <f>12770+12500</f>
        <v>25270</v>
      </c>
      <c r="I73" s="136"/>
      <c r="J73" s="138">
        <f>1035363.5+1013472.5</f>
        <v>2048836</v>
      </c>
      <c r="K73" s="374"/>
      <c r="L73" s="138"/>
      <c r="M73" s="138">
        <v>3240</v>
      </c>
      <c r="N73" s="136">
        <f t="shared" si="11"/>
        <v>81.077799762564311</v>
      </c>
      <c r="O73" s="138">
        <v>272049</v>
      </c>
      <c r="P73" s="417">
        <f>10000+92+11938+3240</f>
        <v>25270</v>
      </c>
      <c r="Q73" s="417"/>
      <c r="R73" s="138">
        <f>7387.6+810778+958621.4+272049</f>
        <v>2048836</v>
      </c>
      <c r="S73" s="417">
        <v>3240</v>
      </c>
      <c r="T73" s="138">
        <v>272049</v>
      </c>
      <c r="U73" s="454"/>
      <c r="V73" s="588"/>
      <c r="W73" s="417">
        <f t="shared" si="10"/>
        <v>0</v>
      </c>
      <c r="X73" s="417">
        <f t="shared" si="8"/>
        <v>0</v>
      </c>
      <c r="Y73" s="570"/>
    </row>
    <row r="74" spans="1:25" ht="30" customHeight="1" x14ac:dyDescent="0.2">
      <c r="A74" s="622">
        <f t="shared" si="9"/>
        <v>60</v>
      </c>
      <c r="B74" s="686" t="s">
        <v>678</v>
      </c>
      <c r="C74" s="692" t="s">
        <v>674</v>
      </c>
      <c r="D74" s="146"/>
      <c r="E74" s="680">
        <v>0</v>
      </c>
      <c r="F74" s="136"/>
      <c r="G74" s="138">
        <v>0</v>
      </c>
      <c r="H74" s="693">
        <v>1000</v>
      </c>
      <c r="I74" s="136"/>
      <c r="J74" s="138">
        <v>9127677.5999999996</v>
      </c>
      <c r="K74" s="374"/>
      <c r="L74" s="138"/>
      <c r="M74" s="138">
        <v>0</v>
      </c>
      <c r="N74" s="136">
        <f t="shared" si="11"/>
        <v>9127.6775999999991</v>
      </c>
      <c r="O74" s="138">
        <f>+M74*9127.7</f>
        <v>0</v>
      </c>
      <c r="P74" s="138">
        <f>1000-600+172</f>
        <v>572</v>
      </c>
      <c r="Q74" s="417"/>
      <c r="R74" s="138">
        <f>4563838.8+4563838.8-5476620+1569964.4</f>
        <v>5221022</v>
      </c>
      <c r="S74" s="417"/>
      <c r="T74" s="138"/>
      <c r="U74" s="454"/>
      <c r="V74" s="588"/>
      <c r="W74" s="417">
        <f t="shared" si="10"/>
        <v>428</v>
      </c>
      <c r="X74" s="417">
        <f t="shared" si="8"/>
        <v>3906655.5999999996</v>
      </c>
      <c r="Y74" s="570"/>
    </row>
    <row r="75" spans="1:25" ht="30" customHeight="1" x14ac:dyDescent="0.2">
      <c r="A75" s="622">
        <f t="shared" si="9"/>
        <v>61</v>
      </c>
      <c r="B75" s="686" t="s">
        <v>679</v>
      </c>
      <c r="C75" s="692" t="s">
        <v>674</v>
      </c>
      <c r="D75" s="146"/>
      <c r="E75" s="680">
        <v>0</v>
      </c>
      <c r="F75" s="136"/>
      <c r="G75" s="138"/>
      <c r="H75" s="693">
        <v>375</v>
      </c>
      <c r="I75" s="136"/>
      <c r="J75" s="138">
        <v>1335022.5</v>
      </c>
      <c r="K75" s="374"/>
      <c r="L75" s="138"/>
      <c r="M75" s="138">
        <v>0</v>
      </c>
      <c r="N75" s="136">
        <f t="shared" si="11"/>
        <v>3560.06</v>
      </c>
      <c r="O75" s="138">
        <v>0</v>
      </c>
      <c r="P75" s="417">
        <f>75+300</f>
        <v>375</v>
      </c>
      <c r="Q75" s="417"/>
      <c r="R75" s="138">
        <f>267004.5+1068018</f>
        <v>1335022.5</v>
      </c>
      <c r="S75" s="417"/>
      <c r="T75" s="138"/>
      <c r="U75" s="454"/>
      <c r="V75" s="588"/>
      <c r="W75" s="417">
        <f t="shared" si="10"/>
        <v>0</v>
      </c>
      <c r="X75" s="417">
        <f t="shared" si="8"/>
        <v>0</v>
      </c>
      <c r="Y75" s="414"/>
    </row>
    <row r="76" spans="1:25" ht="30" customHeight="1" x14ac:dyDescent="0.2">
      <c r="A76" s="622">
        <f t="shared" si="9"/>
        <v>62</v>
      </c>
      <c r="B76" s="686" t="s">
        <v>680</v>
      </c>
      <c r="C76" s="692" t="s">
        <v>674</v>
      </c>
      <c r="D76" s="146"/>
      <c r="E76" s="680">
        <v>0</v>
      </c>
      <c r="F76" s="136"/>
      <c r="G76" s="138"/>
      <c r="H76" s="693">
        <v>160</v>
      </c>
      <c r="I76" s="136"/>
      <c r="J76" s="138">
        <v>717815.71199999994</v>
      </c>
      <c r="K76" s="374"/>
      <c r="L76" s="138"/>
      <c r="M76" s="138">
        <v>0</v>
      </c>
      <c r="N76" s="136">
        <f t="shared" si="11"/>
        <v>4486.3481999999995</v>
      </c>
      <c r="O76" s="138">
        <v>0</v>
      </c>
      <c r="P76" s="417">
        <f>32+128</f>
        <v>160</v>
      </c>
      <c r="Q76" s="417"/>
      <c r="R76" s="138">
        <f>574252.5696+143563.1</f>
        <v>717815.66960000002</v>
      </c>
      <c r="S76" s="417"/>
      <c r="T76" s="138"/>
      <c r="U76" s="454"/>
      <c r="V76" s="588"/>
      <c r="W76" s="417">
        <f t="shared" si="10"/>
        <v>0</v>
      </c>
      <c r="X76" s="417">
        <f t="shared" si="8"/>
        <v>4.2399999918416142E-2</v>
      </c>
      <c r="Y76" s="414"/>
    </row>
    <row r="77" spans="1:25" ht="30" customHeight="1" x14ac:dyDescent="0.2">
      <c r="A77" s="622">
        <f t="shared" si="9"/>
        <v>63</v>
      </c>
      <c r="B77" s="686" t="s">
        <v>681</v>
      </c>
      <c r="C77" s="692" t="s">
        <v>674</v>
      </c>
      <c r="D77" s="146"/>
      <c r="E77" s="680">
        <v>0</v>
      </c>
      <c r="F77" s="136"/>
      <c r="G77" s="138"/>
      <c r="H77" s="693">
        <v>280</v>
      </c>
      <c r="I77" s="136"/>
      <c r="J77" s="138">
        <v>561825.37600000005</v>
      </c>
      <c r="K77" s="374"/>
      <c r="L77" s="138"/>
      <c r="M77" s="138">
        <v>0</v>
      </c>
      <c r="N77" s="136">
        <f t="shared" si="11"/>
        <v>2006.5192000000002</v>
      </c>
      <c r="O77" s="138">
        <v>0</v>
      </c>
      <c r="P77" s="417">
        <f>56+224</f>
        <v>280</v>
      </c>
      <c r="Q77" s="417"/>
      <c r="R77" s="138">
        <f>112365.1+449460.3008</f>
        <v>561825.40080000006</v>
      </c>
      <c r="S77" s="417"/>
      <c r="T77" s="138"/>
      <c r="U77" s="454"/>
      <c r="V77" s="588"/>
      <c r="W77" s="417">
        <f t="shared" si="10"/>
        <v>0</v>
      </c>
      <c r="X77" s="417">
        <f t="shared" si="8"/>
        <v>-2.4800000013783574E-2</v>
      </c>
      <c r="Y77" s="414"/>
    </row>
    <row r="78" spans="1:25" ht="30" customHeight="1" x14ac:dyDescent="0.2">
      <c r="A78" s="622">
        <f t="shared" si="9"/>
        <v>64</v>
      </c>
      <c r="B78" s="686" t="s">
        <v>792</v>
      </c>
      <c r="C78" s="692" t="s">
        <v>795</v>
      </c>
      <c r="D78" s="146"/>
      <c r="E78" s="680">
        <v>0</v>
      </c>
      <c r="F78" s="136"/>
      <c r="G78" s="138">
        <v>0</v>
      </c>
      <c r="H78" s="693">
        <v>18</v>
      </c>
      <c r="I78" s="136"/>
      <c r="J78" s="138">
        <v>81846</v>
      </c>
      <c r="K78" s="374"/>
      <c r="L78" s="138"/>
      <c r="M78" s="138">
        <v>0</v>
      </c>
      <c r="N78" s="136"/>
      <c r="O78" s="138">
        <v>0</v>
      </c>
      <c r="P78" s="138">
        <v>18</v>
      </c>
      <c r="Q78" s="417"/>
      <c r="R78" s="138">
        <v>81846</v>
      </c>
      <c r="S78" s="417"/>
      <c r="T78" s="138"/>
      <c r="U78" s="454"/>
      <c r="V78" s="588"/>
      <c r="W78" s="417">
        <f t="shared" ref="W78:W80" si="12">H78-P78-U78</f>
        <v>0</v>
      </c>
      <c r="X78" s="417">
        <f t="shared" ref="X78:X80" si="13">J78-R78-V78</f>
        <v>0</v>
      </c>
      <c r="Y78" s="414"/>
    </row>
    <row r="79" spans="1:25" ht="30" customHeight="1" x14ac:dyDescent="0.2">
      <c r="A79" s="622">
        <f t="shared" si="9"/>
        <v>65</v>
      </c>
      <c r="B79" s="686" t="s">
        <v>793</v>
      </c>
      <c r="C79" s="692" t="s">
        <v>795</v>
      </c>
      <c r="D79" s="146"/>
      <c r="E79" s="680">
        <v>0</v>
      </c>
      <c r="F79" s="136"/>
      <c r="G79" s="138">
        <v>0</v>
      </c>
      <c r="H79" s="693">
        <v>9</v>
      </c>
      <c r="I79" s="136"/>
      <c r="J79" s="138">
        <v>140382</v>
      </c>
      <c r="K79" s="374"/>
      <c r="L79" s="138"/>
      <c r="M79" s="138">
        <v>0</v>
      </c>
      <c r="N79" s="136"/>
      <c r="O79" s="138">
        <v>0</v>
      </c>
      <c r="P79" s="138">
        <v>9</v>
      </c>
      <c r="Q79" s="417"/>
      <c r="R79" s="138">
        <v>140382</v>
      </c>
      <c r="S79" s="417"/>
      <c r="T79" s="138"/>
      <c r="U79" s="454"/>
      <c r="V79" s="588"/>
      <c r="W79" s="417">
        <f t="shared" si="12"/>
        <v>0</v>
      </c>
      <c r="X79" s="417">
        <f t="shared" si="13"/>
        <v>0</v>
      </c>
      <c r="Y79" s="414"/>
    </row>
    <row r="80" spans="1:25" ht="30" customHeight="1" x14ac:dyDescent="0.2">
      <c r="A80" s="622">
        <f t="shared" si="9"/>
        <v>66</v>
      </c>
      <c r="B80" s="686" t="s">
        <v>794</v>
      </c>
      <c r="C80" s="692" t="s">
        <v>795</v>
      </c>
      <c r="D80" s="146"/>
      <c r="E80" s="680">
        <v>0</v>
      </c>
      <c r="F80" s="136"/>
      <c r="G80" s="138">
        <v>0</v>
      </c>
      <c r="H80" s="693">
        <v>9</v>
      </c>
      <c r="I80" s="136"/>
      <c r="J80" s="138">
        <v>95175</v>
      </c>
      <c r="K80" s="374"/>
      <c r="L80" s="138"/>
      <c r="M80" s="138">
        <v>0</v>
      </c>
      <c r="N80" s="136"/>
      <c r="O80" s="138">
        <v>0</v>
      </c>
      <c r="P80" s="138">
        <v>9</v>
      </c>
      <c r="Q80" s="417"/>
      <c r="R80" s="138">
        <v>95175</v>
      </c>
      <c r="S80" s="417"/>
      <c r="T80" s="138"/>
      <c r="U80" s="454"/>
      <c r="V80" s="588"/>
      <c r="W80" s="417">
        <f t="shared" si="12"/>
        <v>0</v>
      </c>
      <c r="X80" s="417">
        <f t="shared" si="13"/>
        <v>0</v>
      </c>
      <c r="Y80" s="414"/>
    </row>
    <row r="81" spans="1:25" ht="30" customHeight="1" x14ac:dyDescent="0.2">
      <c r="A81" s="622">
        <f t="shared" si="9"/>
        <v>67</v>
      </c>
      <c r="B81" s="686" t="s">
        <v>682</v>
      </c>
      <c r="C81" s="692" t="s">
        <v>310</v>
      </c>
      <c r="D81" s="146"/>
      <c r="E81" s="680">
        <v>0</v>
      </c>
      <c r="F81" s="136"/>
      <c r="G81" s="138">
        <f>+E81*117000</f>
        <v>0</v>
      </c>
      <c r="H81" s="693">
        <f>40+85+23</f>
        <v>148</v>
      </c>
      <c r="I81" s="136"/>
      <c r="J81" s="138">
        <f>4680000+9945000+2691000</f>
        <v>17316000</v>
      </c>
      <c r="K81" s="374"/>
      <c r="L81" s="138"/>
      <c r="M81" s="138">
        <f>115-108</f>
        <v>7</v>
      </c>
      <c r="N81" s="136"/>
      <c r="O81" s="138">
        <f>+M81*117000</f>
        <v>819000</v>
      </c>
      <c r="P81" s="417">
        <f>16+81+6+30-25+7</f>
        <v>115</v>
      </c>
      <c r="Q81" s="417"/>
      <c r="R81" s="138">
        <f>1872000+9477000+702000+3510000-2925000+819000</f>
        <v>13455000</v>
      </c>
      <c r="S81" s="417">
        <v>7</v>
      </c>
      <c r="T81" s="138">
        <v>819000</v>
      </c>
      <c r="U81" s="454">
        <v>12</v>
      </c>
      <c r="V81" s="588">
        <f>+U81*117000</f>
        <v>1404000</v>
      </c>
      <c r="W81" s="417">
        <f t="shared" si="10"/>
        <v>21</v>
      </c>
      <c r="X81" s="417">
        <f>J81-R81-V81</f>
        <v>2457000</v>
      </c>
      <c r="Y81" s="497">
        <f>+X81/W81</f>
        <v>117000</v>
      </c>
    </row>
    <row r="82" spans="1:25" ht="30" customHeight="1" x14ac:dyDescent="0.2">
      <c r="A82" s="622">
        <f t="shared" si="9"/>
        <v>68</v>
      </c>
      <c r="B82" s="686" t="s">
        <v>683</v>
      </c>
      <c r="C82" s="692" t="s">
        <v>310</v>
      </c>
      <c r="D82" s="146"/>
      <c r="E82" s="680">
        <v>0</v>
      </c>
      <c r="F82" s="136"/>
      <c r="G82" s="138"/>
      <c r="H82" s="693">
        <v>13</v>
      </c>
      <c r="I82" s="136"/>
      <c r="J82" s="138">
        <v>1313000</v>
      </c>
      <c r="K82" s="374"/>
      <c r="L82" s="138"/>
      <c r="M82" s="138">
        <v>0</v>
      </c>
      <c r="N82" s="136"/>
      <c r="O82" s="138">
        <f>+M82*101000</f>
        <v>0</v>
      </c>
      <c r="P82" s="417">
        <f>7+6-13</f>
        <v>0</v>
      </c>
      <c r="Q82" s="417"/>
      <c r="R82" s="138">
        <f>707000+606000-1313000</f>
        <v>0</v>
      </c>
      <c r="S82" s="417"/>
      <c r="T82" s="138"/>
      <c r="U82" s="454">
        <v>13</v>
      </c>
      <c r="V82" s="588">
        <v>1313000</v>
      </c>
      <c r="W82" s="417">
        <f t="shared" si="10"/>
        <v>0</v>
      </c>
      <c r="X82" s="417">
        <f t="shared" si="8"/>
        <v>0</v>
      </c>
      <c r="Y82" s="497"/>
    </row>
    <row r="83" spans="1:25" ht="30" customHeight="1" x14ac:dyDescent="0.2">
      <c r="A83" s="622">
        <f t="shared" si="9"/>
        <v>69</v>
      </c>
      <c r="B83" s="686" t="s">
        <v>684</v>
      </c>
      <c r="C83" s="692" t="s">
        <v>310</v>
      </c>
      <c r="D83" s="146"/>
      <c r="E83" s="680">
        <v>0</v>
      </c>
      <c r="F83" s="136"/>
      <c r="G83" s="138"/>
      <c r="H83" s="693">
        <v>4</v>
      </c>
      <c r="I83" s="136"/>
      <c r="J83" s="138">
        <v>418000</v>
      </c>
      <c r="K83" s="374"/>
      <c r="L83" s="138"/>
      <c r="M83" s="138">
        <v>0</v>
      </c>
      <c r="N83" s="136"/>
      <c r="O83" s="138">
        <f>+M83*104500</f>
        <v>0</v>
      </c>
      <c r="P83" s="417">
        <f>2+2-4</f>
        <v>0</v>
      </c>
      <c r="Q83" s="417"/>
      <c r="R83" s="138">
        <f>209000+209000-418000</f>
        <v>0</v>
      </c>
      <c r="S83" s="417"/>
      <c r="T83" s="138"/>
      <c r="U83" s="454">
        <v>4</v>
      </c>
      <c r="V83" s="588">
        <v>418000</v>
      </c>
      <c r="W83" s="417">
        <f t="shared" si="10"/>
        <v>0</v>
      </c>
      <c r="X83" s="417">
        <f t="shared" si="8"/>
        <v>0</v>
      </c>
      <c r="Y83" s="497"/>
    </row>
    <row r="84" spans="1:25" ht="30" customHeight="1" x14ac:dyDescent="0.2">
      <c r="A84" s="622">
        <f t="shared" si="9"/>
        <v>70</v>
      </c>
      <c r="B84" s="686" t="s">
        <v>685</v>
      </c>
      <c r="C84" s="692" t="s">
        <v>310</v>
      </c>
      <c r="D84" s="146"/>
      <c r="E84" s="680">
        <v>0</v>
      </c>
      <c r="F84" s="136"/>
      <c r="G84" s="138">
        <f>+E84*114000</f>
        <v>0</v>
      </c>
      <c r="H84" s="693">
        <f>235+35</f>
        <v>270</v>
      </c>
      <c r="I84" s="136"/>
      <c r="J84" s="138">
        <f>26790000+3990000</f>
        <v>30780000</v>
      </c>
      <c r="K84" s="374"/>
      <c r="L84" s="138"/>
      <c r="M84" s="138">
        <f>220-214</f>
        <v>6</v>
      </c>
      <c r="N84" s="136"/>
      <c r="O84" s="138">
        <f>+M84*114000</f>
        <v>684000</v>
      </c>
      <c r="P84" s="417">
        <f>210+20-16+6</f>
        <v>220</v>
      </c>
      <c r="Q84" s="417"/>
      <c r="R84" s="138">
        <f>23940000+2280000-1824000+684000</f>
        <v>25080000</v>
      </c>
      <c r="S84" s="417">
        <v>6</v>
      </c>
      <c r="T84" s="138">
        <v>684000</v>
      </c>
      <c r="U84" s="454">
        <v>10</v>
      </c>
      <c r="V84" s="588">
        <f>+U84*114000</f>
        <v>1140000</v>
      </c>
      <c r="W84" s="417">
        <f>H84-P84-U84</f>
        <v>40</v>
      </c>
      <c r="X84" s="417">
        <f>J84-R84-V84</f>
        <v>4560000</v>
      </c>
      <c r="Y84" s="497"/>
    </row>
    <row r="85" spans="1:25" ht="30" customHeight="1" x14ac:dyDescent="0.2">
      <c r="A85" s="622">
        <f t="shared" si="9"/>
        <v>71</v>
      </c>
      <c r="B85" s="686" t="s">
        <v>709</v>
      </c>
      <c r="C85" s="692" t="s">
        <v>310</v>
      </c>
      <c r="D85" s="146"/>
      <c r="E85" s="680"/>
      <c r="F85" s="136"/>
      <c r="G85" s="138"/>
      <c r="H85" s="693">
        <v>4</v>
      </c>
      <c r="I85" s="136"/>
      <c r="J85" s="138">
        <v>2006000</v>
      </c>
      <c r="K85" s="374"/>
      <c r="L85" s="138"/>
      <c r="M85" s="138">
        <v>0</v>
      </c>
      <c r="N85" s="136"/>
      <c r="O85" s="138">
        <v>0</v>
      </c>
      <c r="P85" s="417">
        <v>4</v>
      </c>
      <c r="Q85" s="417"/>
      <c r="R85" s="138">
        <v>2006000</v>
      </c>
      <c r="S85" s="417"/>
      <c r="T85" s="138"/>
      <c r="U85" s="454"/>
      <c r="V85" s="588"/>
      <c r="W85" s="417">
        <f t="shared" si="10"/>
        <v>0</v>
      </c>
      <c r="X85" s="417">
        <f t="shared" si="8"/>
        <v>0</v>
      </c>
      <c r="Y85" s="497"/>
    </row>
    <row r="86" spans="1:25" ht="30" customHeight="1" x14ac:dyDescent="0.2">
      <c r="A86" s="622">
        <f t="shared" si="9"/>
        <v>72</v>
      </c>
      <c r="B86" s="686" t="s">
        <v>727</v>
      </c>
      <c r="C86" s="692" t="s">
        <v>310</v>
      </c>
      <c r="D86" s="146"/>
      <c r="E86" s="680">
        <v>0</v>
      </c>
      <c r="F86" s="136"/>
      <c r="G86" s="138">
        <v>0</v>
      </c>
      <c r="H86" s="693">
        <v>12</v>
      </c>
      <c r="I86" s="136"/>
      <c r="J86" s="138">
        <v>1038080</v>
      </c>
      <c r="K86" s="374"/>
      <c r="L86" s="138"/>
      <c r="M86" s="138">
        <v>0</v>
      </c>
      <c r="N86" s="136"/>
      <c r="O86" s="138">
        <f>+M86*86506.7</f>
        <v>0</v>
      </c>
      <c r="P86" s="417">
        <v>8</v>
      </c>
      <c r="Q86" s="417"/>
      <c r="R86" s="138">
        <v>692053.6</v>
      </c>
      <c r="S86" s="417"/>
      <c r="T86" s="138"/>
      <c r="U86" s="454"/>
      <c r="V86" s="588"/>
      <c r="W86" s="417">
        <f t="shared" si="10"/>
        <v>4</v>
      </c>
      <c r="X86" s="417">
        <f>J86-R86-V86</f>
        <v>346026.4</v>
      </c>
      <c r="Y86" s="497">
        <f>+X86/W86</f>
        <v>86506.6</v>
      </c>
    </row>
    <row r="87" spans="1:25" ht="30" customHeight="1" x14ac:dyDescent="0.2">
      <c r="A87" s="622">
        <f t="shared" si="9"/>
        <v>73</v>
      </c>
      <c r="B87" s="686" t="s">
        <v>728</v>
      </c>
      <c r="C87" s="692" t="s">
        <v>310</v>
      </c>
      <c r="D87" s="146"/>
      <c r="E87" s="680">
        <v>0</v>
      </c>
      <c r="F87" s="136"/>
      <c r="G87" s="138">
        <v>0</v>
      </c>
      <c r="H87" s="693">
        <v>1100</v>
      </c>
      <c r="I87" s="136"/>
      <c r="J87" s="138">
        <v>16972800</v>
      </c>
      <c r="K87" s="374"/>
      <c r="L87" s="138"/>
      <c r="M87" s="138">
        <v>0</v>
      </c>
      <c r="N87" s="136"/>
      <c r="O87" s="138">
        <v>0</v>
      </c>
      <c r="P87" s="417">
        <v>1100</v>
      </c>
      <c r="Q87" s="417"/>
      <c r="R87" s="138">
        <v>16972800</v>
      </c>
      <c r="S87" s="417"/>
      <c r="T87" s="138"/>
      <c r="U87" s="454"/>
      <c r="V87" s="588"/>
      <c r="W87" s="417">
        <f t="shared" si="10"/>
        <v>0</v>
      </c>
      <c r="X87" s="417">
        <f t="shared" si="8"/>
        <v>0</v>
      </c>
      <c r="Y87" s="497"/>
    </row>
    <row r="88" spans="1:25" ht="30" customHeight="1" x14ac:dyDescent="0.2">
      <c r="A88" s="622">
        <f t="shared" si="9"/>
        <v>74</v>
      </c>
      <c r="B88" s="686" t="s">
        <v>799</v>
      </c>
      <c r="C88" s="692" t="s">
        <v>310</v>
      </c>
      <c r="D88" s="146"/>
      <c r="E88" s="680">
        <v>0</v>
      </c>
      <c r="F88" s="136"/>
      <c r="G88" s="138">
        <v>0</v>
      </c>
      <c r="H88" s="686">
        <v>72845</v>
      </c>
      <c r="I88" s="136"/>
      <c r="J88" s="138">
        <v>11072440</v>
      </c>
      <c r="K88" s="374"/>
      <c r="L88" s="138"/>
      <c r="M88" s="138"/>
      <c r="N88" s="136"/>
      <c r="O88" s="138"/>
      <c r="P88" s="417"/>
      <c r="Q88" s="417"/>
      <c r="R88" s="138"/>
      <c r="S88" s="417"/>
      <c r="T88" s="138"/>
      <c r="U88" s="686">
        <v>72845</v>
      </c>
      <c r="V88" s="138">
        <v>11072440</v>
      </c>
      <c r="W88" s="417">
        <f t="shared" ref="W88:W90" si="14">H88-P88-U88</f>
        <v>0</v>
      </c>
      <c r="X88" s="417">
        <f t="shared" ref="X88:X90" si="15">J88-R88-V88</f>
        <v>0</v>
      </c>
      <c r="Y88" s="497"/>
    </row>
    <row r="89" spans="1:25" ht="30" customHeight="1" x14ac:dyDescent="0.2">
      <c r="A89" s="622">
        <f t="shared" si="9"/>
        <v>75</v>
      </c>
      <c r="B89" s="694" t="s">
        <v>800</v>
      </c>
      <c r="C89" s="692" t="s">
        <v>310</v>
      </c>
      <c r="D89" s="146"/>
      <c r="E89" s="680">
        <v>0</v>
      </c>
      <c r="F89" s="136"/>
      <c r="G89" s="138">
        <v>0</v>
      </c>
      <c r="H89" s="686">
        <v>6368</v>
      </c>
      <c r="I89" s="136"/>
      <c r="J89" s="138">
        <v>1974080</v>
      </c>
      <c r="K89" s="374"/>
      <c r="L89" s="138"/>
      <c r="M89" s="138"/>
      <c r="N89" s="136"/>
      <c r="O89" s="138"/>
      <c r="P89" s="417"/>
      <c r="Q89" s="417"/>
      <c r="R89" s="138"/>
      <c r="S89" s="417"/>
      <c r="T89" s="138"/>
      <c r="U89" s="686">
        <v>6368</v>
      </c>
      <c r="V89" s="138">
        <v>1974080</v>
      </c>
      <c r="W89" s="417">
        <f t="shared" si="14"/>
        <v>0</v>
      </c>
      <c r="X89" s="417">
        <f t="shared" si="15"/>
        <v>0</v>
      </c>
      <c r="Y89" s="497"/>
    </row>
    <row r="90" spans="1:25" ht="30" customHeight="1" x14ac:dyDescent="0.2">
      <c r="A90" s="622">
        <f t="shared" si="9"/>
        <v>76</v>
      </c>
      <c r="B90" s="686" t="s">
        <v>801</v>
      </c>
      <c r="C90" s="692" t="s">
        <v>310</v>
      </c>
      <c r="D90" s="146"/>
      <c r="E90" s="680">
        <v>0</v>
      </c>
      <c r="F90" s="136"/>
      <c r="G90" s="138">
        <v>0</v>
      </c>
      <c r="H90" s="686">
        <v>140</v>
      </c>
      <c r="I90" s="136"/>
      <c r="J90" s="138">
        <v>975800</v>
      </c>
      <c r="K90" s="374"/>
      <c r="L90" s="138"/>
      <c r="M90" s="138"/>
      <c r="N90" s="136"/>
      <c r="O90" s="138"/>
      <c r="P90" s="417"/>
      <c r="Q90" s="417"/>
      <c r="R90" s="138"/>
      <c r="S90" s="417"/>
      <c r="T90" s="138"/>
      <c r="U90" s="686">
        <v>140</v>
      </c>
      <c r="V90" s="138">
        <v>975800</v>
      </c>
      <c r="W90" s="417">
        <f t="shared" si="14"/>
        <v>0</v>
      </c>
      <c r="X90" s="417">
        <f t="shared" si="15"/>
        <v>0</v>
      </c>
      <c r="Y90" s="497"/>
    </row>
    <row r="91" spans="1:25" ht="30" customHeight="1" x14ac:dyDescent="0.2">
      <c r="A91" s="622">
        <f t="shared" si="9"/>
        <v>77</v>
      </c>
      <c r="B91" s="695" t="s">
        <v>804</v>
      </c>
      <c r="C91" s="692" t="s">
        <v>310</v>
      </c>
      <c r="D91" s="617"/>
      <c r="E91" s="680">
        <v>0</v>
      </c>
      <c r="F91" s="136"/>
      <c r="G91" s="138"/>
      <c r="H91" s="686"/>
      <c r="I91" s="136"/>
      <c r="J91" s="138"/>
      <c r="K91" s="374"/>
      <c r="L91" s="138"/>
      <c r="M91" s="138"/>
      <c r="N91" s="136"/>
      <c r="O91" s="138"/>
      <c r="P91" s="417"/>
      <c r="Q91" s="417"/>
      <c r="R91" s="138"/>
      <c r="S91" s="417"/>
      <c r="T91" s="138"/>
      <c r="U91" s="686"/>
      <c r="V91" s="138"/>
      <c r="W91" s="417"/>
      <c r="X91" s="417"/>
      <c r="Y91" s="497"/>
    </row>
    <row r="92" spans="1:25" s="696" customFormat="1" ht="29.45" customHeight="1" x14ac:dyDescent="0.2">
      <c r="A92" s="818" t="s">
        <v>312</v>
      </c>
      <c r="B92" s="819"/>
      <c r="C92" s="819"/>
      <c r="D92" s="820"/>
      <c r="E92" s="500"/>
      <c r="F92" s="500"/>
      <c r="G92" s="500">
        <f>SUM(G10:G91)</f>
        <v>-50269102.699999988</v>
      </c>
      <c r="H92" s="500"/>
      <c r="I92" s="500">
        <f>SUM(I10:I49)</f>
        <v>2365247.6997995116</v>
      </c>
      <c r="J92" s="591">
        <f>SUM(J10:J91)</f>
        <v>4402089696.6475</v>
      </c>
      <c r="K92" s="500"/>
      <c r="L92" s="500">
        <f>SUM(L10:L91)</f>
        <v>-50269102.70000001</v>
      </c>
      <c r="M92" s="500"/>
      <c r="N92" s="500"/>
      <c r="O92" s="618">
        <f>SUM(O10:O91)</f>
        <v>-46712010.093649991</v>
      </c>
      <c r="P92" s="500"/>
      <c r="Q92" s="500"/>
      <c r="R92" s="618">
        <f>SUM(R10:R91)</f>
        <v>1610182212.3996</v>
      </c>
      <c r="S92" s="500">
        <v>0</v>
      </c>
      <c r="T92" s="618">
        <f>SUM(T10:T91)</f>
        <v>-46712009.659999996</v>
      </c>
      <c r="U92" s="500"/>
      <c r="V92" s="500">
        <f>SUM(V10:V91)</f>
        <v>2752741367.8504691</v>
      </c>
      <c r="W92" s="500"/>
      <c r="X92" s="500">
        <f>SUM(X10:X91)</f>
        <v>39166116.397430435</v>
      </c>
      <c r="Y92" s="501"/>
    </row>
    <row r="93" spans="1:25" x14ac:dyDescent="0.2">
      <c r="A93" s="668" t="s">
        <v>312</v>
      </c>
      <c r="I93" s="668">
        <v>2365247.6997995116</v>
      </c>
      <c r="J93" s="500">
        <v>4452358799.6475</v>
      </c>
      <c r="K93" s="696"/>
      <c r="L93" s="621">
        <v>1706846906.4879992</v>
      </c>
      <c r="M93" s="696"/>
      <c r="N93" s="696"/>
      <c r="O93" s="696"/>
      <c r="P93" s="696"/>
      <c r="Q93" s="696"/>
      <c r="R93" s="511">
        <v>1656894222.3596001</v>
      </c>
      <c r="S93" s="696">
        <v>0</v>
      </c>
      <c r="T93" s="621">
        <v>1269742045.8755999</v>
      </c>
      <c r="U93" s="696"/>
      <c r="V93" s="696">
        <v>2725884571.7096295</v>
      </c>
      <c r="W93" s="698"/>
      <c r="X93" s="696">
        <v>99359126.988270417</v>
      </c>
      <c r="Y93" s="696"/>
    </row>
    <row r="94" spans="1:25" x14ac:dyDescent="0.2">
      <c r="J94" s="699">
        <f>J92-J93</f>
        <v>-50269103</v>
      </c>
      <c r="K94" s="699"/>
      <c r="L94" s="699">
        <f>L92-L93</f>
        <v>-1757116009.1879992</v>
      </c>
      <c r="M94" s="699"/>
      <c r="N94" s="699"/>
      <c r="O94" s="699"/>
      <c r="P94" s="699"/>
      <c r="Q94" s="699"/>
      <c r="R94" s="699">
        <f>R92-R93</f>
        <v>-46712009.960000038</v>
      </c>
      <c r="S94" s="699"/>
      <c r="T94" s="699">
        <f>T92-T93</f>
        <v>-1316454055.5355999</v>
      </c>
      <c r="U94" s="699">
        <f>+U92-U93</f>
        <v>0</v>
      </c>
      <c r="V94" s="699">
        <f>V92-V93</f>
        <v>26856796.140839577</v>
      </c>
      <c r="W94" s="700">
        <f>+W92-W93</f>
        <v>0</v>
      </c>
      <c r="X94" s="699">
        <f>X92-X93</f>
        <v>-60193010.590839982</v>
      </c>
      <c r="Y94" s="699"/>
    </row>
    <row r="95" spans="1:25" x14ac:dyDescent="0.2">
      <c r="J95" s="679"/>
      <c r="R95" s="679"/>
      <c r="T95" s="679">
        <f>+T94-O92</f>
        <v>-1269742045.4419498</v>
      </c>
    </row>
    <row r="96" spans="1:25" x14ac:dyDescent="0.2">
      <c r="J96" s="679">
        <f>+J47/H47</f>
        <v>12503.159856523123</v>
      </c>
      <c r="Q96" s="690"/>
      <c r="R96" s="691"/>
    </row>
    <row r="98" spans="10:10" x14ac:dyDescent="0.2">
      <c r="J98" s="679">
        <f>+H47</f>
        <v>50252</v>
      </c>
    </row>
    <row r="99" spans="10:10" x14ac:dyDescent="0.2">
      <c r="J99" s="668">
        <f>+J98*13500</f>
        <v>678402000</v>
      </c>
    </row>
    <row r="100" spans="10:10" x14ac:dyDescent="0.2">
      <c r="J100" s="683">
        <f>+J47-J99</f>
        <v>-50093210.889999986</v>
      </c>
    </row>
  </sheetData>
  <mergeCells count="27">
    <mergeCell ref="A92:D92"/>
    <mergeCell ref="P7:R7"/>
    <mergeCell ref="S7:T7"/>
    <mergeCell ref="W7:X7"/>
    <mergeCell ref="Y31:Y36"/>
    <mergeCell ref="B22:D22"/>
    <mergeCell ref="B14:D14"/>
    <mergeCell ref="U15:U21"/>
    <mergeCell ref="V15:V21"/>
    <mergeCell ref="W15:W21"/>
    <mergeCell ref="X15:X21"/>
    <mergeCell ref="B1:Y1"/>
    <mergeCell ref="B3:Y3"/>
    <mergeCell ref="B4:Y4"/>
    <mergeCell ref="A6:A8"/>
    <mergeCell ref="B6:B8"/>
    <mergeCell ref="C6:C8"/>
    <mergeCell ref="D6:D8"/>
    <mergeCell ref="E6:L6"/>
    <mergeCell ref="M6:T6"/>
    <mergeCell ref="W6:X6"/>
    <mergeCell ref="U6:V7"/>
    <mergeCell ref="Y6:Y8"/>
    <mergeCell ref="E7:G7"/>
    <mergeCell ref="H7:J7"/>
    <mergeCell ref="K7:L7"/>
    <mergeCell ref="M7:O7"/>
  </mergeCells>
  <pageMargins left="0" right="0" top="0" bottom="0" header="0.3" footer="0.3"/>
  <pageSetup scale="31" orientation="portrait" r:id="rId1"/>
  <colBreaks count="1" manualBreakCount="1">
    <brk id="24" max="7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7</vt:i4>
      </vt:variant>
    </vt:vector>
  </HeadingPairs>
  <TitlesOfParts>
    <vt:vector size="28" baseType="lpstr">
      <vt:lpstr>Summary</vt:lpstr>
      <vt:lpstr>Anx-A</vt:lpstr>
      <vt:lpstr>Anx-B</vt:lpstr>
      <vt:lpstr>Anx-C</vt:lpstr>
      <vt:lpstr>Anx-D</vt:lpstr>
      <vt:lpstr>Escalation Cost</vt:lpstr>
      <vt:lpstr>Anx-E</vt:lpstr>
      <vt:lpstr>Anx-F</vt:lpstr>
      <vt:lpstr>Anx-G</vt:lpstr>
      <vt:lpstr>JMF</vt:lpstr>
      <vt:lpstr>Anx-H</vt:lpstr>
      <vt:lpstr>Anx-J</vt:lpstr>
      <vt:lpstr>Anx-K</vt:lpstr>
      <vt:lpstr>Anx-L</vt:lpstr>
      <vt:lpstr>Anx-M</vt:lpstr>
      <vt:lpstr>Anx-N</vt:lpstr>
      <vt:lpstr>Anx-O</vt:lpstr>
      <vt:lpstr>Anx-Q</vt:lpstr>
      <vt:lpstr>Anx-R</vt:lpstr>
      <vt:lpstr>Appendix</vt:lpstr>
      <vt:lpstr>S Curve</vt:lpstr>
      <vt:lpstr>'Anx-A'!Print_Area</vt:lpstr>
      <vt:lpstr>'Anx-B'!Print_Area</vt:lpstr>
      <vt:lpstr>'Anx-C'!Print_Area</vt:lpstr>
      <vt:lpstr>'Anx-D'!Print_Area</vt:lpstr>
      <vt:lpstr>'Anx-E'!Print_Area</vt:lpstr>
      <vt:lpstr>'Anx-G'!Print_Area</vt:lpstr>
      <vt:lpstr>'Anx-J'!Print_Area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2025-08-12T03:54:08Z</dcterms:modified>
</cp:coreProperties>
</file>