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 defaultThemeVersion="124226"/>
  <xr:revisionPtr revIDLastSave="0" documentId="13_ncr:1_{DC23EF12-D848-43DC-B47D-A1C9A8118E1A}" xr6:coauthVersionLast="47" xr6:coauthVersionMax="47" xr10:uidLastSave="{00000000-0000-0000-0000-000000000000}"/>
  <bookViews>
    <workbookView minimized="1" xWindow="3864" yWindow="3864" windowWidth="17280" windowHeight="8880" tabRatio="739" firstSheet="2" activeTab="2" xr2:uid="{00000000-000D-0000-FFFF-FFFF00000000}"/>
  </bookViews>
  <sheets>
    <sheet name="Anx E (3)" sheetId="44" state="hidden" r:id="rId1"/>
    <sheet name="Anx E (2)" sheetId="43" state="hidden" r:id="rId2"/>
    <sheet name="Anx A" sheetId="54" r:id="rId3"/>
    <sheet name="Anx B" sheetId="55" r:id="rId4"/>
    <sheet name="Anx C" sheetId="56" r:id="rId5"/>
    <sheet name="Anx D (2)" sheetId="38" state="hidden" r:id="rId6"/>
    <sheet name="Anx D" sheetId="5" r:id="rId7"/>
    <sheet name="Anx E" sheetId="13" r:id="rId8"/>
    <sheet name="Anx F" sheetId="58" r:id="rId9"/>
    <sheet name="Anx F. (2)" sheetId="34" state="hidden" r:id="rId10"/>
    <sheet name="Anx F " sheetId="47" state="hidden" r:id="rId11"/>
    <sheet name="Anx G" sheetId="22" r:id="rId12"/>
    <sheet name="Anx G (1)" sheetId="35" state="hidden" r:id="rId13"/>
    <sheet name="Anx H (3)" sheetId="40" state="hidden" r:id="rId14"/>
    <sheet name="Anx H (2)" sheetId="37" state="hidden" r:id="rId15"/>
    <sheet name="Anx H" sheetId="45" r:id="rId16"/>
    <sheet name="Anx J" sheetId="7" r:id="rId17"/>
    <sheet name="Anx K" sheetId="10" r:id="rId18"/>
    <sheet name="Anx L" sheetId="51" r:id="rId19"/>
    <sheet name="Anx M" sheetId="50" r:id="rId20"/>
    <sheet name="MCRP" sheetId="30" state="hidden" r:id="rId21"/>
  </sheets>
  <externalReferences>
    <externalReference r:id="rId22"/>
    <externalReference r:id="rId23"/>
  </externalReferences>
  <definedNames>
    <definedName name="_xlnm._FilterDatabase" localSheetId="8" hidden="1">'Anx F'!$B$5:$N$18</definedName>
    <definedName name="_xlnm._FilterDatabase" localSheetId="15" hidden="1">'Anx H'!$A$6:$S$16</definedName>
    <definedName name="_xlnm._FilterDatabase" localSheetId="14" hidden="1">'Anx H (2)'!$A$7:$Y$103</definedName>
    <definedName name="_xlnm._FilterDatabase" localSheetId="13" hidden="1">'Anx H (3)'!$A$7:$AA$101</definedName>
    <definedName name="a" localSheetId="8">#REF!</definedName>
    <definedName name="a">#REF!</definedName>
    <definedName name="aA" localSheetId="8">#REF!</definedName>
    <definedName name="aA">#REF!</definedName>
    <definedName name="aaaaa" localSheetId="8">#REF!</definedName>
    <definedName name="aaaaa">#REF!</definedName>
    <definedName name="abc">#REF!</definedName>
    <definedName name="aq" localSheetId="8">#REF!</definedName>
    <definedName name="aq">#REF!</definedName>
    <definedName name="assets" localSheetId="8">#REF!</definedName>
    <definedName name="assets" localSheetId="10">#REF!</definedName>
    <definedName name="assets" localSheetId="9">#REF!</definedName>
    <definedName name="assets" localSheetId="12">#REF!</definedName>
    <definedName name="assets" localSheetId="15">#REF!</definedName>
    <definedName name="assets" localSheetId="14">#REF!</definedName>
    <definedName name="assets" localSheetId="13">#REF!</definedName>
    <definedName name="assets">#REF!</definedName>
    <definedName name="bal">[1]tb!$A$1:$D$1257</definedName>
    <definedName name="dpr" localSheetId="8">#REF!</definedName>
    <definedName name="dpr" localSheetId="9">#REF!</definedName>
    <definedName name="dpr" localSheetId="12">#REF!</definedName>
    <definedName name="dpr" localSheetId="15">#REF!</definedName>
    <definedName name="dpr" localSheetId="14">#REF!</definedName>
    <definedName name="dpr" localSheetId="13">#REF!</definedName>
    <definedName name="dpr">#REF!</definedName>
    <definedName name="ee" localSheetId="8">#REF!</definedName>
    <definedName name="ee">#REF!</definedName>
    <definedName name="knb" localSheetId="8">#REF!</definedName>
    <definedName name="knb" localSheetId="9">#REF!</definedName>
    <definedName name="knb" localSheetId="12">#REF!</definedName>
    <definedName name="knb" localSheetId="15">#REF!</definedName>
    <definedName name="knb" localSheetId="14">#REF!</definedName>
    <definedName name="knb" localSheetId="13">#REF!</definedName>
    <definedName name="knb">#REF!</definedName>
    <definedName name="_xlnm.Print_Area" localSheetId="2">'Anx A'!$A$1:$I$32</definedName>
    <definedName name="_xlnm.Print_Area" localSheetId="3">'Anx B'!$A$1:$H$8</definedName>
    <definedName name="_xlnm.Print_Area" localSheetId="6">'Anx D'!$A$1:$F$20</definedName>
    <definedName name="_xlnm.Print_Area" localSheetId="5">'Anx D (2)'!$A$1:$D$16</definedName>
    <definedName name="_xlnm.Print_Area" localSheetId="7">'Anx E'!$A$1:$S$8</definedName>
    <definedName name="_xlnm.Print_Area" localSheetId="1">'Anx E (2)'!$A$1:$I$25</definedName>
    <definedName name="_xlnm.Print_Area" localSheetId="0">'Anx E (3)'!$A$1:$J$25</definedName>
    <definedName name="_xlnm.Print_Area" localSheetId="8">'Anx F'!$B$2:$N$23</definedName>
    <definedName name="_xlnm.Print_Area" localSheetId="10">'Anx F '!$A$1:$V$268</definedName>
    <definedName name="_xlnm.Print_Area" localSheetId="9">'Anx F. (2)'!$A$1:$T$36</definedName>
    <definedName name="_xlnm.Print_Area" localSheetId="11">'Anx G'!$A$1:$K$14</definedName>
    <definedName name="_xlnm.Print_Area" localSheetId="12">'Anx G (1)'!$A$1:$U$62</definedName>
    <definedName name="_xlnm.Print_Area" localSheetId="15">'Anx H'!$A$1:$S$8</definedName>
    <definedName name="_xlnm.Print_Area" localSheetId="14">'Anx H (2)'!$A$1:$S$101</definedName>
    <definedName name="_xlnm.Print_Area" localSheetId="13">'Anx H (3)'!$A$1:$U$99</definedName>
    <definedName name="_xlnm.Print_Area" localSheetId="16">'Anx J'!$A$1:$O$12</definedName>
    <definedName name="_xlnm.Print_Area" localSheetId="17">'Anx K'!$A$1:$K$25</definedName>
    <definedName name="_xlnm.Print_Titles" localSheetId="7">'Anx E'!$6:$6</definedName>
    <definedName name="_xlnm.Print_Titles" localSheetId="1">'Anx E (2)'!$5:$5</definedName>
    <definedName name="_xlnm.Print_Titles" localSheetId="0">'Anx E (3)'!$5:$5</definedName>
    <definedName name="_xlnm.Print_Titles" localSheetId="8">'Anx F'!$2:$5</definedName>
    <definedName name="_xlnm.Print_Titles" localSheetId="10">'Anx F '!$A$5:$IV$6</definedName>
    <definedName name="_xlnm.Print_Titles" localSheetId="9">'Anx F. (2)'!$5:$6</definedName>
    <definedName name="_xlnm.Print_Titles" localSheetId="14">'Anx H (2)'!$5:$6</definedName>
    <definedName name="_xlnm.Print_Titles" localSheetId="13">'Anx H (3)'!$5:$6</definedName>
    <definedName name="qqq" localSheetId="8">#REF!</definedName>
    <definedName name="qqq">#REF!</definedName>
    <definedName name="sgfsdg" localSheetId="8">#REF!</definedName>
    <definedName name="sgfsdg">#REF!</definedName>
    <definedName name="sows" localSheetId="8">#REF!</definedName>
    <definedName name="sows">#REF!</definedName>
    <definedName name="w" localSheetId="8">#REF!</definedName>
    <definedName name="w">#REF!</definedName>
    <definedName name="ww" localSheetId="8">#REF!</definedName>
    <definedName name="ww">#REF!</definedName>
    <definedName name="wwwww" localSheetId="8">#REF!</definedName>
    <definedName name="wwwww">#REF!</definedName>
    <definedName name="wwwwwwwww" localSheetId="8">#REF!</definedName>
    <definedName name="wwwwwwwww">#REF!</definedName>
    <definedName name="xds" localSheetId="8">#REF!</definedName>
    <definedName name="xds">#REF!</definedName>
    <definedName name="zzs" localSheetId="8">#REF!</definedName>
    <definedName name="zzs">#REF!</definedName>
  </definedNames>
  <calcPr calcId="191029"/>
  <fileRecoveryPr autoRecover="0"/>
</workbook>
</file>

<file path=xl/calcChain.xml><?xml version="1.0" encoding="utf-8"?>
<calcChain xmlns="http://schemas.openxmlformats.org/spreadsheetml/2006/main">
  <c r="H15" i="5" l="1"/>
  <c r="H10" i="5"/>
  <c r="H9" i="5"/>
  <c r="H14" i="5"/>
  <c r="N15" i="54"/>
  <c r="F21" i="5"/>
  <c r="N20" i="54"/>
  <c r="C5" i="51"/>
  <c r="C7" i="51"/>
  <c r="D17" i="5"/>
  <c r="D14" i="5"/>
  <c r="K7" i="13" l="1"/>
  <c r="G5" i="56"/>
  <c r="H16" i="54" l="1"/>
  <c r="K16" i="58" l="1"/>
  <c r="L16" i="58"/>
  <c r="F18" i="58"/>
  <c r="H18" i="58"/>
  <c r="J18" i="58"/>
  <c r="E18" i="58"/>
  <c r="I15" i="58"/>
  <c r="D16" i="5"/>
  <c r="F12" i="7" l="1"/>
  <c r="L11" i="7" l="1"/>
  <c r="G12" i="7"/>
  <c r="C6" i="51" s="1"/>
  <c r="H12" i="7"/>
  <c r="I12" i="7"/>
  <c r="J12" i="7"/>
  <c r="K12" i="7"/>
  <c r="E12" i="7"/>
  <c r="M11" i="7" l="1"/>
  <c r="I11" i="58" l="1"/>
  <c r="L11" i="58" s="1"/>
  <c r="L12" i="58" l="1"/>
  <c r="L13" i="58" s="1"/>
  <c r="L14" i="58" s="1"/>
  <c r="L10" i="7" l="1"/>
  <c r="M10" i="7" s="1"/>
  <c r="K6" i="58" l="1"/>
  <c r="K18" i="58" s="1"/>
  <c r="G6" i="58"/>
  <c r="G18" i="58" s="1"/>
  <c r="I6" i="58" l="1"/>
  <c r="I18" i="58" s="1"/>
  <c r="L18" i="58" s="1"/>
  <c r="L9" i="7"/>
  <c r="L12" i="7" s="1"/>
  <c r="M9" i="7" l="1"/>
  <c r="M12" i="7" s="1"/>
  <c r="K8" i="13"/>
  <c r="L8" i="13"/>
  <c r="M8" i="13"/>
  <c r="O8" i="13"/>
  <c r="E9" i="5" s="1"/>
  <c r="P8" i="13"/>
  <c r="Q8" i="13"/>
  <c r="G8" i="13"/>
  <c r="H8" i="13"/>
  <c r="I8" i="13"/>
  <c r="F8" i="13"/>
  <c r="N8" i="7"/>
  <c r="N7" i="7"/>
  <c r="N12" i="7" l="1"/>
  <c r="D9" i="5"/>
  <c r="R7" i="13"/>
  <c r="R8" i="13" s="1"/>
  <c r="N7" i="13"/>
  <c r="N8" i="13" s="1"/>
  <c r="J7" i="13"/>
  <c r="J8" i="13" s="1"/>
  <c r="C9" i="5" s="1"/>
  <c r="H6" i="56" l="1"/>
  <c r="G6" i="56"/>
  <c r="F6" i="56"/>
  <c r="D20" i="54" s="1"/>
  <c r="F22" i="58"/>
  <c r="C5" i="50" s="1"/>
  <c r="G22" i="58"/>
  <c r="H22" i="58"/>
  <c r="J22" i="58"/>
  <c r="K22" i="58"/>
  <c r="F21" i="58"/>
  <c r="H21" i="58"/>
  <c r="J21" i="58"/>
  <c r="K21" i="58"/>
  <c r="E21" i="58"/>
  <c r="E22" i="58"/>
  <c r="J20" i="58"/>
  <c r="K20" i="58"/>
  <c r="G21" i="58" l="1"/>
  <c r="I22" i="58"/>
  <c r="C7" i="50"/>
  <c r="P17" i="58"/>
  <c r="O17" i="58"/>
  <c r="Q6" i="58" l="1"/>
  <c r="I21" i="58"/>
  <c r="L6" i="58"/>
  <c r="L7" i="58" s="1"/>
  <c r="L8" i="58" s="1"/>
  <c r="L9" i="58" s="1"/>
  <c r="L10" i="58" s="1"/>
  <c r="Q17" i="58"/>
  <c r="O21" i="58"/>
  <c r="A3" i="51" l="1"/>
  <c r="F7" i="55"/>
  <c r="F8" i="55" l="1"/>
  <c r="E20" i="54" s="1"/>
  <c r="D8" i="55"/>
  <c r="E8" i="55"/>
  <c r="F20" i="54" s="1"/>
  <c r="F23" i="54" s="1"/>
  <c r="H8" i="55"/>
  <c r="G8" i="55"/>
  <c r="C8" i="55"/>
  <c r="G21" i="54" l="1"/>
  <c r="H29" i="54"/>
  <c r="H23" i="54"/>
  <c r="E23" i="54"/>
  <c r="D23" i="54"/>
  <c r="G29" i="54" l="1"/>
  <c r="A3" i="50" l="1"/>
  <c r="A3" i="10"/>
  <c r="A3" i="7"/>
  <c r="A3" i="45"/>
  <c r="A3" i="22"/>
  <c r="A3" i="13"/>
  <c r="A3" i="5"/>
  <c r="A2" i="56"/>
  <c r="A3" i="55"/>
  <c r="G12" i="22" l="1"/>
  <c r="C8" i="5" s="1"/>
  <c r="C18" i="5" s="1"/>
  <c r="D24" i="54" l="1"/>
  <c r="D25" i="54" s="1"/>
  <c r="D27" i="54" s="1"/>
  <c r="D30" i="54" s="1"/>
  <c r="C12" i="22" l="1"/>
  <c r="F12" i="22"/>
  <c r="H12" i="22"/>
  <c r="D8" i="5" s="1"/>
  <c r="D18" i="5" s="1"/>
  <c r="J12" i="22"/>
  <c r="E8" i="5" s="1"/>
  <c r="E18" i="5" s="1"/>
  <c r="B12" i="22"/>
  <c r="E24" i="54" l="1"/>
  <c r="F24" i="54"/>
  <c r="G24" i="54" s="1"/>
  <c r="E25" i="54" l="1"/>
  <c r="E27" i="54" s="1"/>
  <c r="E30" i="54" s="1"/>
  <c r="H24" i="54"/>
  <c r="H25" i="54" s="1"/>
  <c r="H27" i="54" s="1"/>
  <c r="H30" i="54" s="1"/>
  <c r="I25" i="54" l="1"/>
  <c r="S7" i="45"/>
  <c r="D6" i="56" l="1"/>
  <c r="C6" i="56" l="1"/>
  <c r="I6" i="56"/>
  <c r="L21" i="54" l="1"/>
  <c r="M21" i="54"/>
  <c r="J21" i="54" l="1"/>
  <c r="I18" i="54" l="1"/>
  <c r="A6" i="51" l="1"/>
  <c r="E7" i="45" l="1"/>
  <c r="P242" i="47" l="1"/>
  <c r="S241" i="47"/>
  <c r="P241" i="47"/>
  <c r="V267" i="47" l="1"/>
  <c r="U267" i="47"/>
  <c r="Q267" i="47"/>
  <c r="O267" i="47"/>
  <c r="N267" i="47"/>
  <c r="M267" i="47"/>
  <c r="K267" i="47"/>
  <c r="J267" i="47"/>
  <c r="I267" i="47"/>
  <c r="H267" i="47"/>
  <c r="G267" i="47"/>
  <c r="E267" i="47"/>
  <c r="S266" i="47"/>
  <c r="S267" i="47" s="1"/>
  <c r="R266" i="47"/>
  <c r="R267" i="47" s="1"/>
  <c r="P266" i="47"/>
  <c r="P267" i="47" s="1"/>
  <c r="L266" i="47"/>
  <c r="L267" i="47" s="1"/>
  <c r="V263" i="47"/>
  <c r="U263" i="47"/>
  <c r="Q263" i="47"/>
  <c r="O263" i="47"/>
  <c r="N263" i="47"/>
  <c r="M263" i="47"/>
  <c r="K263" i="47"/>
  <c r="J263" i="47"/>
  <c r="I263" i="47"/>
  <c r="H263" i="47"/>
  <c r="G263" i="47"/>
  <c r="E263" i="47"/>
  <c r="S262" i="47"/>
  <c r="S263" i="47" s="1"/>
  <c r="R262" i="47"/>
  <c r="R263" i="47" s="1"/>
  <c r="P262" i="47"/>
  <c r="P263" i="47" s="1"/>
  <c r="L262" i="47"/>
  <c r="L263" i="47" s="1"/>
  <c r="V259" i="47"/>
  <c r="U259" i="47"/>
  <c r="Q259" i="47"/>
  <c r="O259" i="47"/>
  <c r="N259" i="47"/>
  <c r="M259" i="47"/>
  <c r="J259" i="47"/>
  <c r="I259" i="47"/>
  <c r="H259" i="47"/>
  <c r="G259" i="47"/>
  <c r="E259" i="47"/>
  <c r="S258" i="47"/>
  <c r="P258" i="47"/>
  <c r="S257" i="47"/>
  <c r="R257" i="47"/>
  <c r="R259" i="47" s="1"/>
  <c r="K257" i="47"/>
  <c r="P257" i="47" s="1"/>
  <c r="V254" i="47"/>
  <c r="U254" i="47"/>
  <c r="Q254" i="47"/>
  <c r="O254" i="47"/>
  <c r="N254" i="47"/>
  <c r="M254" i="47"/>
  <c r="K254" i="47"/>
  <c r="J254" i="47"/>
  <c r="I254" i="47"/>
  <c r="H254" i="47"/>
  <c r="G254" i="47"/>
  <c r="E254" i="47"/>
  <c r="S253" i="47"/>
  <c r="T253" i="47" s="1"/>
  <c r="S252" i="47"/>
  <c r="R252" i="47"/>
  <c r="R254" i="47" s="1"/>
  <c r="P252" i="47"/>
  <c r="P254" i="47" s="1"/>
  <c r="L252" i="47"/>
  <c r="L254" i="47" s="1"/>
  <c r="V249" i="47"/>
  <c r="U249" i="47"/>
  <c r="Q249" i="47"/>
  <c r="O249" i="47"/>
  <c r="N249" i="47"/>
  <c r="M249" i="47"/>
  <c r="K249" i="47"/>
  <c r="J249" i="47"/>
  <c r="I249" i="47"/>
  <c r="I250" i="47" s="1"/>
  <c r="H249" i="47"/>
  <c r="G249" i="47"/>
  <c r="E249" i="47"/>
  <c r="S248" i="47"/>
  <c r="S249" i="47" s="1"/>
  <c r="R248" i="47"/>
  <c r="R249" i="47" s="1"/>
  <c r="P248" i="47"/>
  <c r="L248" i="47"/>
  <c r="L249" i="47" s="1"/>
  <c r="U245" i="47"/>
  <c r="Q245" i="47"/>
  <c r="O245" i="47"/>
  <c r="N245" i="47"/>
  <c r="M245" i="47"/>
  <c r="J245" i="47"/>
  <c r="H245" i="47"/>
  <c r="G245" i="47"/>
  <c r="E245" i="47"/>
  <c r="S244" i="47"/>
  <c r="R244" i="47"/>
  <c r="P244" i="47"/>
  <c r="S243" i="47"/>
  <c r="R243" i="47"/>
  <c r="P243" i="47"/>
  <c r="S240" i="47"/>
  <c r="R240" i="47"/>
  <c r="K240" i="47"/>
  <c r="K245" i="47" s="1"/>
  <c r="I240" i="47"/>
  <c r="Q237" i="47"/>
  <c r="O237" i="47"/>
  <c r="N237" i="47"/>
  <c r="M237" i="47"/>
  <c r="J237" i="47"/>
  <c r="H237" i="47"/>
  <c r="G237" i="47"/>
  <c r="E237" i="47"/>
  <c r="S235" i="47"/>
  <c r="P235" i="47"/>
  <c r="S234" i="47"/>
  <c r="P234" i="47"/>
  <c r="S233" i="47"/>
  <c r="P233" i="47"/>
  <c r="S232" i="47"/>
  <c r="P232" i="47"/>
  <c r="S231" i="47"/>
  <c r="P231" i="47"/>
  <c r="S230" i="47"/>
  <c r="R230" i="47"/>
  <c r="R237" i="47" s="1"/>
  <c r="K230" i="47"/>
  <c r="K237" i="47" s="1"/>
  <c r="I230" i="47"/>
  <c r="I237" i="47" s="1"/>
  <c r="Q227" i="47"/>
  <c r="O227" i="47"/>
  <c r="N227" i="47"/>
  <c r="M227" i="47"/>
  <c r="J227" i="47"/>
  <c r="H227" i="47"/>
  <c r="G227" i="47"/>
  <c r="E227" i="47"/>
  <c r="S226" i="47"/>
  <c r="P226" i="47"/>
  <c r="S225" i="47"/>
  <c r="P225" i="47"/>
  <c r="S224" i="47"/>
  <c r="P224" i="47"/>
  <c r="S223" i="47"/>
  <c r="P223" i="47"/>
  <c r="S222" i="47"/>
  <c r="P222" i="47"/>
  <c r="S221" i="47"/>
  <c r="K221" i="47"/>
  <c r="I221" i="47"/>
  <c r="S220" i="47"/>
  <c r="K220" i="47"/>
  <c r="I220" i="47"/>
  <c r="T219" i="47"/>
  <c r="T218" i="47"/>
  <c r="S217" i="47"/>
  <c r="R217" i="47"/>
  <c r="R227" i="47" s="1"/>
  <c r="K217" i="47"/>
  <c r="I217" i="47"/>
  <c r="Q214" i="47"/>
  <c r="O214" i="47"/>
  <c r="N214" i="47"/>
  <c r="M214" i="47"/>
  <c r="J214" i="47"/>
  <c r="H214" i="47"/>
  <c r="G214" i="47"/>
  <c r="E214" i="47"/>
  <c r="S212" i="47"/>
  <c r="P212" i="47"/>
  <c r="S211" i="47"/>
  <c r="P211" i="47"/>
  <c r="S210" i="47"/>
  <c r="R210" i="47"/>
  <c r="R214" i="47" s="1"/>
  <c r="K210" i="47"/>
  <c r="K214" i="47" s="1"/>
  <c r="I210" i="47"/>
  <c r="I214" i="47" s="1"/>
  <c r="Q207" i="47"/>
  <c r="O207" i="47"/>
  <c r="N207" i="47"/>
  <c r="M207" i="47"/>
  <c r="J207" i="47"/>
  <c r="H207" i="47"/>
  <c r="G207" i="47"/>
  <c r="E207" i="47"/>
  <c r="S205" i="47"/>
  <c r="R205" i="47"/>
  <c r="K205" i="47"/>
  <c r="K207" i="47" s="1"/>
  <c r="I205" i="47"/>
  <c r="S204" i="47"/>
  <c r="R204" i="47"/>
  <c r="I204" i="47"/>
  <c r="Q201" i="47"/>
  <c r="O201" i="47"/>
  <c r="N201" i="47"/>
  <c r="M201" i="47"/>
  <c r="J201" i="47"/>
  <c r="H201" i="47"/>
  <c r="G201" i="47"/>
  <c r="E201" i="47"/>
  <c r="S200" i="47"/>
  <c r="P200" i="47"/>
  <c r="S199" i="47"/>
  <c r="P199" i="47"/>
  <c r="S198" i="47"/>
  <c r="P198" i="47"/>
  <c r="S197" i="47"/>
  <c r="P197" i="47"/>
  <c r="S196" i="47"/>
  <c r="P196" i="47"/>
  <c r="S195" i="47"/>
  <c r="P195" i="47"/>
  <c r="S194" i="47"/>
  <c r="P194" i="47"/>
  <c r="S193" i="47"/>
  <c r="R193" i="47"/>
  <c r="K193" i="47"/>
  <c r="I193" i="47"/>
  <c r="S192" i="47"/>
  <c r="R192" i="47"/>
  <c r="R201" i="47" s="1"/>
  <c r="K192" i="47"/>
  <c r="I192" i="47"/>
  <c r="S189" i="47"/>
  <c r="Q189" i="47"/>
  <c r="E189" i="47"/>
  <c r="R187" i="47"/>
  <c r="K187" i="47"/>
  <c r="K189" i="47" s="1"/>
  <c r="I187" i="47"/>
  <c r="I189" i="47" s="1"/>
  <c r="Q184" i="47"/>
  <c r="O184" i="47"/>
  <c r="O189" i="47" s="1"/>
  <c r="N184" i="47"/>
  <c r="N189" i="47" s="1"/>
  <c r="M184" i="47"/>
  <c r="M189" i="47" s="1"/>
  <c r="J184" i="47"/>
  <c r="J189" i="47" s="1"/>
  <c r="H184" i="47"/>
  <c r="G184" i="47"/>
  <c r="G189" i="47" s="1"/>
  <c r="E184" i="47"/>
  <c r="S183" i="47"/>
  <c r="P183" i="47"/>
  <c r="S182" i="47"/>
  <c r="K182" i="47"/>
  <c r="P182" i="47" s="1"/>
  <c r="S181" i="47"/>
  <c r="P181" i="47"/>
  <c r="S180" i="47"/>
  <c r="K180" i="47"/>
  <c r="I180" i="47"/>
  <c r="R179" i="47"/>
  <c r="R184" i="47" s="1"/>
  <c r="R189" i="47" s="1"/>
  <c r="K179" i="47"/>
  <c r="I179" i="47"/>
  <c r="Q176" i="47"/>
  <c r="O176" i="47"/>
  <c r="N176" i="47"/>
  <c r="M176" i="47"/>
  <c r="J176" i="47"/>
  <c r="H176" i="47"/>
  <c r="G176" i="47"/>
  <c r="E176" i="47"/>
  <c r="S174" i="47"/>
  <c r="P174" i="47"/>
  <c r="S173" i="47"/>
  <c r="P173" i="47"/>
  <c r="S172" i="47"/>
  <c r="K172" i="47"/>
  <c r="I172" i="47"/>
  <c r="S171" i="47"/>
  <c r="K171" i="47"/>
  <c r="I171" i="47"/>
  <c r="S170" i="47"/>
  <c r="I170" i="47"/>
  <c r="P170" i="47" s="1"/>
  <c r="K169" i="47"/>
  <c r="I169" i="47"/>
  <c r="R168" i="47"/>
  <c r="R176" i="47" s="1"/>
  <c r="K168" i="47"/>
  <c r="I168" i="47"/>
  <c r="Q165" i="47"/>
  <c r="K165" i="47"/>
  <c r="E165" i="47"/>
  <c r="R163" i="47"/>
  <c r="S163" i="47" s="1"/>
  <c r="I163" i="47"/>
  <c r="L163" i="47" s="1"/>
  <c r="V160" i="47"/>
  <c r="V165" i="47" s="1"/>
  <c r="V176" i="47" s="1"/>
  <c r="V184" i="47" s="1"/>
  <c r="V189" i="47" s="1"/>
  <c r="V201" i="47" s="1"/>
  <c r="V207" i="47" s="1"/>
  <c r="V214" i="47" s="1"/>
  <c r="V227" i="47" s="1"/>
  <c r="V237" i="47" s="1"/>
  <c r="U160" i="47"/>
  <c r="U165" i="47" s="1"/>
  <c r="U176" i="47" s="1"/>
  <c r="U184" i="47" s="1"/>
  <c r="U189" i="47" s="1"/>
  <c r="U201" i="47" s="1"/>
  <c r="U207" i="47" s="1"/>
  <c r="U214" i="47" s="1"/>
  <c r="U227" i="47" s="1"/>
  <c r="U237" i="47" s="1"/>
  <c r="Q160" i="47"/>
  <c r="O160" i="47"/>
  <c r="O165" i="47" s="1"/>
  <c r="N160" i="47"/>
  <c r="N165" i="47" s="1"/>
  <c r="M160" i="47"/>
  <c r="M165" i="47" s="1"/>
  <c r="J160" i="47"/>
  <c r="J165" i="47" s="1"/>
  <c r="H160" i="47"/>
  <c r="G160" i="47"/>
  <c r="G165" i="47" s="1"/>
  <c r="E160" i="47"/>
  <c r="S159" i="47"/>
  <c r="P159" i="47"/>
  <c r="S158" i="47"/>
  <c r="K158" i="47"/>
  <c r="I158" i="47"/>
  <c r="S157" i="47"/>
  <c r="K157" i="47"/>
  <c r="I157" i="47"/>
  <c r="R156" i="47"/>
  <c r="R160" i="47" s="1"/>
  <c r="R165" i="47" s="1"/>
  <c r="K156" i="47"/>
  <c r="I156" i="47"/>
  <c r="Q153" i="47"/>
  <c r="O153" i="47"/>
  <c r="N153" i="47"/>
  <c r="M153" i="47"/>
  <c r="J153" i="47"/>
  <c r="H153" i="47"/>
  <c r="G153" i="47"/>
  <c r="E153" i="47"/>
  <c r="S152" i="47"/>
  <c r="P152" i="47"/>
  <c r="S151" i="47"/>
  <c r="P151" i="47"/>
  <c r="S150" i="47"/>
  <c r="P150" i="47"/>
  <c r="P149" i="47"/>
  <c r="T149" i="47" s="1"/>
  <c r="S148" i="47"/>
  <c r="K148" i="47"/>
  <c r="I148" i="47"/>
  <c r="S147" i="47"/>
  <c r="K147" i="47"/>
  <c r="I147" i="47"/>
  <c r="S146" i="47"/>
  <c r="K146" i="47"/>
  <c r="I146" i="47"/>
  <c r="R145" i="47"/>
  <c r="S145" i="47" s="1"/>
  <c r="K145" i="47"/>
  <c r="I145" i="47"/>
  <c r="Q142" i="47"/>
  <c r="O142" i="47"/>
  <c r="N142" i="47"/>
  <c r="M142" i="47"/>
  <c r="J142" i="47"/>
  <c r="H142" i="47"/>
  <c r="G142" i="47"/>
  <c r="E142" i="47"/>
  <c r="S140" i="47"/>
  <c r="K140" i="47"/>
  <c r="I140" i="47"/>
  <c r="S139" i="47"/>
  <c r="K139" i="47"/>
  <c r="I139" i="47"/>
  <c r="S138" i="47"/>
  <c r="K138" i="47"/>
  <c r="I138" i="47"/>
  <c r="R137" i="47"/>
  <c r="S137" i="47" s="1"/>
  <c r="K137" i="47"/>
  <c r="I137" i="47"/>
  <c r="Q134" i="47"/>
  <c r="O134" i="47"/>
  <c r="N134" i="47"/>
  <c r="M134" i="47"/>
  <c r="J134" i="47"/>
  <c r="H134" i="47"/>
  <c r="G134" i="47"/>
  <c r="E134" i="47"/>
  <c r="S132" i="47"/>
  <c r="K132" i="47"/>
  <c r="I132" i="47"/>
  <c r="S131" i="47"/>
  <c r="K131" i="47"/>
  <c r="I131" i="47"/>
  <c r="R130" i="47"/>
  <c r="R134" i="47" s="1"/>
  <c r="K130" i="47"/>
  <c r="I130" i="47"/>
  <c r="V127" i="47"/>
  <c r="U127" i="47"/>
  <c r="Q127" i="47"/>
  <c r="N127" i="47"/>
  <c r="M127" i="47"/>
  <c r="J127" i="47"/>
  <c r="H127" i="47"/>
  <c r="G127" i="47"/>
  <c r="F127" i="47"/>
  <c r="F134" i="47" s="1"/>
  <c r="F142" i="47" s="1"/>
  <c r="F153" i="47" s="1"/>
  <c r="F160" i="47" s="1"/>
  <c r="E127" i="47"/>
  <c r="S126" i="47"/>
  <c r="T126" i="47" s="1"/>
  <c r="S125" i="47"/>
  <c r="K125" i="47"/>
  <c r="I125" i="47"/>
  <c r="S124" i="47"/>
  <c r="O124" i="47"/>
  <c r="O127" i="47" s="1"/>
  <c r="K124" i="47"/>
  <c r="I124" i="47"/>
  <c r="R123" i="47"/>
  <c r="S123" i="47" s="1"/>
  <c r="K123" i="47"/>
  <c r="I123" i="47"/>
  <c r="C122" i="47"/>
  <c r="Q120" i="47"/>
  <c r="N120" i="47"/>
  <c r="M120" i="47"/>
  <c r="J120" i="47"/>
  <c r="H120" i="47"/>
  <c r="G120" i="47"/>
  <c r="F120" i="47"/>
  <c r="E120" i="47"/>
  <c r="S119" i="47"/>
  <c r="P119" i="47"/>
  <c r="S118" i="47"/>
  <c r="P118" i="47"/>
  <c r="S117" i="47"/>
  <c r="P117" i="47"/>
  <c r="S116" i="47"/>
  <c r="P116" i="47"/>
  <c r="S115" i="47"/>
  <c r="K115" i="47"/>
  <c r="I115" i="47"/>
  <c r="S114" i="47"/>
  <c r="K114" i="47"/>
  <c r="I114" i="47"/>
  <c r="S113" i="47"/>
  <c r="K113" i="47"/>
  <c r="I113" i="47"/>
  <c r="D113" i="47"/>
  <c r="D114" i="47" s="1"/>
  <c r="S112" i="47"/>
  <c r="K112" i="47"/>
  <c r="I112" i="47"/>
  <c r="O111" i="47"/>
  <c r="P111" i="47" s="1"/>
  <c r="R111" i="47" s="1"/>
  <c r="S111" i="47" s="1"/>
  <c r="K111" i="47"/>
  <c r="I111" i="47"/>
  <c r="R110" i="47"/>
  <c r="K110" i="47"/>
  <c r="I110" i="47"/>
  <c r="C109" i="47"/>
  <c r="Q107" i="47"/>
  <c r="N107" i="47"/>
  <c r="M107" i="47"/>
  <c r="J107" i="47"/>
  <c r="G107" i="47"/>
  <c r="F107" i="47"/>
  <c r="E107" i="47"/>
  <c r="S105" i="47"/>
  <c r="P105" i="47"/>
  <c r="O104" i="47"/>
  <c r="P104" i="47" s="1"/>
  <c r="R104" i="47" s="1"/>
  <c r="S104" i="47" s="1"/>
  <c r="T104" i="47" s="1"/>
  <c r="S103" i="47"/>
  <c r="O103" i="47"/>
  <c r="P103" i="47" s="1"/>
  <c r="S102" i="47"/>
  <c r="K102" i="47"/>
  <c r="I102" i="47"/>
  <c r="H102" i="47"/>
  <c r="S101" i="47"/>
  <c r="O101" i="47"/>
  <c r="P101" i="47" s="1"/>
  <c r="O100" i="47"/>
  <c r="R100" i="47" s="1"/>
  <c r="K100" i="47"/>
  <c r="I100" i="47"/>
  <c r="C99" i="47"/>
  <c r="R97" i="47"/>
  <c r="Q97" i="47"/>
  <c r="N97" i="47"/>
  <c r="M97" i="47"/>
  <c r="J97" i="47"/>
  <c r="H97" i="47"/>
  <c r="G97" i="47"/>
  <c r="F97" i="47"/>
  <c r="E97" i="47"/>
  <c r="S96" i="47"/>
  <c r="P96" i="47"/>
  <c r="S95" i="47"/>
  <c r="P95" i="47"/>
  <c r="S94" i="47"/>
  <c r="P94" i="47"/>
  <c r="S93" i="47"/>
  <c r="P93" i="47"/>
  <c r="S92" i="47"/>
  <c r="P92" i="47"/>
  <c r="S91" i="47"/>
  <c r="P91" i="47"/>
  <c r="S90" i="47"/>
  <c r="P90" i="47"/>
  <c r="S89" i="47"/>
  <c r="P89" i="47"/>
  <c r="S88" i="47"/>
  <c r="P88" i="47"/>
  <c r="S87" i="47"/>
  <c r="K87" i="47"/>
  <c r="P87" i="47" s="1"/>
  <c r="S86" i="47"/>
  <c r="T86" i="47" s="1"/>
  <c r="S85" i="47"/>
  <c r="T85" i="47" s="1"/>
  <c r="S84" i="47"/>
  <c r="K84" i="47"/>
  <c r="I84" i="47"/>
  <c r="S83" i="47"/>
  <c r="O83" i="47"/>
  <c r="K83" i="47"/>
  <c r="I83" i="47"/>
  <c r="S82" i="47"/>
  <c r="O82" i="47"/>
  <c r="K82" i="47"/>
  <c r="I82" i="47"/>
  <c r="D82" i="47"/>
  <c r="D83" i="47" s="1"/>
  <c r="S81" i="47"/>
  <c r="O81" i="47"/>
  <c r="K81" i="47"/>
  <c r="I81" i="47"/>
  <c r="S80" i="47"/>
  <c r="O80" i="47"/>
  <c r="K80" i="47"/>
  <c r="I80" i="47"/>
  <c r="S79" i="47"/>
  <c r="O79" i="47"/>
  <c r="K79" i="47"/>
  <c r="I79" i="47"/>
  <c r="S78" i="47"/>
  <c r="O78" i="47"/>
  <c r="K78" i="47"/>
  <c r="I78" i="47"/>
  <c r="S77" i="47"/>
  <c r="O77" i="47"/>
  <c r="K77" i="47"/>
  <c r="I77" i="47"/>
  <c r="S76" i="47"/>
  <c r="O76" i="47"/>
  <c r="K76" i="47"/>
  <c r="I76" i="47"/>
  <c r="S75" i="47"/>
  <c r="O75" i="47"/>
  <c r="K75" i="47"/>
  <c r="I75" i="47"/>
  <c r="S74" i="47"/>
  <c r="O74" i="47"/>
  <c r="K74" i="47"/>
  <c r="I74" i="47"/>
  <c r="C73" i="47"/>
  <c r="R71" i="47"/>
  <c r="N71" i="47"/>
  <c r="J71" i="47"/>
  <c r="H71" i="47"/>
  <c r="G71" i="47"/>
  <c r="F71" i="47"/>
  <c r="E71" i="47"/>
  <c r="S70" i="47"/>
  <c r="P70" i="47"/>
  <c r="S69" i="47"/>
  <c r="P69" i="47"/>
  <c r="S68" i="47"/>
  <c r="P68" i="47"/>
  <c r="S67" i="47"/>
  <c r="P67" i="47"/>
  <c r="S66" i="47"/>
  <c r="P66" i="47"/>
  <c r="P65" i="47"/>
  <c r="Q65" i="47" s="1"/>
  <c r="S65" i="47" s="1"/>
  <c r="P64" i="47"/>
  <c r="Q64" i="47" s="1"/>
  <c r="S64" i="47" s="1"/>
  <c r="T64" i="47" s="1"/>
  <c r="P63" i="47"/>
  <c r="Q63" i="47" s="1"/>
  <c r="S63" i="47" s="1"/>
  <c r="P62" i="47"/>
  <c r="Q62" i="47" s="1"/>
  <c r="S62" i="47" s="1"/>
  <c r="T62" i="47" s="1"/>
  <c r="S61" i="47"/>
  <c r="P61" i="47"/>
  <c r="S60" i="47"/>
  <c r="P60" i="47"/>
  <c r="S59" i="47"/>
  <c r="K59" i="47"/>
  <c r="I59" i="47"/>
  <c r="S58" i="47"/>
  <c r="K58" i="47"/>
  <c r="I58" i="47"/>
  <c r="K57" i="47"/>
  <c r="I57" i="47"/>
  <c r="K56" i="47"/>
  <c r="I56" i="47"/>
  <c r="S55" i="47"/>
  <c r="O55" i="47"/>
  <c r="K55" i="47"/>
  <c r="I55" i="47"/>
  <c r="S54" i="47"/>
  <c r="O54" i="47"/>
  <c r="K54" i="47"/>
  <c r="I54" i="47"/>
  <c r="S53" i="47"/>
  <c r="O53" i="47"/>
  <c r="K53" i="47"/>
  <c r="I53" i="47"/>
  <c r="S52" i="47"/>
  <c r="O52" i="47"/>
  <c r="K52" i="47"/>
  <c r="I52" i="47"/>
  <c r="S51" i="47"/>
  <c r="O51" i="47"/>
  <c r="K51" i="47"/>
  <c r="I51" i="47"/>
  <c r="S50" i="47"/>
  <c r="O50" i="47"/>
  <c r="K50" i="47"/>
  <c r="I50" i="47"/>
  <c r="S49" i="47"/>
  <c r="O49" i="47"/>
  <c r="K49" i="47"/>
  <c r="I49" i="47"/>
  <c r="S48" i="47"/>
  <c r="O48" i="47"/>
  <c r="K48" i="47"/>
  <c r="I48" i="47"/>
  <c r="S47" i="47"/>
  <c r="O47" i="47"/>
  <c r="K47" i="47"/>
  <c r="I47" i="47"/>
  <c r="S46" i="47"/>
  <c r="O46" i="47"/>
  <c r="K46" i="47"/>
  <c r="I46" i="47"/>
  <c r="S45" i="47"/>
  <c r="O45" i="47"/>
  <c r="K45" i="47"/>
  <c r="I45" i="47"/>
  <c r="S44" i="47"/>
  <c r="O44" i="47"/>
  <c r="K44" i="47"/>
  <c r="I44" i="47"/>
  <c r="S43" i="47"/>
  <c r="O43" i="47"/>
  <c r="K43" i="47"/>
  <c r="I43" i="47"/>
  <c r="S42" i="47"/>
  <c r="O42" i="47"/>
  <c r="K42" i="47"/>
  <c r="I42" i="47"/>
  <c r="S41" i="47"/>
  <c r="O41" i="47"/>
  <c r="K41" i="47"/>
  <c r="I41" i="47"/>
  <c r="D41" i="47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S40" i="47"/>
  <c r="O40" i="47"/>
  <c r="K40" i="47"/>
  <c r="I40" i="47"/>
  <c r="L39" i="47"/>
  <c r="M39" i="47" s="1"/>
  <c r="L38" i="47"/>
  <c r="M38" i="47" s="1"/>
  <c r="N37" i="47"/>
  <c r="M37" i="47"/>
  <c r="J37" i="47"/>
  <c r="H37" i="47"/>
  <c r="G37" i="47"/>
  <c r="F37" i="47"/>
  <c r="E37" i="47"/>
  <c r="S35" i="47"/>
  <c r="P35" i="47"/>
  <c r="S34" i="47"/>
  <c r="P34" i="47"/>
  <c r="P33" i="47"/>
  <c r="T33" i="47" s="1"/>
  <c r="S32" i="47"/>
  <c r="P32" i="47"/>
  <c r="S31" i="47"/>
  <c r="P31" i="47"/>
  <c r="S30" i="47"/>
  <c r="P30" i="47"/>
  <c r="S29" i="47"/>
  <c r="P29" i="47"/>
  <c r="S28" i="47"/>
  <c r="P28" i="47"/>
  <c r="S27" i="47"/>
  <c r="P27" i="47"/>
  <c r="S26" i="47"/>
  <c r="P26" i="47"/>
  <c r="P25" i="47"/>
  <c r="T25" i="47" s="1"/>
  <c r="S24" i="47"/>
  <c r="K24" i="47"/>
  <c r="P24" i="47" s="1"/>
  <c r="T23" i="47"/>
  <c r="S22" i="47"/>
  <c r="K22" i="47"/>
  <c r="I22" i="47"/>
  <c r="K21" i="47"/>
  <c r="I21" i="47"/>
  <c r="S20" i="47"/>
  <c r="O20" i="47"/>
  <c r="K20" i="47"/>
  <c r="I20" i="47"/>
  <c r="S19" i="47"/>
  <c r="O19" i="47"/>
  <c r="K19" i="47"/>
  <c r="I19" i="47"/>
  <c r="S18" i="47"/>
  <c r="O18" i="47"/>
  <c r="K18" i="47"/>
  <c r="I18" i="47"/>
  <c r="S17" i="47"/>
  <c r="O17" i="47"/>
  <c r="K17" i="47"/>
  <c r="I17" i="47"/>
  <c r="S16" i="47"/>
  <c r="O16" i="47"/>
  <c r="K16" i="47"/>
  <c r="I16" i="47"/>
  <c r="S15" i="47"/>
  <c r="O15" i="47"/>
  <c r="K15" i="47"/>
  <c r="I15" i="47"/>
  <c r="S14" i="47"/>
  <c r="O14" i="47"/>
  <c r="K14" i="47"/>
  <c r="I14" i="47"/>
  <c r="S13" i="47"/>
  <c r="O13" i="47"/>
  <c r="K13" i="47"/>
  <c r="I13" i="47"/>
  <c r="S12" i="47"/>
  <c r="O12" i="47"/>
  <c r="K12" i="47"/>
  <c r="I12" i="47"/>
  <c r="S11" i="47"/>
  <c r="O11" i="47"/>
  <c r="K11" i="47"/>
  <c r="I11" i="47"/>
  <c r="S10" i="47"/>
  <c r="O10" i="47"/>
  <c r="K10" i="47"/>
  <c r="I10" i="47"/>
  <c r="S9" i="47"/>
  <c r="O9" i="47"/>
  <c r="K9" i="47"/>
  <c r="I9" i="47"/>
  <c r="D9" i="47"/>
  <c r="D10" i="47" s="1"/>
  <c r="D11" i="47" s="1"/>
  <c r="D12" i="47" s="1"/>
  <c r="D13" i="47" s="1"/>
  <c r="D14" i="47" s="1"/>
  <c r="D15" i="47" s="1"/>
  <c r="D16" i="47" s="1"/>
  <c r="D17" i="47" s="1"/>
  <c r="D18" i="47" s="1"/>
  <c r="D19" i="47" s="1"/>
  <c r="D20" i="47" s="1"/>
  <c r="D21" i="47" s="1"/>
  <c r="D22" i="47" s="1"/>
  <c r="O8" i="47"/>
  <c r="R8" i="47" s="1"/>
  <c r="K8" i="47"/>
  <c r="I8" i="47"/>
  <c r="L7" i="47"/>
  <c r="S207" i="47" l="1"/>
  <c r="T222" i="47"/>
  <c r="T226" i="47"/>
  <c r="T151" i="47"/>
  <c r="P259" i="47"/>
  <c r="T34" i="47"/>
  <c r="L123" i="47"/>
  <c r="L127" i="47" s="1"/>
  <c r="L8" i="47"/>
  <c r="P21" i="47"/>
  <c r="Q21" i="47" s="1"/>
  <c r="S21" i="47" s="1"/>
  <c r="T87" i="47"/>
  <c r="L43" i="47"/>
  <c r="P58" i="47"/>
  <c r="T58" i="47" s="1"/>
  <c r="K127" i="47"/>
  <c r="T173" i="47"/>
  <c r="P48" i="47"/>
  <c r="T48" i="47" s="1"/>
  <c r="P50" i="47"/>
  <c r="T50" i="47" s="1"/>
  <c r="P52" i="47"/>
  <c r="T52" i="47" s="1"/>
  <c r="P54" i="47"/>
  <c r="T54" i="47" s="1"/>
  <c r="T31" i="47"/>
  <c r="T118" i="47"/>
  <c r="P124" i="47"/>
  <c r="T124" i="47" s="1"/>
  <c r="L220" i="47"/>
  <c r="T235" i="47"/>
  <c r="S254" i="47"/>
  <c r="P125" i="47"/>
  <c r="T234" i="47"/>
  <c r="T245" i="47" s="1"/>
  <c r="P20" i="47"/>
  <c r="T20" i="47" s="1"/>
  <c r="P14" i="47"/>
  <c r="T14" i="47" s="1"/>
  <c r="T32" i="47"/>
  <c r="T101" i="47"/>
  <c r="S130" i="47"/>
  <c r="S134" i="47" s="1"/>
  <c r="T150" i="47"/>
  <c r="T88" i="47"/>
  <c r="T92" i="47"/>
  <c r="T96" i="47"/>
  <c r="L100" i="47"/>
  <c r="L107" i="47" s="1"/>
  <c r="T105" i="47"/>
  <c r="P217" i="47"/>
  <c r="T217" i="47" s="1"/>
  <c r="P74" i="47"/>
  <c r="T74" i="47" s="1"/>
  <c r="L11" i="47"/>
  <c r="T69" i="47"/>
  <c r="L74" i="47"/>
  <c r="P75" i="47"/>
  <c r="T75" i="47" s="1"/>
  <c r="P79" i="47"/>
  <c r="T79" i="47" s="1"/>
  <c r="T89" i="47"/>
  <c r="L110" i="47"/>
  <c r="L120" i="47" s="1"/>
  <c r="I142" i="47"/>
  <c r="L145" i="47"/>
  <c r="L153" i="47" s="1"/>
  <c r="P179" i="47"/>
  <c r="K184" i="47"/>
  <c r="L192" i="47"/>
  <c r="T232" i="47"/>
  <c r="T182" i="47"/>
  <c r="K259" i="47"/>
  <c r="T66" i="47"/>
  <c r="T68" i="47"/>
  <c r="P114" i="47"/>
  <c r="T114" i="47" s="1"/>
  <c r="T119" i="47"/>
  <c r="O120" i="47"/>
  <c r="P140" i="47"/>
  <c r="T140" i="47" s="1"/>
  <c r="S156" i="47"/>
  <c r="S160" i="47" s="1"/>
  <c r="T211" i="47"/>
  <c r="T231" i="47"/>
  <c r="P49" i="47"/>
  <c r="T49" i="47" s="1"/>
  <c r="P131" i="47"/>
  <c r="T131" i="47" s="1"/>
  <c r="T243" i="47"/>
  <c r="T248" i="47"/>
  <c r="T249" i="47" s="1"/>
  <c r="T252" i="47"/>
  <c r="T254" i="47" s="1"/>
  <c r="L257" i="47"/>
  <c r="L259" i="47" s="1"/>
  <c r="L9" i="47"/>
  <c r="T103" i="47"/>
  <c r="T125" i="47"/>
  <c r="S153" i="47"/>
  <c r="T152" i="47"/>
  <c r="T181" i="47"/>
  <c r="T199" i="47"/>
  <c r="L221" i="47"/>
  <c r="L42" i="47"/>
  <c r="T61" i="47"/>
  <c r="S97" i="47"/>
  <c r="P82" i="47"/>
  <c r="T82" i="47" s="1"/>
  <c r="P84" i="47"/>
  <c r="T84" i="47" s="1"/>
  <c r="T91" i="47"/>
  <c r="T95" i="47"/>
  <c r="K107" i="47"/>
  <c r="P115" i="47"/>
  <c r="T115" i="47" s="1"/>
  <c r="K153" i="47"/>
  <c r="P157" i="47"/>
  <c r="T157" i="47" s="1"/>
  <c r="T194" i="47"/>
  <c r="P205" i="47"/>
  <c r="T205" i="47" s="1"/>
  <c r="S214" i="47"/>
  <c r="T224" i="47"/>
  <c r="P12" i="47"/>
  <c r="T12" i="47" s="1"/>
  <c r="L10" i="47"/>
  <c r="P45" i="47"/>
  <c r="T45" i="47" s="1"/>
  <c r="P47" i="47"/>
  <c r="T47" i="47" s="1"/>
  <c r="P57" i="47"/>
  <c r="Q57" i="47" s="1"/>
  <c r="S57" i="47" s="1"/>
  <c r="P102" i="47"/>
  <c r="T102" i="47" s="1"/>
  <c r="T117" i="47"/>
  <c r="I127" i="47"/>
  <c r="P147" i="47"/>
  <c r="T147" i="47" s="1"/>
  <c r="K160" i="47"/>
  <c r="T197" i="47"/>
  <c r="P44" i="47"/>
  <c r="T44" i="47" s="1"/>
  <c r="P16" i="47"/>
  <c r="T16" i="47" s="1"/>
  <c r="S184" i="47"/>
  <c r="P249" i="47"/>
  <c r="P8" i="47"/>
  <c r="S259" i="47"/>
  <c r="T27" i="47"/>
  <c r="P18" i="47"/>
  <c r="T18" i="47" s="1"/>
  <c r="K227" i="47"/>
  <c r="T60" i="47"/>
  <c r="T94" i="47"/>
  <c r="I107" i="47"/>
  <c r="P112" i="47"/>
  <c r="T112" i="47" s="1"/>
  <c r="P41" i="47"/>
  <c r="T41" i="47" s="1"/>
  <c r="P13" i="47"/>
  <c r="T13" i="47" s="1"/>
  <c r="T28" i="47"/>
  <c r="T35" i="47"/>
  <c r="P59" i="47"/>
  <c r="T59" i="47" s="1"/>
  <c r="T116" i="47"/>
  <c r="K142" i="47"/>
  <c r="P146" i="47"/>
  <c r="T146" i="47" s="1"/>
  <c r="R153" i="47"/>
  <c r="L193" i="47"/>
  <c r="S201" i="47"/>
  <c r="P15" i="47"/>
  <c r="T15" i="47" s="1"/>
  <c r="P22" i="47"/>
  <c r="T22" i="47" s="1"/>
  <c r="T26" i="47"/>
  <c r="T29" i="47"/>
  <c r="P80" i="47"/>
  <c r="T80" i="47" s="1"/>
  <c r="H107" i="47"/>
  <c r="H268" i="47" s="1"/>
  <c r="R127" i="47"/>
  <c r="P139" i="47"/>
  <c r="T139" i="47" s="1"/>
  <c r="T170" i="47"/>
  <c r="P180" i="47"/>
  <c r="T180" i="47" s="1"/>
  <c r="T183" i="47"/>
  <c r="T200" i="47"/>
  <c r="T262" i="47"/>
  <c r="T263" i="47" s="1"/>
  <c r="P10" i="47"/>
  <c r="T10" i="47" s="1"/>
  <c r="X35" i="47"/>
  <c r="X37" i="47" s="1"/>
  <c r="P56" i="47"/>
  <c r="Q56" i="47" s="1"/>
  <c r="O97" i="47"/>
  <c r="P76" i="47"/>
  <c r="T76" i="47" s="1"/>
  <c r="P78" i="47"/>
  <c r="T78" i="47" s="1"/>
  <c r="P113" i="47"/>
  <c r="T113" i="47" s="1"/>
  <c r="T196" i="47"/>
  <c r="L210" i="47"/>
  <c r="L214" i="47" s="1"/>
  <c r="I227" i="47"/>
  <c r="P220" i="47"/>
  <c r="T220" i="47" s="1"/>
  <c r="S245" i="47"/>
  <c r="P42" i="47"/>
  <c r="T42" i="47" s="1"/>
  <c r="T111" i="47"/>
  <c r="S127" i="47"/>
  <c r="K97" i="47"/>
  <c r="P83" i="47"/>
  <c r="T83" i="47" s="1"/>
  <c r="P138" i="47"/>
  <c r="T138" i="47" s="1"/>
  <c r="P172" i="47"/>
  <c r="T172" i="47" s="1"/>
  <c r="P193" i="47"/>
  <c r="T193" i="47" s="1"/>
  <c r="K37" i="47"/>
  <c r="P11" i="47"/>
  <c r="T11" i="47" s="1"/>
  <c r="T24" i="47"/>
  <c r="L40" i="47"/>
  <c r="M40" i="47" s="1"/>
  <c r="M71" i="47" s="1"/>
  <c r="M268" i="47" s="1"/>
  <c r="P81" i="47"/>
  <c r="T81" i="47" s="1"/>
  <c r="T90" i="47"/>
  <c r="T93" i="47"/>
  <c r="K120" i="47"/>
  <c r="G268" i="47"/>
  <c r="K134" i="47"/>
  <c r="P132" i="47"/>
  <c r="T132" i="47" s="1"/>
  <c r="S142" i="47"/>
  <c r="P148" i="47"/>
  <c r="T148" i="47" s="1"/>
  <c r="L179" i="47"/>
  <c r="L184" i="47" s="1"/>
  <c r="L189" i="47" s="1"/>
  <c r="T198" i="47"/>
  <c r="R207" i="47"/>
  <c r="T212" i="47"/>
  <c r="T233" i="47"/>
  <c r="L240" i="47"/>
  <c r="L245" i="47" s="1"/>
  <c r="T257" i="47"/>
  <c r="R245" i="47"/>
  <c r="T159" i="47"/>
  <c r="T195" i="47"/>
  <c r="T258" i="47"/>
  <c r="L41" i="47"/>
  <c r="P43" i="47"/>
  <c r="T43" i="47" s="1"/>
  <c r="P55" i="47"/>
  <c r="T55" i="47" s="1"/>
  <c r="P77" i="47"/>
  <c r="T77" i="47" s="1"/>
  <c r="L130" i="47"/>
  <c r="L134" i="47" s="1"/>
  <c r="P137" i="47"/>
  <c r="T137" i="47" s="1"/>
  <c r="I153" i="47"/>
  <c r="P163" i="47"/>
  <c r="P165" i="47" s="1"/>
  <c r="K176" i="47"/>
  <c r="I207" i="47"/>
  <c r="S227" i="47"/>
  <c r="T244" i="47"/>
  <c r="T266" i="47"/>
  <c r="T267" i="47" s="1"/>
  <c r="O71" i="47"/>
  <c r="I165" i="47"/>
  <c r="S237" i="47"/>
  <c r="K71" i="47"/>
  <c r="P169" i="47"/>
  <c r="T169" i="47" s="1"/>
  <c r="T225" i="47"/>
  <c r="P9" i="47"/>
  <c r="T9" i="47" s="1"/>
  <c r="P17" i="47"/>
  <c r="T17" i="47" s="1"/>
  <c r="P19" i="47"/>
  <c r="T19" i="47" s="1"/>
  <c r="T30" i="47"/>
  <c r="P46" i="47"/>
  <c r="T46" i="47" s="1"/>
  <c r="P51" i="47"/>
  <c r="T51" i="47" s="1"/>
  <c r="P53" i="47"/>
  <c r="T53" i="47" s="1"/>
  <c r="T67" i="47"/>
  <c r="T70" i="47"/>
  <c r="L75" i="47"/>
  <c r="L97" i="47" s="1"/>
  <c r="R120" i="47"/>
  <c r="I134" i="47"/>
  <c r="L137" i="47"/>
  <c r="L142" i="47" s="1"/>
  <c r="I160" i="47"/>
  <c r="P158" i="47"/>
  <c r="T158" i="47" s="1"/>
  <c r="L168" i="47"/>
  <c r="L176" i="47" s="1"/>
  <c r="P171" i="47"/>
  <c r="T171" i="47" s="1"/>
  <c r="T174" i="47"/>
  <c r="K201" i="47"/>
  <c r="T223" i="47"/>
  <c r="J268" i="47"/>
  <c r="E268" i="47"/>
  <c r="R37" i="47"/>
  <c r="S8" i="47"/>
  <c r="F165" i="47"/>
  <c r="F176" i="47" s="1"/>
  <c r="N268" i="47"/>
  <c r="S165" i="47"/>
  <c r="S100" i="47"/>
  <c r="S107" i="47" s="1"/>
  <c r="R107" i="47"/>
  <c r="I37" i="47"/>
  <c r="I97" i="47"/>
  <c r="P156" i="47"/>
  <c r="I201" i="47"/>
  <c r="P204" i="47"/>
  <c r="P40" i="47"/>
  <c r="O107" i="47"/>
  <c r="L156" i="47"/>
  <c r="L160" i="47" s="1"/>
  <c r="L165" i="47" s="1"/>
  <c r="S168" i="47"/>
  <c r="S176" i="47" s="1"/>
  <c r="L204" i="47"/>
  <c r="L207" i="47" s="1"/>
  <c r="P210" i="47"/>
  <c r="I71" i="47"/>
  <c r="T63" i="47"/>
  <c r="T65" i="47"/>
  <c r="P168" i="47"/>
  <c r="I176" i="47"/>
  <c r="P187" i="47"/>
  <c r="L217" i="47"/>
  <c r="P221" i="47"/>
  <c r="T221" i="47" s="1"/>
  <c r="I120" i="47"/>
  <c r="O37" i="47"/>
  <c r="I184" i="47"/>
  <c r="L187" i="47"/>
  <c r="P192" i="47"/>
  <c r="P230" i="47"/>
  <c r="P240" i="47"/>
  <c r="I245" i="47"/>
  <c r="P110" i="47"/>
  <c r="R142" i="47"/>
  <c r="S110" i="47"/>
  <c r="S120" i="47" s="1"/>
  <c r="L230" i="47"/>
  <c r="L237" i="47" s="1"/>
  <c r="P100" i="47" l="1"/>
  <c r="P184" i="47"/>
  <c r="T179" i="47"/>
  <c r="T184" i="47" s="1"/>
  <c r="Q37" i="47"/>
  <c r="S37" i="47"/>
  <c r="T21" i="47"/>
  <c r="L227" i="47"/>
  <c r="P123" i="47"/>
  <c r="T142" i="47"/>
  <c r="L71" i="47"/>
  <c r="L201" i="47"/>
  <c r="T57" i="47"/>
  <c r="P145" i="47"/>
  <c r="T145" i="47" s="1"/>
  <c r="T153" i="47" s="1"/>
  <c r="T97" i="47"/>
  <c r="L37" i="47"/>
  <c r="T259" i="47"/>
  <c r="T227" i="47"/>
  <c r="K268" i="47"/>
  <c r="O268" i="47"/>
  <c r="P97" i="47"/>
  <c r="P227" i="47"/>
  <c r="T163" i="47"/>
  <c r="T165" i="47" s="1"/>
  <c r="P142" i="47"/>
  <c r="R268" i="47"/>
  <c r="P130" i="47"/>
  <c r="P134" i="47" s="1"/>
  <c r="P37" i="47"/>
  <c r="T156" i="47"/>
  <c r="T160" i="47" s="1"/>
  <c r="P160" i="47"/>
  <c r="P201" i="47"/>
  <c r="T192" i="47"/>
  <c r="T201" i="47" s="1"/>
  <c r="T230" i="47"/>
  <c r="T237" i="47" s="1"/>
  <c r="P237" i="47"/>
  <c r="P189" i="47"/>
  <c r="T187" i="47"/>
  <c r="T189" i="47" s="1"/>
  <c r="T204" i="47"/>
  <c r="T207" i="47" s="1"/>
  <c r="P207" i="47"/>
  <c r="T8" i="47"/>
  <c r="P245" i="47"/>
  <c r="T240" i="47"/>
  <c r="P176" i="47"/>
  <c r="T168" i="47"/>
  <c r="T176" i="47" s="1"/>
  <c r="T210" i="47"/>
  <c r="T214" i="47" s="1"/>
  <c r="P214" i="47"/>
  <c r="P71" i="47"/>
  <c r="T40" i="47"/>
  <c r="T100" i="47"/>
  <c r="T107" i="47" s="1"/>
  <c r="P107" i="47"/>
  <c r="S56" i="47"/>
  <c r="Q71" i="47"/>
  <c r="P120" i="47"/>
  <c r="T110" i="47"/>
  <c r="T120" i="47" s="1"/>
  <c r="I268" i="47"/>
  <c r="F184" i="47"/>
  <c r="F189" i="47" s="1"/>
  <c r="T37" i="47" l="1"/>
  <c r="Q268" i="47"/>
  <c r="T123" i="47"/>
  <c r="T127" i="47" s="1"/>
  <c r="P127" i="47"/>
  <c r="L268" i="47"/>
  <c r="P153" i="47"/>
  <c r="T130" i="47"/>
  <c r="T134" i="47" s="1"/>
  <c r="T56" i="47"/>
  <c r="T71" i="47" s="1"/>
  <c r="S71" i="47"/>
  <c r="S268" i="47" s="1"/>
  <c r="F201" i="47"/>
  <c r="F207" i="47" s="1"/>
  <c r="P268" i="47" l="1"/>
  <c r="T268" i="47"/>
  <c r="F214" i="47"/>
  <c r="F227" i="47" s="1"/>
  <c r="F249" i="47" l="1"/>
  <c r="F245" i="47"/>
  <c r="F237" i="47"/>
  <c r="F254" i="47" s="1"/>
  <c r="F267" i="47" l="1"/>
  <c r="F263" i="47"/>
  <c r="F259" i="47"/>
  <c r="H7" i="45" l="1"/>
  <c r="G7" i="45"/>
  <c r="O93" i="7" l="1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M7" i="44" l="1"/>
  <c r="M8" i="44"/>
  <c r="O8" i="44" s="1"/>
  <c r="M10" i="44"/>
  <c r="N10" i="44" s="1"/>
  <c r="M6" i="44"/>
  <c r="O6" i="44" s="1"/>
  <c r="G9" i="44"/>
  <c r="M9" i="44" s="1"/>
  <c r="F415" i="44"/>
  <c r="H415" i="44" s="1"/>
  <c r="H416" i="44" s="1"/>
  <c r="F412" i="44"/>
  <c r="F413" i="44" s="1"/>
  <c r="H351" i="44"/>
  <c r="H352" i="44" s="1"/>
  <c r="H298" i="44"/>
  <c r="F273" i="44"/>
  <c r="H273" i="44" s="1"/>
  <c r="H274" i="44" s="1"/>
  <c r="E273" i="44"/>
  <c r="F210" i="44"/>
  <c r="H210" i="44" s="1"/>
  <c r="H211" i="44" s="1"/>
  <c r="E210" i="44"/>
  <c r="H183" i="44"/>
  <c r="E122" i="44"/>
  <c r="F122" i="44" s="1"/>
  <c r="F123" i="44" s="1"/>
  <c r="H97" i="44"/>
  <c r="H45" i="44"/>
  <c r="J25" i="44"/>
  <c r="I25" i="44"/>
  <c r="F25" i="44"/>
  <c r="E25" i="44"/>
  <c r="L24" i="44"/>
  <c r="H24" i="44"/>
  <c r="L23" i="44"/>
  <c r="L22" i="44"/>
  <c r="H22" i="44"/>
  <c r="L21" i="44"/>
  <c r="H21" i="44"/>
  <c r="L20" i="44"/>
  <c r="H20" i="44"/>
  <c r="L19" i="44"/>
  <c r="H19" i="44"/>
  <c r="L18" i="44"/>
  <c r="H18" i="44"/>
  <c r="L17" i="44"/>
  <c r="H17" i="44"/>
  <c r="D17" i="44"/>
  <c r="D25" i="44" s="1"/>
  <c r="L16" i="44"/>
  <c r="H16" i="44"/>
  <c r="L15" i="44"/>
  <c r="H15" i="44"/>
  <c r="L14" i="44"/>
  <c r="H14" i="44"/>
  <c r="L13" i="44"/>
  <c r="H13" i="44"/>
  <c r="L12" i="44"/>
  <c r="H12" i="44"/>
  <c r="M11" i="44"/>
  <c r="H11" i="44"/>
  <c r="L10" i="44"/>
  <c r="L9" i="44"/>
  <c r="L8" i="44"/>
  <c r="L7" i="44"/>
  <c r="C7" i="44"/>
  <c r="L6" i="44"/>
  <c r="C6" i="44"/>
  <c r="I25" i="43"/>
  <c r="H25" i="43"/>
  <c r="O9" i="44" l="1"/>
  <c r="N9" i="44"/>
  <c r="G25" i="44"/>
  <c r="M25" i="44" s="1"/>
  <c r="N25" i="44" s="1"/>
  <c r="H122" i="44"/>
  <c r="H123" i="44" s="1"/>
  <c r="N6" i="44"/>
  <c r="P6" i="44" s="1"/>
  <c r="Q6" i="44" s="1"/>
  <c r="O10" i="44"/>
  <c r="P10" i="44" s="1"/>
  <c r="Q10" i="44" s="1"/>
  <c r="N7" i="44"/>
  <c r="O7" i="44"/>
  <c r="N8" i="44"/>
  <c r="P8" i="44" s="1"/>
  <c r="Q8" i="44" s="1"/>
  <c r="H25" i="44"/>
  <c r="F416" i="44"/>
  <c r="P7" i="44" l="1"/>
  <c r="Q7" i="44" s="1"/>
  <c r="L25" i="44"/>
  <c r="M26" i="44"/>
  <c r="N26" i="44" s="1"/>
  <c r="P9" i="44"/>
  <c r="Q9" i="44" s="1"/>
  <c r="K26" i="44"/>
  <c r="K27" i="44" s="1"/>
  <c r="F415" i="43" l="1"/>
  <c r="F416" i="43" s="1"/>
  <c r="F412" i="43"/>
  <c r="F413" i="43" s="1"/>
  <c r="G351" i="43"/>
  <c r="G352" i="43" s="1"/>
  <c r="G298" i="43"/>
  <c r="F273" i="43"/>
  <c r="G273" i="43" s="1"/>
  <c r="G274" i="43" s="1"/>
  <c r="E273" i="43"/>
  <c r="F210" i="43"/>
  <c r="G210" i="43" s="1"/>
  <c r="G211" i="43" s="1"/>
  <c r="E210" i="43"/>
  <c r="G183" i="43"/>
  <c r="E122" i="43"/>
  <c r="F122" i="43" s="1"/>
  <c r="F123" i="43" s="1"/>
  <c r="G97" i="43"/>
  <c r="G45" i="43"/>
  <c r="F25" i="43"/>
  <c r="E25" i="43"/>
  <c r="K24" i="43"/>
  <c r="G24" i="43"/>
  <c r="K23" i="43"/>
  <c r="G23" i="43"/>
  <c r="K22" i="43"/>
  <c r="G22" i="43"/>
  <c r="K21" i="43"/>
  <c r="G21" i="43"/>
  <c r="K20" i="43"/>
  <c r="G20" i="43"/>
  <c r="K19" i="43"/>
  <c r="G19" i="43"/>
  <c r="K18" i="43"/>
  <c r="G18" i="43"/>
  <c r="K17" i="43"/>
  <c r="G17" i="43"/>
  <c r="D17" i="43"/>
  <c r="D25" i="43" s="1"/>
  <c r="K16" i="43"/>
  <c r="G16" i="43"/>
  <c r="K15" i="43"/>
  <c r="G15" i="43"/>
  <c r="K14" i="43"/>
  <c r="G14" i="43"/>
  <c r="K13" i="43"/>
  <c r="G13" i="43"/>
  <c r="K12" i="43"/>
  <c r="G12" i="43"/>
  <c r="L11" i="43"/>
  <c r="G11" i="43"/>
  <c r="K10" i="43"/>
  <c r="G10" i="43"/>
  <c r="K9" i="43"/>
  <c r="G9" i="43"/>
  <c r="K8" i="43"/>
  <c r="G8" i="43"/>
  <c r="K7" i="43"/>
  <c r="G7" i="43"/>
  <c r="C7" i="43"/>
  <c r="K6" i="43"/>
  <c r="G6" i="43"/>
  <c r="C6" i="43"/>
  <c r="G415" i="43" l="1"/>
  <c r="G416" i="43" s="1"/>
  <c r="G122" i="43"/>
  <c r="G123" i="43" s="1"/>
  <c r="G25" i="43"/>
  <c r="T9" i="13" l="1"/>
  <c r="N26" i="35" l="1"/>
  <c r="N27" i="35"/>
  <c r="N28" i="35"/>
  <c r="N29" i="35"/>
  <c r="N30" i="35"/>
  <c r="N31" i="35"/>
  <c r="N32" i="35"/>
  <c r="N33" i="35"/>
  <c r="N34" i="35"/>
  <c r="N25" i="35"/>
  <c r="M26" i="35"/>
  <c r="M27" i="35"/>
  <c r="M28" i="35"/>
  <c r="M29" i="35"/>
  <c r="M30" i="35"/>
  <c r="M31" i="35"/>
  <c r="M32" i="35"/>
  <c r="M33" i="35"/>
  <c r="M34" i="35"/>
  <c r="M25" i="35"/>
  <c r="C58" i="35" l="1"/>
  <c r="F58" i="35" s="1"/>
  <c r="W40" i="35" l="1"/>
  <c r="X40" i="35" s="1"/>
  <c r="W41" i="35" l="1"/>
  <c r="Y41" i="35" s="1"/>
  <c r="G62" i="35" l="1"/>
  <c r="L26" i="35" l="1"/>
  <c r="L25" i="35"/>
  <c r="J62" i="35" l="1"/>
  <c r="P62" i="35" l="1"/>
  <c r="E62" i="35"/>
  <c r="R62" i="35" l="1"/>
  <c r="L62" i="35" l="1"/>
  <c r="L63" i="35" s="1"/>
  <c r="N62" i="35"/>
  <c r="N63" i="35" s="1"/>
  <c r="G63" i="35" l="1"/>
  <c r="I62" i="35"/>
  <c r="T62" i="35"/>
  <c r="H144" i="40" l="1"/>
  <c r="H143" i="40"/>
  <c r="H142" i="40"/>
  <c r="H141" i="40"/>
  <c r="H140" i="40"/>
  <c r="H139" i="40"/>
  <c r="H138" i="40"/>
  <c r="H137" i="40"/>
  <c r="H136" i="40"/>
  <c r="H135" i="40"/>
  <c r="H134" i="40"/>
  <c r="H133" i="40"/>
  <c r="H132" i="40"/>
  <c r="N109" i="40"/>
  <c r="N102" i="40"/>
  <c r="T99" i="40"/>
  <c r="O99" i="40"/>
  <c r="N96" i="40"/>
  <c r="H96" i="40"/>
  <c r="E96" i="40"/>
  <c r="U95" i="40"/>
  <c r="P95" i="40"/>
  <c r="U94" i="40"/>
  <c r="P94" i="40"/>
  <c r="K94" i="40"/>
  <c r="U93" i="40"/>
  <c r="P93" i="40"/>
  <c r="K93" i="40"/>
  <c r="U92" i="40"/>
  <c r="P92" i="40"/>
  <c r="K92" i="40"/>
  <c r="U91" i="40"/>
  <c r="P91" i="40"/>
  <c r="K91" i="40"/>
  <c r="U90" i="40"/>
  <c r="P90" i="40"/>
  <c r="K90" i="40"/>
  <c r="U89" i="40"/>
  <c r="P89" i="40"/>
  <c r="K89" i="40"/>
  <c r="U88" i="40"/>
  <c r="P88" i="40"/>
  <c r="K88" i="40"/>
  <c r="U87" i="40"/>
  <c r="P87" i="40"/>
  <c r="K87" i="40"/>
  <c r="U86" i="40"/>
  <c r="P86" i="40"/>
  <c r="K86" i="40"/>
  <c r="U85" i="40"/>
  <c r="P85" i="40"/>
  <c r="K85" i="40"/>
  <c r="U84" i="40"/>
  <c r="P84" i="40"/>
  <c r="K84" i="40"/>
  <c r="U83" i="40"/>
  <c r="P83" i="40"/>
  <c r="K83" i="40"/>
  <c r="U82" i="40"/>
  <c r="P82" i="40"/>
  <c r="K82" i="40"/>
  <c r="U81" i="40"/>
  <c r="P81" i="40"/>
  <c r="K81" i="40"/>
  <c r="U80" i="40"/>
  <c r="P80" i="40"/>
  <c r="K80" i="40"/>
  <c r="U79" i="40"/>
  <c r="P79" i="40"/>
  <c r="K79" i="40"/>
  <c r="R76" i="40"/>
  <c r="R99" i="40" s="1"/>
  <c r="N76" i="40"/>
  <c r="H76" i="40"/>
  <c r="E76" i="40"/>
  <c r="E99" i="40" s="1"/>
  <c r="U68" i="40"/>
  <c r="P68" i="40"/>
  <c r="U67" i="40"/>
  <c r="P67" i="40"/>
  <c r="U66" i="40"/>
  <c r="P66" i="40"/>
  <c r="U65" i="40"/>
  <c r="P65" i="40"/>
  <c r="U64" i="40"/>
  <c r="P64" i="40"/>
  <c r="U63" i="40"/>
  <c r="P63" i="40"/>
  <c r="U62" i="40"/>
  <c r="P62" i="40"/>
  <c r="U61" i="40"/>
  <c r="P61" i="40"/>
  <c r="U60" i="40"/>
  <c r="P60" i="40"/>
  <c r="U59" i="40"/>
  <c r="M59" i="40"/>
  <c r="P59" i="40" s="1"/>
  <c r="U58" i="40"/>
  <c r="P58" i="40"/>
  <c r="U57" i="40"/>
  <c r="P57" i="40"/>
  <c r="U56" i="40"/>
  <c r="P56" i="40"/>
  <c r="U55" i="40"/>
  <c r="P55" i="40"/>
  <c r="U54" i="40"/>
  <c r="P54" i="40"/>
  <c r="U53" i="40"/>
  <c r="P53" i="40"/>
  <c r="U52" i="40"/>
  <c r="P52" i="40"/>
  <c r="U51" i="40"/>
  <c r="P51" i="40"/>
  <c r="U50" i="40"/>
  <c r="P50" i="40"/>
  <c r="U49" i="40"/>
  <c r="P49" i="40"/>
  <c r="U48" i="40"/>
  <c r="P48" i="40"/>
  <c r="U47" i="40"/>
  <c r="P47" i="40"/>
  <c r="U46" i="40"/>
  <c r="P46" i="40"/>
  <c r="U45" i="40"/>
  <c r="P45" i="40"/>
  <c r="U44" i="40"/>
  <c r="P44" i="40"/>
  <c r="U43" i="40"/>
  <c r="P43" i="40"/>
  <c r="U42" i="40"/>
  <c r="P42" i="40"/>
  <c r="U41" i="40"/>
  <c r="P41" i="40"/>
  <c r="U40" i="40"/>
  <c r="P40" i="40"/>
  <c r="U39" i="40"/>
  <c r="P39" i="40"/>
  <c r="U38" i="40"/>
  <c r="P38" i="40"/>
  <c r="U37" i="40"/>
  <c r="P37" i="40"/>
  <c r="U36" i="40"/>
  <c r="P36" i="40"/>
  <c r="U35" i="40"/>
  <c r="P35" i="40"/>
  <c r="U34" i="40"/>
  <c r="P34" i="40"/>
  <c r="U33" i="40"/>
  <c r="P33" i="40"/>
  <c r="U32" i="40"/>
  <c r="P32" i="40"/>
  <c r="U31" i="40"/>
  <c r="P31" i="40"/>
  <c r="U30" i="40"/>
  <c r="P30" i="40"/>
  <c r="U29" i="40"/>
  <c r="P29" i="40"/>
  <c r="U28" i="40"/>
  <c r="P28" i="40"/>
  <c r="U27" i="40"/>
  <c r="P27" i="40"/>
  <c r="U26" i="40"/>
  <c r="P26" i="40"/>
  <c r="U25" i="40"/>
  <c r="P25" i="40"/>
  <c r="U24" i="40"/>
  <c r="P24" i="40"/>
  <c r="U23" i="40"/>
  <c r="P23" i="40"/>
  <c r="U22" i="40"/>
  <c r="P22" i="40"/>
  <c r="U21" i="40"/>
  <c r="P21" i="40"/>
  <c r="U20" i="40"/>
  <c r="P20" i="40"/>
  <c r="U19" i="40"/>
  <c r="P19" i="40"/>
  <c r="U18" i="40"/>
  <c r="P18" i="40"/>
  <c r="U17" i="40"/>
  <c r="P17" i="40"/>
  <c r="U16" i="40"/>
  <c r="P16" i="40"/>
  <c r="U15" i="40"/>
  <c r="P15" i="40"/>
  <c r="U14" i="40"/>
  <c r="P14" i="40"/>
  <c r="U13" i="40"/>
  <c r="P13" i="40"/>
  <c r="U12" i="40"/>
  <c r="P12" i="40"/>
  <c r="U11" i="40"/>
  <c r="P11" i="40"/>
  <c r="U10" i="40"/>
  <c r="P10" i="40"/>
  <c r="U9" i="40"/>
  <c r="P9" i="40"/>
  <c r="U8" i="40"/>
  <c r="P8" i="40"/>
  <c r="U7" i="40"/>
  <c r="K7" i="40"/>
  <c r="U96" i="40" l="1"/>
  <c r="U76" i="40"/>
  <c r="H99" i="40"/>
  <c r="K96" i="40"/>
  <c r="N99" i="40"/>
  <c r="P96" i="40"/>
  <c r="F68" i="40"/>
  <c r="G68" i="40" s="1"/>
  <c r="K68" i="40" s="1"/>
  <c r="F66" i="40"/>
  <c r="G66" i="40" s="1"/>
  <c r="K66" i="40" s="1"/>
  <c r="F64" i="40"/>
  <c r="G64" i="40" s="1"/>
  <c r="K64" i="40" s="1"/>
  <c r="F62" i="40"/>
  <c r="G62" i="40" s="1"/>
  <c r="K62" i="40" s="1"/>
  <c r="F60" i="40"/>
  <c r="G60" i="40" s="1"/>
  <c r="K60" i="40" s="1"/>
  <c r="F59" i="40"/>
  <c r="G59" i="40" s="1"/>
  <c r="K59" i="40" s="1"/>
  <c r="F57" i="40"/>
  <c r="G57" i="40" s="1"/>
  <c r="K57" i="40" s="1"/>
  <c r="F55" i="40"/>
  <c r="G55" i="40" s="1"/>
  <c r="K55" i="40" s="1"/>
  <c r="F53" i="40"/>
  <c r="G53" i="40" s="1"/>
  <c r="K53" i="40" s="1"/>
  <c r="F51" i="40"/>
  <c r="G51" i="40" s="1"/>
  <c r="K51" i="40" s="1"/>
  <c r="F49" i="40"/>
  <c r="G49" i="40" s="1"/>
  <c r="K49" i="40" s="1"/>
  <c r="F47" i="40"/>
  <c r="G47" i="40" s="1"/>
  <c r="K47" i="40" s="1"/>
  <c r="F45" i="40"/>
  <c r="G45" i="40" s="1"/>
  <c r="K45" i="40" s="1"/>
  <c r="F43" i="40"/>
  <c r="G43" i="40" s="1"/>
  <c r="K43" i="40" s="1"/>
  <c r="F41" i="40"/>
  <c r="G41" i="40" s="1"/>
  <c r="K41" i="40" s="1"/>
  <c r="F39" i="40"/>
  <c r="G39" i="40" s="1"/>
  <c r="K39" i="40" s="1"/>
  <c r="F37" i="40"/>
  <c r="G37" i="40" s="1"/>
  <c r="K37" i="40" s="1"/>
  <c r="F35" i="40"/>
  <c r="G35" i="40" s="1"/>
  <c r="K35" i="40" s="1"/>
  <c r="F33" i="40"/>
  <c r="G33" i="40" s="1"/>
  <c r="K33" i="40" s="1"/>
  <c r="F31" i="40"/>
  <c r="G31" i="40" s="1"/>
  <c r="K31" i="40" s="1"/>
  <c r="F29" i="40"/>
  <c r="G29" i="40" s="1"/>
  <c r="K29" i="40" s="1"/>
  <c r="F27" i="40"/>
  <c r="G27" i="40" s="1"/>
  <c r="K27" i="40" s="1"/>
  <c r="F25" i="40"/>
  <c r="G25" i="40" s="1"/>
  <c r="K25" i="40" s="1"/>
  <c r="F23" i="40"/>
  <c r="G23" i="40" s="1"/>
  <c r="K23" i="40" s="1"/>
  <c r="F21" i="40"/>
  <c r="G21" i="40" s="1"/>
  <c r="K21" i="40" s="1"/>
  <c r="F19" i="40"/>
  <c r="G19" i="40" s="1"/>
  <c r="K19" i="40" s="1"/>
  <c r="F17" i="40"/>
  <c r="G17" i="40" s="1"/>
  <c r="K17" i="40" s="1"/>
  <c r="F15" i="40"/>
  <c r="G15" i="40" s="1"/>
  <c r="K15" i="40" s="1"/>
  <c r="F13" i="40"/>
  <c r="G13" i="40" s="1"/>
  <c r="K13" i="40" s="1"/>
  <c r="F11" i="40"/>
  <c r="G11" i="40" s="1"/>
  <c r="K11" i="40" s="1"/>
  <c r="F9" i="40"/>
  <c r="G9" i="40" s="1"/>
  <c r="K9" i="40" s="1"/>
  <c r="F74" i="40"/>
  <c r="G74" i="40" s="1"/>
  <c r="F73" i="40"/>
  <c r="G73" i="40" s="1"/>
  <c r="F72" i="40"/>
  <c r="G72" i="40" s="1"/>
  <c r="F71" i="40"/>
  <c r="G71" i="40" s="1"/>
  <c r="F70" i="40"/>
  <c r="G70" i="40" s="1"/>
  <c r="F69" i="40"/>
  <c r="G69" i="40" s="1"/>
  <c r="F67" i="40"/>
  <c r="G67" i="40" s="1"/>
  <c r="K67" i="40" s="1"/>
  <c r="F65" i="40"/>
  <c r="G65" i="40" s="1"/>
  <c r="K65" i="40" s="1"/>
  <c r="F63" i="40"/>
  <c r="G63" i="40" s="1"/>
  <c r="K63" i="40" s="1"/>
  <c r="F61" i="40"/>
  <c r="G61" i="40" s="1"/>
  <c r="K61" i="40" s="1"/>
  <c r="F58" i="40"/>
  <c r="G58" i="40" s="1"/>
  <c r="K58" i="40" s="1"/>
  <c r="F56" i="40"/>
  <c r="G56" i="40" s="1"/>
  <c r="K56" i="40" s="1"/>
  <c r="F54" i="40"/>
  <c r="G54" i="40" s="1"/>
  <c r="K54" i="40" s="1"/>
  <c r="F52" i="40"/>
  <c r="G52" i="40" s="1"/>
  <c r="K52" i="40" s="1"/>
  <c r="F50" i="40"/>
  <c r="G50" i="40" s="1"/>
  <c r="K50" i="40" s="1"/>
  <c r="F48" i="40"/>
  <c r="G48" i="40" s="1"/>
  <c r="K48" i="40" s="1"/>
  <c r="F46" i="40"/>
  <c r="G46" i="40" s="1"/>
  <c r="K46" i="40" s="1"/>
  <c r="F44" i="40"/>
  <c r="G44" i="40" s="1"/>
  <c r="K44" i="40" s="1"/>
  <c r="F42" i="40"/>
  <c r="G42" i="40" s="1"/>
  <c r="K42" i="40" s="1"/>
  <c r="F40" i="40"/>
  <c r="G40" i="40" s="1"/>
  <c r="K40" i="40" s="1"/>
  <c r="F38" i="40"/>
  <c r="G38" i="40" s="1"/>
  <c r="K38" i="40" s="1"/>
  <c r="F36" i="40"/>
  <c r="G36" i="40" s="1"/>
  <c r="K36" i="40" s="1"/>
  <c r="F34" i="40"/>
  <c r="G34" i="40" s="1"/>
  <c r="K34" i="40" s="1"/>
  <c r="F32" i="40"/>
  <c r="G32" i="40" s="1"/>
  <c r="K32" i="40" s="1"/>
  <c r="F30" i="40"/>
  <c r="G30" i="40" s="1"/>
  <c r="K30" i="40" s="1"/>
  <c r="F28" i="40"/>
  <c r="G28" i="40" s="1"/>
  <c r="K28" i="40" s="1"/>
  <c r="F26" i="40"/>
  <c r="G26" i="40" s="1"/>
  <c r="K26" i="40" s="1"/>
  <c r="F24" i="40"/>
  <c r="G24" i="40" s="1"/>
  <c r="K24" i="40" s="1"/>
  <c r="F22" i="40"/>
  <c r="G22" i="40" s="1"/>
  <c r="K22" i="40" s="1"/>
  <c r="F20" i="40"/>
  <c r="G20" i="40" s="1"/>
  <c r="K20" i="40" s="1"/>
  <c r="F18" i="40"/>
  <c r="G18" i="40" s="1"/>
  <c r="K18" i="40" s="1"/>
  <c r="F16" i="40"/>
  <c r="G16" i="40" s="1"/>
  <c r="K16" i="40" s="1"/>
  <c r="F14" i="40"/>
  <c r="G14" i="40" s="1"/>
  <c r="K14" i="40" s="1"/>
  <c r="F12" i="40"/>
  <c r="G12" i="40" s="1"/>
  <c r="K12" i="40" s="1"/>
  <c r="F10" i="40"/>
  <c r="G10" i="40" s="1"/>
  <c r="K10" i="40" s="1"/>
  <c r="F8" i="40"/>
  <c r="N104" i="40"/>
  <c r="N103" i="40"/>
  <c r="L7" i="40"/>
  <c r="M7" i="40" s="1"/>
  <c r="H107" i="40" l="1"/>
  <c r="H108" i="40" s="1"/>
  <c r="U99" i="40"/>
  <c r="P7" i="40"/>
  <c r="P76" i="40" s="1"/>
  <c r="P99" i="40" s="1"/>
  <c r="M70" i="40"/>
  <c r="K70" i="40"/>
  <c r="M72" i="40"/>
  <c r="K72" i="40"/>
  <c r="M74" i="40"/>
  <c r="K74" i="40"/>
  <c r="F76" i="40"/>
  <c r="G8" i="40"/>
  <c r="M69" i="40"/>
  <c r="K69" i="40"/>
  <c r="M71" i="40"/>
  <c r="K71" i="40"/>
  <c r="M73" i="40"/>
  <c r="K73" i="40"/>
  <c r="M76" i="40" l="1"/>
  <c r="M99" i="40" s="1"/>
  <c r="G76" i="40"/>
  <c r="K8" i="40"/>
  <c r="K76" i="40" s="1"/>
  <c r="K99" i="40" s="1"/>
  <c r="K15" i="38" l="1"/>
  <c r="G15" i="38"/>
  <c r="F15" i="38"/>
  <c r="X10" i="38"/>
  <c r="G10" i="38"/>
  <c r="X14" i="38"/>
  <c r="K14" i="38"/>
  <c r="G14" i="38"/>
  <c r="X13" i="38"/>
  <c r="G13" i="38"/>
  <c r="E13" i="38"/>
  <c r="F12" i="38"/>
  <c r="G11" i="38"/>
  <c r="F11" i="38"/>
  <c r="E11" i="38"/>
  <c r="X9" i="38"/>
  <c r="G9" i="38"/>
  <c r="F9" i="38"/>
  <c r="E9" i="38"/>
  <c r="F146" i="37" l="1"/>
  <c r="F145" i="37"/>
  <c r="F144" i="37"/>
  <c r="F143" i="37"/>
  <c r="F142" i="37"/>
  <c r="F141" i="37"/>
  <c r="F140" i="37"/>
  <c r="F139" i="37"/>
  <c r="F138" i="37"/>
  <c r="F137" i="37"/>
  <c r="F136" i="37"/>
  <c r="F135" i="37"/>
  <c r="F134" i="37"/>
  <c r="L111" i="37"/>
  <c r="N103" i="37"/>
  <c r="P103" i="37" s="1"/>
  <c r="R101" i="37"/>
  <c r="M101" i="37"/>
  <c r="H101" i="37"/>
  <c r="Q99" i="37"/>
  <c r="L99" i="37"/>
  <c r="F99" i="37"/>
  <c r="S98" i="37"/>
  <c r="N98" i="37"/>
  <c r="G98" i="37"/>
  <c r="S97" i="37"/>
  <c r="N97" i="37"/>
  <c r="G97" i="37"/>
  <c r="S96" i="37"/>
  <c r="N96" i="37"/>
  <c r="G96" i="37"/>
  <c r="S95" i="37"/>
  <c r="N95" i="37"/>
  <c r="G95" i="37"/>
  <c r="S94" i="37"/>
  <c r="N94" i="37"/>
  <c r="G94" i="37"/>
  <c r="S93" i="37"/>
  <c r="N93" i="37"/>
  <c r="G93" i="37"/>
  <c r="Q90" i="37"/>
  <c r="L90" i="37"/>
  <c r="F90" i="37"/>
  <c r="I90" i="37" s="1"/>
  <c r="E90" i="37"/>
  <c r="S89" i="37"/>
  <c r="N89" i="37"/>
  <c r="S88" i="37"/>
  <c r="N88" i="37"/>
  <c r="G88" i="37"/>
  <c r="S87" i="37"/>
  <c r="N87" i="37"/>
  <c r="G87" i="37"/>
  <c r="S86" i="37"/>
  <c r="N86" i="37"/>
  <c r="G86" i="37"/>
  <c r="S85" i="37"/>
  <c r="N85" i="37"/>
  <c r="G85" i="37"/>
  <c r="S84" i="37"/>
  <c r="N84" i="37"/>
  <c r="G84" i="37"/>
  <c r="S83" i="37"/>
  <c r="N83" i="37"/>
  <c r="G83" i="37"/>
  <c r="S82" i="37"/>
  <c r="N82" i="37"/>
  <c r="G82" i="37"/>
  <c r="S81" i="37"/>
  <c r="N81" i="37"/>
  <c r="G81" i="37"/>
  <c r="S80" i="37"/>
  <c r="N80" i="37"/>
  <c r="G80" i="37"/>
  <c r="S79" i="37"/>
  <c r="N79" i="37"/>
  <c r="G79" i="37"/>
  <c r="S78" i="37"/>
  <c r="N78" i="37"/>
  <c r="G78" i="37"/>
  <c r="S77" i="37"/>
  <c r="N77" i="37"/>
  <c r="G77" i="37"/>
  <c r="S76" i="37"/>
  <c r="N76" i="37"/>
  <c r="G76" i="37"/>
  <c r="S75" i="37"/>
  <c r="N75" i="37"/>
  <c r="G75" i="37"/>
  <c r="S74" i="37"/>
  <c r="N74" i="37"/>
  <c r="G74" i="37"/>
  <c r="S73" i="37"/>
  <c r="N73" i="37"/>
  <c r="G73" i="37"/>
  <c r="Q70" i="37"/>
  <c r="P70" i="37"/>
  <c r="P101" i="37" s="1"/>
  <c r="L70" i="37"/>
  <c r="F70" i="37"/>
  <c r="I70" i="37" s="1"/>
  <c r="E70" i="37"/>
  <c r="E101" i="37" s="1"/>
  <c r="E102" i="37" s="1"/>
  <c r="S68" i="37"/>
  <c r="N68" i="37"/>
  <c r="G68" i="37"/>
  <c r="S67" i="37"/>
  <c r="N67" i="37"/>
  <c r="G67" i="37"/>
  <c r="S66" i="37"/>
  <c r="N66" i="37"/>
  <c r="G66" i="37"/>
  <c r="S65" i="37"/>
  <c r="N65" i="37"/>
  <c r="G65" i="37"/>
  <c r="S64" i="37"/>
  <c r="N64" i="37"/>
  <c r="G64" i="37"/>
  <c r="S63" i="37"/>
  <c r="N63" i="37"/>
  <c r="G63" i="37"/>
  <c r="S62" i="37"/>
  <c r="N62" i="37"/>
  <c r="G62" i="37"/>
  <c r="S61" i="37"/>
  <c r="N61" i="37"/>
  <c r="G61" i="37"/>
  <c r="S60" i="37"/>
  <c r="N60" i="37"/>
  <c r="G60" i="37"/>
  <c r="S59" i="37"/>
  <c r="N59" i="37"/>
  <c r="G59" i="37"/>
  <c r="S58" i="37"/>
  <c r="N58" i="37"/>
  <c r="G58" i="37"/>
  <c r="S57" i="37"/>
  <c r="N57" i="37"/>
  <c r="G57" i="37"/>
  <c r="S56" i="37"/>
  <c r="N56" i="37"/>
  <c r="G56" i="37"/>
  <c r="S55" i="37"/>
  <c r="N55" i="37"/>
  <c r="G55" i="37"/>
  <c r="S54" i="37"/>
  <c r="N54" i="37"/>
  <c r="G54" i="37"/>
  <c r="S53" i="37"/>
  <c r="N53" i="37"/>
  <c r="G53" i="37"/>
  <c r="S52" i="37"/>
  <c r="N52" i="37"/>
  <c r="G52" i="37"/>
  <c r="S51" i="37"/>
  <c r="N51" i="37"/>
  <c r="G51" i="37"/>
  <c r="S50" i="37"/>
  <c r="N50" i="37"/>
  <c r="G50" i="37"/>
  <c r="S49" i="37"/>
  <c r="N49" i="37"/>
  <c r="G49" i="37"/>
  <c r="S48" i="37"/>
  <c r="N48" i="37"/>
  <c r="G48" i="37"/>
  <c r="S47" i="37"/>
  <c r="N47" i="37"/>
  <c r="G47" i="37"/>
  <c r="S46" i="37"/>
  <c r="N46" i="37"/>
  <c r="G46" i="37"/>
  <c r="S45" i="37"/>
  <c r="N45" i="37"/>
  <c r="G45" i="37"/>
  <c r="S44" i="37"/>
  <c r="N44" i="37"/>
  <c r="G44" i="37"/>
  <c r="S43" i="37"/>
  <c r="N43" i="37"/>
  <c r="G43" i="37"/>
  <c r="S42" i="37"/>
  <c r="N42" i="37"/>
  <c r="G42" i="37"/>
  <c r="S41" i="37"/>
  <c r="N41" i="37"/>
  <c r="G41" i="37"/>
  <c r="S40" i="37"/>
  <c r="N40" i="37"/>
  <c r="G40" i="37"/>
  <c r="S39" i="37"/>
  <c r="N39" i="37"/>
  <c r="G39" i="37"/>
  <c r="S38" i="37"/>
  <c r="N38" i="37"/>
  <c r="G38" i="37"/>
  <c r="S37" i="37"/>
  <c r="N37" i="37"/>
  <c r="G37" i="37"/>
  <c r="S36" i="37"/>
  <c r="N36" i="37"/>
  <c r="G36" i="37"/>
  <c r="S35" i="37"/>
  <c r="N35" i="37"/>
  <c r="G35" i="37"/>
  <c r="S34" i="37"/>
  <c r="N34" i="37"/>
  <c r="G34" i="37"/>
  <c r="S33" i="37"/>
  <c r="N33" i="37"/>
  <c r="G33" i="37"/>
  <c r="S32" i="37"/>
  <c r="N32" i="37"/>
  <c r="G32" i="37"/>
  <c r="S31" i="37"/>
  <c r="N31" i="37"/>
  <c r="G31" i="37"/>
  <c r="S30" i="37"/>
  <c r="N30" i="37"/>
  <c r="G30" i="37"/>
  <c r="S29" i="37"/>
  <c r="N29" i="37"/>
  <c r="G29" i="37"/>
  <c r="S28" i="37"/>
  <c r="N28" i="37"/>
  <c r="G28" i="37"/>
  <c r="S27" i="37"/>
  <c r="N27" i="37"/>
  <c r="G27" i="37"/>
  <c r="S26" i="37"/>
  <c r="N26" i="37"/>
  <c r="G26" i="37"/>
  <c r="S25" i="37"/>
  <c r="N25" i="37"/>
  <c r="G25" i="37"/>
  <c r="S24" i="37"/>
  <c r="N24" i="37"/>
  <c r="G24" i="37"/>
  <c r="S23" i="37"/>
  <c r="N23" i="37"/>
  <c r="G23" i="37"/>
  <c r="S22" i="37"/>
  <c r="N22" i="37"/>
  <c r="G22" i="37"/>
  <c r="S21" i="37"/>
  <c r="N21" i="37"/>
  <c r="G21" i="37"/>
  <c r="S20" i="37"/>
  <c r="N20" i="37"/>
  <c r="G20" i="37"/>
  <c r="S19" i="37"/>
  <c r="N19" i="37"/>
  <c r="G19" i="37"/>
  <c r="S18" i="37"/>
  <c r="N18" i="37"/>
  <c r="G18" i="37"/>
  <c r="S17" i="37"/>
  <c r="N17" i="37"/>
  <c r="G17" i="37"/>
  <c r="S16" i="37"/>
  <c r="N16" i="37"/>
  <c r="G16" i="37"/>
  <c r="S15" i="37"/>
  <c r="N15" i="37"/>
  <c r="G15" i="37"/>
  <c r="S14" i="37"/>
  <c r="N14" i="37"/>
  <c r="G14" i="37"/>
  <c r="S13" i="37"/>
  <c r="N13" i="37"/>
  <c r="G13" i="37"/>
  <c r="S12" i="37"/>
  <c r="N12" i="37"/>
  <c r="G12" i="37"/>
  <c r="S11" i="37"/>
  <c r="N11" i="37"/>
  <c r="G11" i="37"/>
  <c r="S10" i="37"/>
  <c r="N10" i="37"/>
  <c r="G10" i="37"/>
  <c r="S9" i="37"/>
  <c r="N9" i="37"/>
  <c r="G9" i="37"/>
  <c r="S8" i="37"/>
  <c r="N8" i="37"/>
  <c r="G8" i="37"/>
  <c r="S7" i="37"/>
  <c r="G7" i="37"/>
  <c r="J7" i="37" s="1"/>
  <c r="K7" i="37" s="1"/>
  <c r="G103" i="37" l="1"/>
  <c r="G104" i="37" s="1"/>
  <c r="G90" i="37"/>
  <c r="S99" i="37"/>
  <c r="S70" i="37"/>
  <c r="N90" i="37"/>
  <c r="L101" i="37"/>
  <c r="S90" i="37"/>
  <c r="G99" i="37"/>
  <c r="N99" i="37"/>
  <c r="Q101" i="37"/>
  <c r="C12" i="38"/>
  <c r="E12" i="38" s="1"/>
  <c r="N7" i="37"/>
  <c r="N70" i="37" s="1"/>
  <c r="K70" i="37"/>
  <c r="K101" i="37" s="1"/>
  <c r="G70" i="37"/>
  <c r="I99" i="37"/>
  <c r="I101" i="37" s="1"/>
  <c r="F101" i="37"/>
  <c r="S101" i="37" l="1"/>
  <c r="N101" i="37"/>
  <c r="G101" i="37"/>
  <c r="C16" i="38"/>
  <c r="G12" i="38"/>
  <c r="G40" i="30" l="1"/>
  <c r="H39" i="30"/>
  <c r="J39" i="30" s="1"/>
  <c r="I31" i="30"/>
  <c r="G31" i="30"/>
  <c r="H30" i="30"/>
  <c r="H29" i="30"/>
  <c r="H28" i="30"/>
  <c r="H27" i="30"/>
  <c r="H26" i="30"/>
  <c r="J26" i="30" s="1"/>
  <c r="H25" i="30"/>
  <c r="H24" i="30"/>
  <c r="J24" i="30" s="1"/>
  <c r="H23" i="30"/>
  <c r="H22" i="30"/>
  <c r="H21" i="30"/>
  <c r="H20" i="30"/>
  <c r="J20" i="30" s="1"/>
  <c r="H19" i="30"/>
  <c r="J19" i="30" s="1"/>
  <c r="H18" i="30"/>
  <c r="H17" i="30"/>
  <c r="L17" i="30" s="1"/>
  <c r="H16" i="30"/>
  <c r="H15" i="30"/>
  <c r="J15" i="30" s="1"/>
  <c r="H14" i="30"/>
  <c r="J14" i="30" s="1"/>
  <c r="H13" i="30"/>
  <c r="L13" i="30" s="1"/>
  <c r="H12" i="30"/>
  <c r="H11" i="30"/>
  <c r="H10" i="30"/>
  <c r="H9" i="30"/>
  <c r="J9" i="30" s="1"/>
  <c r="K9" i="30" s="1"/>
  <c r="H8" i="30"/>
  <c r="L8" i="30" s="1"/>
  <c r="H25" i="10"/>
  <c r="G25" i="10"/>
  <c r="F25" i="10"/>
  <c r="E25" i="10"/>
  <c r="I39" i="30" l="1"/>
  <c r="J40" i="30"/>
  <c r="M9" i="30"/>
  <c r="L9" i="30" s="1"/>
  <c r="H31" i="30"/>
  <c r="H40" i="30"/>
  <c r="J16" i="30"/>
  <c r="L19" i="30"/>
  <c r="K19" i="30" s="1"/>
  <c r="M19" i="30" s="1"/>
  <c r="J21" i="30"/>
  <c r="L23" i="30"/>
  <c r="J25" i="30"/>
  <c r="J27" i="30"/>
  <c r="L16" i="30"/>
  <c r="J18" i="30"/>
  <c r="L21" i="30"/>
  <c r="L27" i="30"/>
  <c r="E28" i="10"/>
  <c r="K16" i="30" l="1"/>
  <c r="M16" i="30" s="1"/>
  <c r="K21" i="30"/>
  <c r="M21" i="30" s="1"/>
  <c r="K27" i="30"/>
  <c r="M27" i="30" s="1"/>
  <c r="K39" i="30"/>
  <c r="I40" i="30"/>
  <c r="N34" i="34" l="1"/>
  <c r="M34" i="34"/>
  <c r="L34" i="34"/>
  <c r="K34" i="34"/>
  <c r="H34" i="34"/>
  <c r="F34" i="34"/>
  <c r="E33" i="34"/>
  <c r="O32" i="34"/>
  <c r="P32" i="34" s="1"/>
  <c r="R32" i="34" s="1"/>
  <c r="I32" i="34"/>
  <c r="G32" i="34"/>
  <c r="C31" i="34"/>
  <c r="T29" i="34"/>
  <c r="P29" i="34"/>
  <c r="O29" i="34"/>
  <c r="N29" i="34"/>
  <c r="M29" i="34"/>
  <c r="L29" i="34"/>
  <c r="K29" i="34"/>
  <c r="H29" i="34"/>
  <c r="F29" i="34"/>
  <c r="E28" i="34"/>
  <c r="R27" i="34"/>
  <c r="I27" i="34"/>
  <c r="G27" i="34"/>
  <c r="C26" i="34"/>
  <c r="M24" i="34"/>
  <c r="L24" i="34"/>
  <c r="K24" i="34"/>
  <c r="H24" i="34"/>
  <c r="F24" i="34"/>
  <c r="N23" i="34"/>
  <c r="O23" i="34" s="1"/>
  <c r="O24" i="34" s="1"/>
  <c r="N24" i="34" s="1"/>
  <c r="E23" i="34"/>
  <c r="E24" i="34" s="1"/>
  <c r="I22" i="34"/>
  <c r="G22" i="34"/>
  <c r="C21" i="34"/>
  <c r="M19" i="34"/>
  <c r="K19" i="34"/>
  <c r="H19" i="34"/>
  <c r="F19" i="34"/>
  <c r="P18" i="34"/>
  <c r="E18" i="34"/>
  <c r="I17" i="34"/>
  <c r="G17" i="34"/>
  <c r="O16" i="34"/>
  <c r="I16" i="34"/>
  <c r="G16" i="34"/>
  <c r="N15" i="34"/>
  <c r="O15" i="34" s="1"/>
  <c r="I15" i="34"/>
  <c r="G15" i="34"/>
  <c r="J14" i="34"/>
  <c r="L14" i="34" s="1"/>
  <c r="J13" i="34"/>
  <c r="L13" i="34" s="1"/>
  <c r="M12" i="34"/>
  <c r="L12" i="34"/>
  <c r="K12" i="34"/>
  <c r="H12" i="34"/>
  <c r="F12" i="34"/>
  <c r="N11" i="34"/>
  <c r="E11" i="34"/>
  <c r="I11" i="34" s="1"/>
  <c r="I10" i="34"/>
  <c r="G10" i="34"/>
  <c r="O9" i="34"/>
  <c r="E9" i="34"/>
  <c r="N8" i="34"/>
  <c r="I8" i="34"/>
  <c r="G8" i="34"/>
  <c r="J7" i="34"/>
  <c r="H397" i="13"/>
  <c r="F397" i="13"/>
  <c r="K396" i="13"/>
  <c r="K397" i="13" s="1"/>
  <c r="K393" i="13"/>
  <c r="L332" i="13"/>
  <c r="L333" i="13" s="1"/>
  <c r="L279" i="13"/>
  <c r="K254" i="13"/>
  <c r="L254" i="13" s="1"/>
  <c r="E254" i="13"/>
  <c r="K191" i="13"/>
  <c r="L191" i="13" s="1"/>
  <c r="E191" i="13"/>
  <c r="L164" i="13"/>
  <c r="H104" i="13"/>
  <c r="F104" i="13"/>
  <c r="E103" i="13"/>
  <c r="L78" i="13"/>
  <c r="L26" i="13"/>
  <c r="O19" i="34" l="1"/>
  <c r="N19" i="34" s="1"/>
  <c r="N12" i="34"/>
  <c r="J16" i="34"/>
  <c r="J22" i="34"/>
  <c r="J8" i="34"/>
  <c r="G11" i="34"/>
  <c r="J17" i="34"/>
  <c r="J27" i="34"/>
  <c r="R34" i="34"/>
  <c r="P34" i="34" s="1"/>
  <c r="O34" i="34" s="1"/>
  <c r="S32" i="34"/>
  <c r="T32" i="34" s="1"/>
  <c r="E12" i="34"/>
  <c r="E19" i="34"/>
  <c r="E34" i="34"/>
  <c r="O8" i="34"/>
  <c r="P8" i="34" s="1"/>
  <c r="T8" i="34" s="1"/>
  <c r="G9" i="34"/>
  <c r="G18" i="34"/>
  <c r="G19" i="34" s="1"/>
  <c r="G23" i="34"/>
  <c r="G24" i="34" s="1"/>
  <c r="S27" i="34"/>
  <c r="S29" i="34" s="1"/>
  <c r="E29" i="34"/>
  <c r="G33" i="34"/>
  <c r="G34" i="34" s="1"/>
  <c r="I9" i="34"/>
  <c r="J11" i="34"/>
  <c r="G28" i="34"/>
  <c r="G29" i="34" s="1"/>
  <c r="R29" i="34"/>
  <c r="I33" i="34"/>
  <c r="J10" i="34"/>
  <c r="T18" i="34"/>
  <c r="I28" i="34"/>
  <c r="J32" i="34"/>
  <c r="L396" i="13"/>
  <c r="L397" i="13" s="1"/>
  <c r="L192" i="13"/>
  <c r="K394" i="13"/>
  <c r="L255" i="13"/>
  <c r="J9" i="34" l="1"/>
  <c r="J12" i="34" s="1"/>
  <c r="I12" i="34" s="1"/>
  <c r="G12" i="34"/>
  <c r="G36" i="34" s="1"/>
  <c r="E36" i="34" s="1"/>
  <c r="T34" i="34" s="1"/>
  <c r="J33" i="34"/>
  <c r="J34" i="34" s="1"/>
  <c r="I34" i="34" s="1"/>
  <c r="J28" i="34"/>
  <c r="J29" i="34" s="1"/>
  <c r="I29" i="34" s="1"/>
  <c r="S34" i="34" l="1"/>
  <c r="K40" i="30" l="1"/>
  <c r="K103" i="13" l="1"/>
  <c r="L103" i="13" s="1"/>
  <c r="L104" i="13" s="1"/>
  <c r="K104" i="13" l="1"/>
  <c r="P23" i="34" l="1"/>
  <c r="T23" i="34" s="1"/>
  <c r="T24" i="34" s="1"/>
  <c r="P15" i="34"/>
  <c r="T15" i="34" s="1"/>
  <c r="T19" i="34" s="1"/>
  <c r="O11" i="34"/>
  <c r="P11" i="34" s="1"/>
  <c r="S36" i="34"/>
  <c r="R36" i="34"/>
  <c r="N36" i="34"/>
  <c r="M36" i="34"/>
  <c r="I23" i="34"/>
  <c r="J23" i="34" s="1"/>
  <c r="J24" i="34" s="1"/>
  <c r="J15" i="34"/>
  <c r="L15" i="34" s="1"/>
  <c r="L19" i="34" s="1"/>
  <c r="L36" i="34" s="1"/>
  <c r="K36" i="34"/>
  <c r="I18" i="34"/>
  <c r="J18" i="34" s="1"/>
  <c r="H36" i="34"/>
  <c r="J23" i="30"/>
  <c r="K23" i="30" s="1"/>
  <c r="M23" i="30" s="1"/>
  <c r="J13" i="30"/>
  <c r="K13" i="30" s="1"/>
  <c r="M13" i="30" s="1"/>
  <c r="J28" i="30"/>
  <c r="K28" i="30" s="1"/>
  <c r="M28" i="30" s="1"/>
  <c r="K20" i="30"/>
  <c r="M20" i="30" s="1"/>
  <c r="J29" i="30"/>
  <c r="K29" i="30" s="1"/>
  <c r="M29" i="30" s="1"/>
  <c r="J11" i="30"/>
  <c r="K11" i="30" s="1"/>
  <c r="M11" i="30" s="1"/>
  <c r="K26" i="30"/>
  <c r="M26" i="30" s="1"/>
  <c r="K15" i="30"/>
  <c r="M15" i="30" s="1"/>
  <c r="J30" i="30"/>
  <c r="K30" i="30" s="1"/>
  <c r="M30" i="30" s="1"/>
  <c r="K14" i="30"/>
  <c r="M14" i="30" s="1"/>
  <c r="J17" i="30"/>
  <c r="K17" i="30" s="1"/>
  <c r="M17" i="30" s="1"/>
  <c r="K24" i="30"/>
  <c r="M24" i="30" s="1"/>
  <c r="J10" i="30"/>
  <c r="K10" i="30" s="1"/>
  <c r="M10" i="30" s="1"/>
  <c r="K18" i="30"/>
  <c r="M18" i="30" s="1"/>
  <c r="K25" i="30"/>
  <c r="M25" i="30" s="1"/>
  <c r="J12" i="30"/>
  <c r="K12" i="30" s="1"/>
  <c r="M12" i="30" s="1"/>
  <c r="J22" i="30"/>
  <c r="K22" i="30" s="1"/>
  <c r="M22" i="30" s="1"/>
  <c r="L31" i="30"/>
  <c r="J8" i="30"/>
  <c r="K8" i="30" s="1"/>
  <c r="O12" i="34" l="1"/>
  <c r="O36" i="34" s="1"/>
  <c r="P24" i="34"/>
  <c r="I24" i="34"/>
  <c r="I19" i="34"/>
  <c r="P19" i="34"/>
  <c r="K31" i="30"/>
  <c r="M8" i="30"/>
  <c r="M31" i="30"/>
  <c r="T11" i="34"/>
  <c r="T12" i="34" s="1"/>
  <c r="T36" i="34" s="1"/>
  <c r="P12" i="34"/>
  <c r="J31" i="30"/>
  <c r="J19" i="34"/>
  <c r="J36" i="34" s="1"/>
  <c r="P36" i="34" l="1"/>
  <c r="I36" i="34"/>
  <c r="J19" i="54" l="1"/>
  <c r="C8" i="51"/>
  <c r="C9" i="50" l="1"/>
  <c r="C8" i="50" s="1"/>
  <c r="F25" i="54"/>
  <c r="F27" i="54" s="1"/>
  <c r="G22" i="54"/>
  <c r="G23" i="54" s="1"/>
  <c r="G25" i="54" s="1"/>
  <c r="G27" i="54" s="1"/>
  <c r="G30" i="54" s="1"/>
  <c r="G31" i="54" s="1"/>
  <c r="F30" i="54" l="1"/>
  <c r="F31" i="54" s="1"/>
</calcChain>
</file>

<file path=xl/sharedStrings.xml><?xml version="1.0" encoding="utf-8"?>
<sst xmlns="http://schemas.openxmlformats.org/spreadsheetml/2006/main" count="1616" uniqueCount="590">
  <si>
    <t>Progress</t>
  </si>
  <si>
    <t>Financial State</t>
  </si>
  <si>
    <t>Schedule of Project</t>
  </si>
  <si>
    <t>Rs (Million)</t>
  </si>
  <si>
    <t>Anx "A"</t>
  </si>
  <si>
    <t>Anx "B"</t>
  </si>
  <si>
    <t>Ser</t>
  </si>
  <si>
    <t>Activity</t>
  </si>
  <si>
    <t>Amount Rs in Million</t>
  </si>
  <si>
    <t>Total</t>
  </si>
  <si>
    <t>Anx "C"</t>
  </si>
  <si>
    <t>Qty</t>
  </si>
  <si>
    <t>Unit</t>
  </si>
  <si>
    <t>Cost</t>
  </si>
  <si>
    <t>Head of A/c</t>
  </si>
  <si>
    <t>During the Month</t>
  </si>
  <si>
    <t>Total Expenditure</t>
  </si>
  <si>
    <t>Item</t>
  </si>
  <si>
    <t>Total Qty Req</t>
  </si>
  <si>
    <t>Remarks</t>
  </si>
  <si>
    <t xml:space="preserve">Status of Interim Payment Certificates </t>
  </si>
  <si>
    <t>IPC No</t>
  </si>
  <si>
    <t>Submission Date</t>
  </si>
  <si>
    <t>Deduction</t>
  </si>
  <si>
    <t>Retention Money</t>
  </si>
  <si>
    <t>Mob Adv</t>
  </si>
  <si>
    <t>Anx "G"</t>
  </si>
  <si>
    <t>Description</t>
  </si>
  <si>
    <t>Hours/Kms</t>
  </si>
  <si>
    <t>Type of Claim</t>
  </si>
  <si>
    <t>Work Expenditures</t>
  </si>
  <si>
    <t>Received From Client</t>
  </si>
  <si>
    <t>Detail of Work Done By Sub Contractors</t>
  </si>
  <si>
    <t>CA Amount</t>
  </si>
  <si>
    <t>Work Done During the Month</t>
  </si>
  <si>
    <t>Runing Total Upto Date</t>
  </si>
  <si>
    <t>Vetted Work Done up to Date</t>
  </si>
  <si>
    <t>Cement</t>
  </si>
  <si>
    <t>Sand</t>
  </si>
  <si>
    <t>Cft</t>
  </si>
  <si>
    <t>Total Amounts Rs in Million</t>
  </si>
  <si>
    <t>SNo</t>
  </si>
  <si>
    <t>Contractor</t>
  </si>
  <si>
    <t>Anx "J"</t>
  </si>
  <si>
    <t>Anx "K"</t>
  </si>
  <si>
    <t>Purchases (Rs)</t>
  </si>
  <si>
    <t>Consumed (Rs)</t>
  </si>
  <si>
    <t>Total Cost (Rs in Million)</t>
  </si>
  <si>
    <t>Balance held (Rs in Million)</t>
  </si>
  <si>
    <t>Work Done</t>
  </si>
  <si>
    <t>Upto Date</t>
  </si>
  <si>
    <t>Year to Date</t>
  </si>
  <si>
    <t>Other Income</t>
  </si>
  <si>
    <t>Vetted Workdone Year to Date</t>
  </si>
  <si>
    <t>Vetted Workdone up to Date</t>
  </si>
  <si>
    <t>Vetted Work Done Year to Date</t>
  </si>
  <si>
    <t>Detail of Expenditures</t>
  </si>
  <si>
    <t>Any Other</t>
  </si>
  <si>
    <t>Upto date</t>
  </si>
  <si>
    <t>CA No</t>
  </si>
  <si>
    <t>Sub Contractor's Work Done</t>
  </si>
  <si>
    <t>Revenue Expected</t>
  </si>
  <si>
    <t>NLC's CA Amount</t>
  </si>
  <si>
    <t>Sub Cont CA Amount</t>
  </si>
  <si>
    <t>Anx "E"</t>
  </si>
  <si>
    <t>Detail Of Const Material</t>
  </si>
  <si>
    <t>Year to date</t>
  </si>
  <si>
    <t>Running Total YTD</t>
  </si>
  <si>
    <t>Sub Contractor Cost</t>
  </si>
  <si>
    <t>Stores Issued 
(if any)</t>
  </si>
  <si>
    <t>Net Payment Due</t>
  </si>
  <si>
    <t>Detail of Payments to Sub-Contractors</t>
  </si>
  <si>
    <t>Steel</t>
  </si>
  <si>
    <t>Water Bound Macdam</t>
  </si>
  <si>
    <t>Asphalt</t>
  </si>
  <si>
    <t>Other</t>
  </si>
  <si>
    <t>Anx "M"</t>
  </si>
  <si>
    <t>Amount</t>
  </si>
  <si>
    <t>a.</t>
  </si>
  <si>
    <t>b.</t>
  </si>
  <si>
    <t>Amount of hiring* (Rs)</t>
  </si>
  <si>
    <t xml:space="preserve">Amount of Fuel Issued </t>
  </si>
  <si>
    <t xml:space="preserve">Repair/ Maint </t>
  </si>
  <si>
    <t xml:space="preserve">Amount of hiring* </t>
  </si>
  <si>
    <t>Anx "L"</t>
  </si>
  <si>
    <t>Anx "H"</t>
  </si>
  <si>
    <t>Date of Approval by Consultant / Client</t>
  </si>
  <si>
    <t>Payment Information of Sub Contractors</t>
  </si>
  <si>
    <t>Checque No</t>
  </si>
  <si>
    <t>Date</t>
  </si>
  <si>
    <t>RAR No</t>
  </si>
  <si>
    <t>Store Recovered / Idle Charges/           Provisional Payments</t>
  </si>
  <si>
    <t>Less/ (Over) Paid</t>
  </si>
  <si>
    <t>Total :-</t>
  </si>
  <si>
    <t>State of Claims</t>
  </si>
  <si>
    <t>Date of Submission</t>
  </si>
  <si>
    <t>Retention Money Deducted</t>
  </si>
  <si>
    <t>Recievable</t>
  </si>
  <si>
    <t>Recieved</t>
  </si>
  <si>
    <t>Bal</t>
  </si>
  <si>
    <t>Ser/IPC</t>
  </si>
  <si>
    <t>Mob Adv Deducted</t>
  </si>
  <si>
    <t>S.No</t>
  </si>
  <si>
    <t>List of Assets</t>
  </si>
  <si>
    <t>Fixed Assets Transferred to Proj Con:</t>
  </si>
  <si>
    <t>Cat of Assets</t>
  </si>
  <si>
    <t>Transferred</t>
  </si>
  <si>
    <t>Cost(Rs)</t>
  </si>
  <si>
    <t>Depreciation for the month ( if applicable)</t>
  </si>
  <si>
    <t>Acc/Dep in DCRP/TARP</t>
  </si>
  <si>
    <t>Acc/Dep in TMRP</t>
  </si>
  <si>
    <t>Depreciation upto date</t>
  </si>
  <si>
    <t>Depreciation YTD</t>
  </si>
  <si>
    <t xml:space="preserve">Transferred Assets Value </t>
  </si>
  <si>
    <t>From</t>
  </si>
  <si>
    <t xml:space="preserve">to </t>
  </si>
  <si>
    <t>Fixed Assets Purchased by Proj Con:</t>
  </si>
  <si>
    <t>Cheque No</t>
  </si>
  <si>
    <t>Transferred in any</t>
  </si>
  <si>
    <t xml:space="preserve">To </t>
  </si>
  <si>
    <t>W D Value</t>
  </si>
  <si>
    <t>Note :-</t>
  </si>
  <si>
    <t xml:space="preserve">Less :- Esclation on Deducted </t>
  </si>
  <si>
    <t xml:space="preserve">Over Payment Amount </t>
  </si>
  <si>
    <t>( Total Esclation)</t>
  </si>
  <si>
    <t>FHA/TMPR/40/11/PD(N)NLC</t>
  </si>
  <si>
    <t>PV 23, 22-08-11</t>
  </si>
  <si>
    <t>PV 18, 18-08-11</t>
  </si>
  <si>
    <t>PV 20, 18-08-11</t>
  </si>
  <si>
    <t>PV 31,29-08-11</t>
  </si>
  <si>
    <t>PV 32, 29-08-11</t>
  </si>
  <si>
    <t>PV-33,29-08-11</t>
  </si>
  <si>
    <t>Vetted 
Work Done</t>
  </si>
  <si>
    <t>R Money (Dr)</t>
  </si>
  <si>
    <t>Payable (Dr)</t>
  </si>
  <si>
    <t>Lab Income (Cr)</t>
  </si>
  <si>
    <t>Bank Payment (Cr)</t>
  </si>
  <si>
    <t>Final Bill Payment</t>
  </si>
  <si>
    <t>Net Payble</t>
  </si>
  <si>
    <t>Grand Total</t>
  </si>
  <si>
    <t>NLC CA 
Amount</t>
  </si>
  <si>
    <t>Sub Cont 
CA Amount</t>
  </si>
  <si>
    <t>Sub Contractor's 
Work Done</t>
  </si>
  <si>
    <t>Retention 
Money</t>
  </si>
  <si>
    <t>M/s Al-Syed Enterprises</t>
  </si>
  <si>
    <t>M/s Muhammad Saleman Mandokhail</t>
  </si>
  <si>
    <t>Project:- Dualization and improvement of Mandra - Chakwal Road Project</t>
  </si>
  <si>
    <t>Project Control:- Mandra Chakwal Road Project</t>
  </si>
  <si>
    <t>Incom Tax 7.5%</t>
  </si>
  <si>
    <t>Income 
Tax 7.5%</t>
  </si>
  <si>
    <t>Timergara-Mundra Chakwal Road Project</t>
  </si>
  <si>
    <t>Income Tax 7.5%</t>
  </si>
  <si>
    <t>As on 30 Sep 2014</t>
  </si>
  <si>
    <t xml:space="preserve">895660Toyota Hilux D/Cabin 4x2 </t>
  </si>
  <si>
    <t>Kms</t>
  </si>
  <si>
    <t>895521 Toyota Hilux D/Cabin</t>
  </si>
  <si>
    <t>RIC-11-292  Toyota Hilux D/Cabin</t>
  </si>
  <si>
    <t>RIC-11-296 Toyota Hilux D/Cabin</t>
  </si>
  <si>
    <t>RIC-11-295 Toyota Hilux D/Cabin</t>
  </si>
  <si>
    <t>RIC-11-311Toyota Hilux D/Cabin</t>
  </si>
  <si>
    <t>RIC-11-301Toyota Hilux S/Cabin</t>
  </si>
  <si>
    <t>RIC-11-297Toyota Hilux S/Cabin</t>
  </si>
  <si>
    <t>RIC-11-299Toyota Hilux S/Cabin</t>
  </si>
  <si>
    <t>RIC-11-303Toyota Hilux S/Cabin</t>
  </si>
  <si>
    <t>RIC-11-306 Toyota Hilux S/Cabin</t>
  </si>
  <si>
    <t>882437 Hyundai Shahzore</t>
  </si>
  <si>
    <t>882411 Hyundai Shahzore</t>
  </si>
  <si>
    <t>895725 Motor Cycle Pak Hero -70CC</t>
  </si>
  <si>
    <t>895715  Motor Cycle Pak Hero -70CC</t>
  </si>
  <si>
    <t>895358  Motor Cycle Pak Hero -70CC</t>
  </si>
  <si>
    <t>895370  Motor Cycle Pak Hero -70CC</t>
  </si>
  <si>
    <t>895365Motor Cycle Pak Hero -70CC</t>
  </si>
  <si>
    <t>895355 Motor Cycle Pak Hero -70CC</t>
  </si>
  <si>
    <t>ANNEX "F"</t>
  </si>
  <si>
    <t>Project hiring</t>
  </si>
  <si>
    <t>M/s Ajj Engineers</t>
  </si>
  <si>
    <t>M/s Valley Homes</t>
  </si>
  <si>
    <t>M/s Shahid Builders</t>
  </si>
  <si>
    <t>Total Amount Payable</t>
  </si>
  <si>
    <t>RP-51427944</t>
  </si>
  <si>
    <t>01-Oct-14</t>
  </si>
  <si>
    <t>RP-53895322</t>
  </si>
  <si>
    <t>Upto Date                                                                             in Rupees</t>
  </si>
  <si>
    <t>Secure Advance against material</t>
  </si>
  <si>
    <t>I.Tax on advance</t>
  </si>
  <si>
    <t>Paid Amount against work done</t>
  </si>
  <si>
    <t>Paid against secure advance</t>
  </si>
  <si>
    <t>Total payment</t>
  </si>
  <si>
    <t>Motor Grader</t>
  </si>
  <si>
    <t>Hours</t>
  </si>
  <si>
    <t>53895353</t>
  </si>
  <si>
    <t>RP-53895364</t>
  </si>
  <si>
    <t>53895371/53895381</t>
  </si>
  <si>
    <t>PV-35</t>
  </si>
  <si>
    <t>PV-45</t>
  </si>
  <si>
    <t>PV-51</t>
  </si>
  <si>
    <t>PV-1</t>
  </si>
  <si>
    <t>Total payment to Contractors</t>
  </si>
  <si>
    <t>Payment Voucher No</t>
  </si>
  <si>
    <t>Secure Advance against material/Mob Advance</t>
  </si>
  <si>
    <t>Mobalization Advance</t>
  </si>
  <si>
    <t>Supplier wise detail Of Const Material</t>
  </si>
  <si>
    <t>1.Al-Qayam</t>
  </si>
  <si>
    <t>1. Rawal Associates</t>
  </si>
  <si>
    <t>2. Al Imran</t>
  </si>
  <si>
    <t>3. Ch Atif Nazar</t>
  </si>
  <si>
    <t>4. SHL</t>
  </si>
  <si>
    <t>5. Kazmi</t>
  </si>
  <si>
    <t>Paid against secure advance/ Mob Advance</t>
  </si>
  <si>
    <t>Amount Due</t>
  </si>
  <si>
    <t>Under/ (Over) Paid</t>
  </si>
  <si>
    <t>Deductions</t>
  </si>
  <si>
    <t>Regd No</t>
  </si>
  <si>
    <t>RIE-2556</t>
  </si>
  <si>
    <t>TKG-877</t>
  </si>
  <si>
    <t>TKZ-119</t>
  </si>
  <si>
    <t>TKN 335</t>
  </si>
  <si>
    <t>TKY-854</t>
  </si>
  <si>
    <t>LSC-2574</t>
  </si>
  <si>
    <t>TKU-050</t>
  </si>
  <si>
    <t>TKV-342</t>
  </si>
  <si>
    <t>TKL 460</t>
  </si>
  <si>
    <t>LES 3203</t>
  </si>
  <si>
    <t>TKD 674</t>
  </si>
  <si>
    <t>TKA 263</t>
  </si>
  <si>
    <t>TKU 489</t>
  </si>
  <si>
    <t>P 6505</t>
  </si>
  <si>
    <t>TKW 705</t>
  </si>
  <si>
    <t>P 8346</t>
  </si>
  <si>
    <t>SAE 815</t>
  </si>
  <si>
    <t>TKD 438</t>
  </si>
  <si>
    <t>TKC 230</t>
  </si>
  <si>
    <t>YX-04 JWZ</t>
  </si>
  <si>
    <t>S-620402</t>
  </si>
  <si>
    <t>GD 505</t>
  </si>
  <si>
    <t>GD-605</t>
  </si>
  <si>
    <t>GD-611</t>
  </si>
  <si>
    <t>CA-251</t>
  </si>
  <si>
    <t>D-2420</t>
  </si>
  <si>
    <t>CA-301</t>
  </si>
  <si>
    <t>CA- 301</t>
  </si>
  <si>
    <t>C-251</t>
  </si>
  <si>
    <t>TA-251</t>
  </si>
  <si>
    <t>CA-262</t>
  </si>
  <si>
    <t>2510 SSD</t>
  </si>
  <si>
    <t>LXK 5415</t>
  </si>
  <si>
    <t>JGB 8823</t>
  </si>
  <si>
    <t>VRA-4256</t>
  </si>
  <si>
    <t>SAC-4742</t>
  </si>
  <si>
    <t>Water Bowzer  Bed Ford</t>
  </si>
  <si>
    <t>Water Bowzer Nissan</t>
  </si>
  <si>
    <t>Nissan Dumper</t>
  </si>
  <si>
    <t xml:space="preserve">Hino Dumper </t>
  </si>
  <si>
    <t>Hino Dumper</t>
  </si>
  <si>
    <t>Excavator</t>
  </si>
  <si>
    <t xml:space="preserve">Excavator DX </t>
  </si>
  <si>
    <t>Plain Roller</t>
  </si>
  <si>
    <t>Sheep foot Roller</t>
  </si>
  <si>
    <t>Tractor 480 Fiat</t>
  </si>
  <si>
    <t>Tractor 480 Fiat with Plough</t>
  </si>
  <si>
    <t>Tractor 480 Fiat with Tank</t>
  </si>
  <si>
    <t>RID 4091</t>
  </si>
  <si>
    <t>AJK-8883</t>
  </si>
  <si>
    <t>C-2392</t>
  </si>
  <si>
    <t>TKB 996</t>
  </si>
  <si>
    <t>FG 85</t>
  </si>
  <si>
    <t>MNE-6752</t>
  </si>
  <si>
    <t>Bill no 7</t>
  </si>
  <si>
    <t>Toyota Hilux D/Cabin</t>
  </si>
  <si>
    <t>RIC-11-311</t>
  </si>
  <si>
    <t>RIC-11-292</t>
  </si>
  <si>
    <t>Toyota Hilux S/Cabin</t>
  </si>
  <si>
    <t>RIC-11-297</t>
  </si>
  <si>
    <t>RIC-11-299</t>
  </si>
  <si>
    <t>RIC-11-303</t>
  </si>
  <si>
    <t xml:space="preserve">RIC-11-306 </t>
  </si>
  <si>
    <t>Hyundai Shahzore</t>
  </si>
  <si>
    <t>Motor Cycle Pak Hero -70CC</t>
  </si>
  <si>
    <t>RIC-11-295</t>
  </si>
  <si>
    <t>RIC-11-296</t>
  </si>
  <si>
    <t>RIC-11-301</t>
  </si>
  <si>
    <t>RIC-11-306</t>
  </si>
  <si>
    <t>RIC-11-294</t>
  </si>
  <si>
    <t>Owned Vehicles</t>
  </si>
  <si>
    <t>Subtotal of Vehicles under bill no 7</t>
  </si>
  <si>
    <t>Subtotal of Vehicles</t>
  </si>
  <si>
    <t>Subtotal of Hired Machinery</t>
  </si>
  <si>
    <t>Detail of Equipments, Plants &amp; Machinery &amp; Vehicles</t>
  </si>
  <si>
    <t>Anx "G1"</t>
  </si>
  <si>
    <t>6. Afridi &amp; Co</t>
  </si>
  <si>
    <t>7. Noor Enterprises</t>
  </si>
  <si>
    <t>8. STS Enterprises</t>
  </si>
  <si>
    <t>9. Techworld</t>
  </si>
  <si>
    <t>Sub base</t>
  </si>
  <si>
    <t>1.Potohar</t>
  </si>
  <si>
    <t>GLT-3116</t>
  </si>
  <si>
    <t>EA-2612</t>
  </si>
  <si>
    <t>TAD-070</t>
  </si>
  <si>
    <t>Diesel Engine (WP)  Jatli</t>
  </si>
  <si>
    <t xml:space="preserve">Diesel Engine (WP)  </t>
  </si>
  <si>
    <t>Gen Set  Jatli</t>
  </si>
  <si>
    <t>Gen Set Mandra</t>
  </si>
  <si>
    <t>For the year updated.Update upto year along with hiring charges for the month</t>
  </si>
  <si>
    <t>IDE-8019 D/Cabin</t>
  </si>
  <si>
    <t>LET 8609</t>
  </si>
  <si>
    <t>MDXA-17</t>
  </si>
  <si>
    <t>Water Bowzer</t>
  </si>
  <si>
    <t>Adjustments in POL for previous months</t>
  </si>
  <si>
    <t>Total Amount Payable after adj</t>
  </si>
  <si>
    <t>Expenses</t>
  </si>
  <si>
    <t xml:space="preserve">For the month </t>
  </si>
  <si>
    <t>10. Khwaja enterprises</t>
  </si>
  <si>
    <t>2.Techworld</t>
  </si>
  <si>
    <t>3.Ch Atif Nazar</t>
  </si>
  <si>
    <t>a. Depreciation against FA Ref Anx L</t>
  </si>
  <si>
    <t>Non productive</t>
  </si>
  <si>
    <t>b. Innaguration expenses</t>
  </si>
  <si>
    <t>c. Sign boards</t>
  </si>
  <si>
    <t>d. Repair &amp; maintainance</t>
  </si>
  <si>
    <t>a. Salaries</t>
  </si>
  <si>
    <t>b.Bore expense</t>
  </si>
  <si>
    <t>1.Potohar Steel</t>
  </si>
  <si>
    <t>1.Asphalt GP NLC</t>
  </si>
  <si>
    <t>Adjustment for previous months</t>
  </si>
  <si>
    <t>Adjusted Hiring (Rs)</t>
  </si>
  <si>
    <t>605 K</t>
  </si>
  <si>
    <t>G-06</t>
  </si>
  <si>
    <t>kb-559</t>
  </si>
  <si>
    <t>water Bowzer B/Ford</t>
  </si>
  <si>
    <t>TKN615</t>
  </si>
  <si>
    <t>Dumper Nissan</t>
  </si>
  <si>
    <t>TKC-695</t>
  </si>
  <si>
    <t>TKB-045</t>
  </si>
  <si>
    <t>dumper Nissan</t>
  </si>
  <si>
    <t>Amount of Fuel Adjustment for previous months</t>
  </si>
  <si>
    <t>Adjusted POL (Rs)</t>
  </si>
  <si>
    <t>,25-Mar-15</t>
  </si>
  <si>
    <t>,10-Apr-15</t>
  </si>
  <si>
    <t>RP-64199950</t>
  </si>
  <si>
    <t>RP-64199986</t>
  </si>
  <si>
    <t>RP-66942540</t>
  </si>
  <si>
    <t>,5-May-15</t>
  </si>
  <si>
    <t>1. Askari Cement Ltd.</t>
  </si>
  <si>
    <t>4. Al Imran</t>
  </si>
  <si>
    <t>5. Cepro</t>
  </si>
  <si>
    <t>6. Noor Enterprises</t>
  </si>
  <si>
    <t>7. Rawal Associates</t>
  </si>
  <si>
    <t>11. Cepro</t>
  </si>
  <si>
    <t xml:space="preserve">Trumpet Cone from Amjad Engineering Services </t>
  </si>
  <si>
    <t>Piece</t>
  </si>
  <si>
    <t xml:space="preserve">Sheath Pipe- Amjad Engineering Services </t>
  </si>
  <si>
    <t>Rebate Exp</t>
  </si>
  <si>
    <t>Deduction of Design Charges</t>
  </si>
  <si>
    <t>Issued to subcontractors</t>
  </si>
  <si>
    <t>M/s Hammad Bros (MCRP/13/2015/PDN/NLC)</t>
  </si>
  <si>
    <t>M/s Hammad Bros (MCRP/24/2015/PDN/NLC)</t>
  </si>
  <si>
    <t>Crush (Aggregate)</t>
  </si>
  <si>
    <t xml:space="preserve"> Khaka(Stone dust)</t>
  </si>
  <si>
    <t>Tons</t>
  </si>
  <si>
    <t>1. Khawaja &amp; Company</t>
  </si>
  <si>
    <t>2. Usman Stone Crusher</t>
  </si>
  <si>
    <t>3. Atif Nazar</t>
  </si>
  <si>
    <t>1. Atif Nazar</t>
  </si>
  <si>
    <t>2. Khawaja &amp; Company</t>
  </si>
  <si>
    <t>M/s Mehmood Khan-Culvert (MCRP/19/2015/PD)</t>
  </si>
  <si>
    <t>M/s Mehmood Khan-Earthwork (MCRP/18/2015/PD)</t>
  </si>
  <si>
    <t>M/s Mehmood Khan &amp; Co (CA-25/2015)</t>
  </si>
  <si>
    <t>M/s Hammad Brothers (CA-23/2015)</t>
  </si>
  <si>
    <t>8. Usman Stone Crusher</t>
  </si>
  <si>
    <t>9. Unique Enterprises</t>
  </si>
  <si>
    <t>10. Khawaja &amp; Co</t>
  </si>
  <si>
    <t>M/s Karim Baksh ((MCRP/12/2015/PDN/NLC)</t>
  </si>
  <si>
    <t>M/s Muhammad Zada(MCRP/14/2015/PD)</t>
  </si>
  <si>
    <t>M/s Karim Baksh &amp; Sons(MCRP/38/2015/PD)</t>
  </si>
  <si>
    <t>Amount of hiring (Rs)</t>
  </si>
  <si>
    <t>Amount of hiring</t>
  </si>
  <si>
    <t>71820746</t>
  </si>
  <si>
    <t>71820751</t>
  </si>
  <si>
    <t>M/S Karim Bukhsh Son(CA-29(A)/2015)</t>
  </si>
  <si>
    <t>M/s Muhammad Roz &amp; Sons(CA-36/2015)</t>
  </si>
  <si>
    <t>M/s Mehmood Khan &amp; Co (CA-42/2015)</t>
  </si>
  <si>
    <t>M/s Mehmood Khan &amp; Co (CA-43/2015)</t>
  </si>
  <si>
    <t>74557205</t>
  </si>
  <si>
    <t>74557157,</t>
  </si>
  <si>
    <t>74557201</t>
  </si>
  <si>
    <t>71820760</t>
  </si>
  <si>
    <t>74557211</t>
  </si>
  <si>
    <t>closed</t>
  </si>
  <si>
    <t>M/s Mehmood Khan &amp; Co (CA-46/2015)</t>
  </si>
  <si>
    <t>74557168</t>
  </si>
  <si>
    <t>Detail of Payments to Sub-Contractors (Provisional)</t>
  </si>
  <si>
    <t>Payments against Work done</t>
  </si>
  <si>
    <t>Payments against Secured advance &amp; Mob Adv</t>
  </si>
  <si>
    <t>30% retained amount</t>
  </si>
  <si>
    <t>Payments</t>
  </si>
  <si>
    <t>74557153</t>
  </si>
  <si>
    <t>74557156</t>
  </si>
  <si>
    <t>74557158</t>
  </si>
  <si>
    <t>74557170</t>
  </si>
  <si>
    <t>74557174</t>
  </si>
  <si>
    <t>74557214</t>
  </si>
  <si>
    <t>15-A</t>
  </si>
  <si>
    <t>74557236</t>
  </si>
  <si>
    <t>74557198</t>
  </si>
  <si>
    <t>74557204</t>
  </si>
  <si>
    <t>74557197</t>
  </si>
  <si>
    <t>76574339</t>
  </si>
  <si>
    <t>74557229</t>
  </si>
  <si>
    <t>74557230</t>
  </si>
  <si>
    <t>74557238</t>
  </si>
  <si>
    <t>M/s Base Trading Co (CA-59/2015)</t>
  </si>
  <si>
    <t>76574369</t>
  </si>
  <si>
    <t>76574370</t>
  </si>
  <si>
    <t>76574375</t>
  </si>
  <si>
    <t>76574391</t>
  </si>
  <si>
    <t>M/s Base Trading Co (CA-61/2015)</t>
  </si>
  <si>
    <t>M/s Rana Azam &amp; Saqib Ali</t>
  </si>
  <si>
    <t>79109963</t>
  </si>
  <si>
    <t>83424306</t>
  </si>
  <si>
    <t>00210769</t>
  </si>
  <si>
    <t>00210798</t>
  </si>
  <si>
    <t>79109908</t>
  </si>
  <si>
    <t>79109935</t>
  </si>
  <si>
    <t>79109964</t>
  </si>
  <si>
    <t>81511377</t>
  </si>
  <si>
    <t>RP-81511455</t>
  </si>
  <si>
    <t>,15-Feb-16</t>
  </si>
  <si>
    <t>79109921</t>
  </si>
  <si>
    <t>79109933</t>
  </si>
  <si>
    <t>79109979</t>
  </si>
  <si>
    <t>81511456</t>
  </si>
  <si>
    <t>81511395</t>
  </si>
  <si>
    <t>81511432</t>
  </si>
  <si>
    <t>81511461</t>
  </si>
  <si>
    <t>76574416</t>
  </si>
  <si>
    <t>79109916</t>
  </si>
  <si>
    <t>79109961</t>
  </si>
  <si>
    <t>79109991</t>
  </si>
  <si>
    <t>81511428</t>
  </si>
  <si>
    <t>83424309</t>
  </si>
  <si>
    <t>76574401</t>
  </si>
  <si>
    <t>81511435</t>
  </si>
  <si>
    <t>79109897</t>
  </si>
  <si>
    <t>83424305</t>
  </si>
  <si>
    <t>00210754</t>
  </si>
  <si>
    <t>79109909</t>
  </si>
  <si>
    <t>79109937</t>
  </si>
  <si>
    <t>79109987</t>
  </si>
  <si>
    <t>81511394</t>
  </si>
  <si>
    <t>83424304</t>
  </si>
  <si>
    <t>M/s Karim Baksh Son (MOU/Lab Agreement)</t>
  </si>
  <si>
    <t>00220318</t>
  </si>
  <si>
    <t>00220335</t>
  </si>
  <si>
    <t>00220340</t>
  </si>
  <si>
    <t>00220299</t>
  </si>
  <si>
    <t>00220320</t>
  </si>
  <si>
    <t>00220332</t>
  </si>
  <si>
    <t>00220306</t>
  </si>
  <si>
    <t>00220338</t>
  </si>
  <si>
    <t>00220305</t>
  </si>
  <si>
    <t>M/s Tijarat Developers (CA-72/2015)</t>
  </si>
  <si>
    <t>00220333</t>
  </si>
  <si>
    <t>M/s Tijarat Developers (CA-73/2015)</t>
  </si>
  <si>
    <t>00220334</t>
  </si>
  <si>
    <t>81511460</t>
  </si>
  <si>
    <t>00210767</t>
  </si>
  <si>
    <t xml:space="preserve">Year to Date </t>
  </si>
  <si>
    <t xml:space="preserve">During the month </t>
  </si>
  <si>
    <t xml:space="preserve">During the Month </t>
  </si>
  <si>
    <t>Income Tax</t>
  </si>
  <si>
    <t>Detail of Assets</t>
  </si>
  <si>
    <t>Sr. No.</t>
  </si>
  <si>
    <t>Bal with PL-I Account</t>
  </si>
  <si>
    <t>Cash and bank balances</t>
  </si>
  <si>
    <t>Total (Rs. In Millions)</t>
  </si>
  <si>
    <t>Detail of Liabilities</t>
  </si>
  <si>
    <t>Total Equity</t>
  </si>
  <si>
    <t>G.Total</t>
  </si>
  <si>
    <t>Hiring of Plt / Eqpt / Mach</t>
  </si>
  <si>
    <t xml:space="preserve">POL </t>
  </si>
  <si>
    <t xml:space="preserve">Hiring charges </t>
  </si>
  <si>
    <t xml:space="preserve">Salary and Benefits </t>
  </si>
  <si>
    <t xml:space="preserve">Purchased </t>
  </si>
  <si>
    <t xml:space="preserve">Consumed </t>
  </si>
  <si>
    <t>Salary Civs / Army persons</t>
  </si>
  <si>
    <t>Qtys</t>
  </si>
  <si>
    <t>A/U</t>
  </si>
  <si>
    <t>EXPENDITURE</t>
  </si>
  <si>
    <t>Qty consumed</t>
  </si>
  <si>
    <t>Net Payment Due before recovery</t>
  </si>
  <si>
    <t>Direct Cost</t>
  </si>
  <si>
    <t>Financial Charges</t>
  </si>
  <si>
    <t xml:space="preserve">a. </t>
  </si>
  <si>
    <t>Date of Commencement</t>
  </si>
  <si>
    <t xml:space="preserve"> Date of Completion</t>
  </si>
  <si>
    <t>Original CA Amount</t>
  </si>
  <si>
    <t>Gen &amp; Adm Exp</t>
  </si>
  <si>
    <t>Total Funds Received from PL-1 account against Cash Reqn</t>
  </si>
  <si>
    <t>Stores Consumed / purchased</t>
  </si>
  <si>
    <t>Salient Features of Proj</t>
  </si>
  <si>
    <t xml:space="preserve"> %age</t>
  </si>
  <si>
    <t xml:space="preserve">Detail of Work Self Exec Done By NLC /Hired Labour </t>
  </si>
  <si>
    <t>Anx "F"</t>
  </si>
  <si>
    <t>R.Money</t>
  </si>
  <si>
    <t>Store 
Issued</t>
  </si>
  <si>
    <t>Gross 
Payable</t>
  </si>
  <si>
    <t>I.Tax</t>
  </si>
  <si>
    <t>Paid</t>
  </si>
  <si>
    <t>Less / (Over)
Paid</t>
  </si>
  <si>
    <t>Chq. #</t>
  </si>
  <si>
    <t xml:space="preserve">Audited </t>
  </si>
  <si>
    <t>During the month</t>
  </si>
  <si>
    <t>RAR WD</t>
  </si>
  <si>
    <t>10 % WH</t>
  </si>
  <si>
    <t>Diff</t>
  </si>
  <si>
    <t>Expenditure Statement</t>
  </si>
  <si>
    <t>Remarks of SPM</t>
  </si>
  <si>
    <t xml:space="preserve">Retention money to sub contractors </t>
  </si>
  <si>
    <t>Capital Development Authority</t>
  </si>
  <si>
    <t>Vetted</t>
  </si>
  <si>
    <t>During 
The Month</t>
  </si>
  <si>
    <t>Year
to Date</t>
  </si>
  <si>
    <t>Up to Date</t>
  </si>
  <si>
    <t>Revenue</t>
  </si>
  <si>
    <t>Escalation</t>
  </si>
  <si>
    <t>De Escalation</t>
  </si>
  <si>
    <t>Total Revenue</t>
  </si>
  <si>
    <t>Gross Profit/(Loss)</t>
  </si>
  <si>
    <t>Operating Profit/(Loss)</t>
  </si>
  <si>
    <t>Net Profit/(Loss) (Million)</t>
  </si>
  <si>
    <t>Net Profit/(Loss) % Age</t>
  </si>
  <si>
    <t xml:space="preserve">Detail of Expenditures </t>
  </si>
  <si>
    <t>Anex"D"</t>
  </si>
  <si>
    <t>Bill #</t>
  </si>
  <si>
    <t xml:space="preserve">Grand Total Amount </t>
  </si>
  <si>
    <t>Workdone up to Date</t>
  </si>
  <si>
    <t>Workdone Year to Date</t>
  </si>
  <si>
    <t>During Month</t>
  </si>
  <si>
    <t>Anx-"F"</t>
  </si>
  <si>
    <t>Misc Recovery / POL</t>
  </si>
  <si>
    <t>Up to date</t>
  </si>
  <si>
    <t>RAR # 1(1)</t>
  </si>
  <si>
    <t>RAR # 1(2)</t>
  </si>
  <si>
    <t>During the month (Total)</t>
  </si>
  <si>
    <t>Year to date (Total)</t>
  </si>
  <si>
    <t>Up to date (Total)</t>
  </si>
  <si>
    <t>Profit %</t>
  </si>
  <si>
    <t>G. Total</t>
  </si>
  <si>
    <t>Mob Adv I</t>
  </si>
  <si>
    <t>Mob Adv II</t>
  </si>
  <si>
    <t>-</t>
  </si>
  <si>
    <t>Client/Consultant</t>
  </si>
  <si>
    <t>Dev of infrastructure and earthwork</t>
  </si>
  <si>
    <t>Project Control Unit:-  Dev of C-15 Islamabad</t>
  </si>
  <si>
    <t>a. Insurance</t>
  </si>
  <si>
    <t>IPC-I</t>
  </si>
  <si>
    <t>Water Charges</t>
  </si>
  <si>
    <t>Receivable from Client</t>
  </si>
  <si>
    <t>Chq no 1005719516 dated 23 Jun 2023</t>
  </si>
  <si>
    <t>Chq no 29128214 dated 10 Nov 2022</t>
  </si>
  <si>
    <t>M/s Karsaz Engr Pvt Ltd (C-15/68/2023/PDN/NLC)</t>
  </si>
  <si>
    <t>00744218</t>
  </si>
  <si>
    <t>00744220</t>
  </si>
  <si>
    <t>RAR # 1(3)</t>
  </si>
  <si>
    <t>00745880</t>
  </si>
  <si>
    <t>sub contractors Payable</t>
  </si>
  <si>
    <t>M/S Karsaz (CA No. C-15/68/2023/PDN/NLC)</t>
  </si>
  <si>
    <t>b. Client Exp</t>
  </si>
  <si>
    <t>IPC-II</t>
  </si>
  <si>
    <t>Chq no 1005721016 dated 13 Nov 2023</t>
  </si>
  <si>
    <t>RAR # 1(4)</t>
  </si>
  <si>
    <t>00777869</t>
  </si>
  <si>
    <t>RAR # 1(5)</t>
  </si>
  <si>
    <t>00776742</t>
  </si>
  <si>
    <t>(1) Achieved as per cost</t>
  </si>
  <si>
    <t>RAR # 2(1)</t>
  </si>
  <si>
    <t>00781895</t>
  </si>
  <si>
    <t>RAR # 2(2)</t>
  </si>
  <si>
    <t>00782003</t>
  </si>
  <si>
    <t>c.</t>
  </si>
  <si>
    <t>1st EOT</t>
  </si>
  <si>
    <t>IPC-III</t>
  </si>
  <si>
    <t>Chq no 00028713 dated 28 Jun 2024</t>
  </si>
  <si>
    <t>RAR # 3(1)</t>
  </si>
  <si>
    <t>RAR # 2(4)</t>
  </si>
  <si>
    <t>RAR # 2(3)</t>
  </si>
  <si>
    <t>00860500</t>
  </si>
  <si>
    <t>00860724</t>
  </si>
  <si>
    <t>Contract Receivable(R.M)</t>
  </si>
  <si>
    <t>Project Highlight as on 31st Jul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</si>
</sst>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3" formatCode="_(* #,##0.00_);_(* \(#,##0.00\);_(* &quot;-&quot;??_);_(@_)"/>
    <numFmt numFmtId="164" formatCode="_-* #,##0.00_-;\-* #,##0.00_-;_-* &quot;-&quot;??_-;_-@_-"/>
    <numFmt numFmtId="165" formatCode="_-* #,##0.00_-;_-* #,##0.00\-;_-* &quot;-&quot;??_-;_-@_-"/>
    <numFmt numFmtId="166" formatCode="_(* #,##0_);_(* \(#,##0\);_(* &quot;-&quot;??_);_(@_)"/>
    <numFmt numFmtId="167" formatCode="_(* #,##0.000_);_(* \(#,##0.000\);_(* &quot;-&quot;??_);_(@_)"/>
    <numFmt numFmtId="168" formatCode="_(* #,##0.0000_);_(* \(#,##0.0000\);_(* &quot;-&quot;??_);_(@_)"/>
    <numFmt numFmtId="169" formatCode="_(* #,##0.000_);_(* \(#,##0.000\);_(* &quot;-&quot;???_);_(@_)"/>
    <numFmt numFmtId="170" formatCode="0.000"/>
    <numFmt numFmtId="171" formatCode="0.0"/>
    <numFmt numFmtId="172" formatCode="_(* #,##0.00000_);_(* \(#,##0.00000\);_(* &quot;-&quot;??_);_(@_)"/>
    <numFmt numFmtId="173" formatCode="[$-409]d/mmm/yy;@"/>
    <numFmt numFmtId="174" formatCode="_(* #,##0.0_);_(* \(#,##0.0\);_(* &quot;-&quot;?_);_(@_)"/>
    <numFmt numFmtId="175" formatCode="_(* #,##0.0000000_);_(* \(#,##0.0000000\);_(* &quot;-&quot;??_);_(@_)"/>
    <numFmt numFmtId="176" formatCode="_(* #,##0.00000000_);_(* \(#,##0.00000000\);_(* &quot;-&quot;??_);_(@_)"/>
    <numFmt numFmtId="177" formatCode="0.000%"/>
    <numFmt numFmtId="178" formatCode="[$-409]d\-mmm\-yy;@"/>
    <numFmt numFmtId="179" formatCode="0.00000000"/>
    <numFmt numFmtId="180" formatCode="[$-409]mmm\-yy;@"/>
    <numFmt numFmtId="181" formatCode="_-* #,##0.000_-;_-* #,##0.000\-;_-* &quot;-&quot;??_-;_-@_-"/>
    <numFmt numFmtId="182" formatCode="#,##0.0_);\(#,##0.0\)"/>
    <numFmt numFmtId="183" formatCode="[$-409]mmm/yy;@"/>
    <numFmt numFmtId="184" formatCode="[$-409]dd/mmm/yy;@"/>
  </numFmts>
  <fonts count="6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Book Antiqua"/>
      <family val="1"/>
    </font>
    <font>
      <sz val="10"/>
      <name val="Arial"/>
      <family val="2"/>
    </font>
    <font>
      <b/>
      <sz val="11"/>
      <name val="Book Antiqua"/>
      <family val="1"/>
    </font>
    <font>
      <b/>
      <u/>
      <sz val="12"/>
      <name val="Book Antiqua"/>
      <family val="1"/>
    </font>
    <font>
      <sz val="11"/>
      <color indexed="8"/>
      <name val="Calibri"/>
      <family val="2"/>
    </font>
    <font>
      <sz val="11"/>
      <color indexed="8"/>
      <name val="Book Antiqua"/>
      <family val="1"/>
    </font>
    <font>
      <b/>
      <sz val="11"/>
      <color indexed="8"/>
      <name val="Book Antiqua"/>
      <family val="1"/>
    </font>
    <font>
      <b/>
      <u/>
      <sz val="11"/>
      <color indexed="8"/>
      <name val="Book Antiqua"/>
      <family val="1"/>
    </font>
    <font>
      <sz val="10"/>
      <color indexed="8"/>
      <name val="Book Antiqua"/>
      <family val="1"/>
    </font>
    <font>
      <b/>
      <u/>
      <sz val="14"/>
      <color indexed="8"/>
      <name val="Book Antiqua"/>
      <family val="1"/>
    </font>
    <font>
      <sz val="12"/>
      <color indexed="8"/>
      <name val="Book Antiqua"/>
      <family val="1"/>
    </font>
    <font>
      <b/>
      <u/>
      <sz val="12"/>
      <color indexed="8"/>
      <name val="Book Antiqua"/>
      <family val="1"/>
    </font>
    <font>
      <u/>
      <sz val="12"/>
      <color indexed="8"/>
      <name val="Book Antiqua"/>
      <family val="1"/>
    </font>
    <font>
      <b/>
      <sz val="10"/>
      <color indexed="8"/>
      <name val="Book Antiqua"/>
      <family val="1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Book Antiqua"/>
      <family val="1"/>
    </font>
    <font>
      <b/>
      <sz val="10"/>
      <name val="Book Antiqua"/>
      <family val="1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14"/>
      <color indexed="8"/>
      <name val="Book Antiqua"/>
      <family val="1"/>
    </font>
    <font>
      <b/>
      <u/>
      <sz val="14"/>
      <name val="Book Antiqua"/>
      <family val="1"/>
    </font>
    <font>
      <sz val="8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u/>
      <sz val="10"/>
      <name val="Book Antiqua"/>
      <family val="1"/>
    </font>
    <font>
      <b/>
      <sz val="12"/>
      <name val="Book Antiqua"/>
      <family val="1"/>
    </font>
    <font>
      <sz val="11"/>
      <color indexed="10"/>
      <name val="Book Antiqua"/>
      <family val="1"/>
    </font>
    <font>
      <b/>
      <sz val="12"/>
      <color indexed="8"/>
      <name val="Times New Roman"/>
      <family val="1"/>
    </font>
    <font>
      <sz val="10"/>
      <color indexed="8"/>
      <name val="Arial"/>
      <family val="2"/>
    </font>
    <font>
      <b/>
      <sz val="14"/>
      <color indexed="8"/>
      <name val="Book Antiqua"/>
      <family val="1"/>
    </font>
    <font>
      <sz val="14"/>
      <name val="Book Antiqua"/>
      <family val="1"/>
    </font>
    <font>
      <u/>
      <sz val="11"/>
      <color indexed="8"/>
      <name val="Arial"/>
      <family val="2"/>
    </font>
    <font>
      <sz val="11"/>
      <color theme="1"/>
      <name val="Arial"/>
      <family val="2"/>
    </font>
    <font>
      <b/>
      <sz val="11"/>
      <color rgb="FFFF0000"/>
      <name val="Book Antiqua"/>
      <family val="1"/>
    </font>
    <font>
      <b/>
      <sz val="12"/>
      <color rgb="FFFF0000"/>
      <name val="Book Antiqua"/>
      <family val="1"/>
    </font>
    <font>
      <b/>
      <sz val="13"/>
      <name val="Book Antiqua"/>
      <family val="1"/>
    </font>
    <font>
      <b/>
      <sz val="11"/>
      <color indexed="8"/>
      <name val="Arial"/>
      <family val="2"/>
    </font>
    <font>
      <sz val="12"/>
      <name val="Arial"/>
      <family val="2"/>
    </font>
    <font>
      <b/>
      <sz val="14"/>
      <name val="Book Antiqua"/>
      <family val="1"/>
    </font>
    <font>
      <sz val="11"/>
      <name val="Calibri"/>
      <family val="2"/>
      <scheme val="minor"/>
    </font>
    <font>
      <sz val="12"/>
      <name val="Book Antiqua"/>
      <family val="1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sz val="10"/>
      <color rgb="FFFF0000"/>
      <name val="Book Antiqua"/>
      <family val="1"/>
    </font>
    <font>
      <u/>
      <sz val="14"/>
      <name val="Arial"/>
      <family val="2"/>
    </font>
    <font>
      <b/>
      <sz val="12"/>
      <name val="Arial"/>
      <family val="2"/>
    </font>
    <font>
      <sz val="11"/>
      <name val="Bookman Old Style"/>
      <family val="1"/>
    </font>
    <font>
      <b/>
      <sz val="14"/>
      <name val="Bookman Old Style"/>
      <family val="1"/>
    </font>
    <font>
      <b/>
      <u/>
      <sz val="12"/>
      <name val="Arial"/>
      <family val="2"/>
    </font>
    <font>
      <sz val="12"/>
      <color rgb="FFFF0000"/>
      <name val="Arial"/>
      <family val="2"/>
    </font>
    <font>
      <b/>
      <u val="singleAccounting"/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6"/>
      <color rgb="FFFF0000"/>
      <name val="Arial"/>
      <family val="2"/>
    </font>
    <font>
      <b/>
      <sz val="16"/>
      <color rgb="FFFFFFFF"/>
      <name val="Arial"/>
      <family val="2"/>
    </font>
    <font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</borders>
  <cellStyleXfs count="33">
    <xf numFmtId="0" fontId="0" fillId="0" borderId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6" fillId="0" borderId="0"/>
    <xf numFmtId="0" fontId="16" fillId="0" borderId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6" fillId="0" borderId="0"/>
    <xf numFmtId="172" fontId="3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8">
    <xf numFmtId="0" fontId="0" fillId="0" borderId="0" xfId="0"/>
    <xf numFmtId="0" fontId="9" fillId="0" borderId="3" xfId="0" applyFont="1" applyBorder="1"/>
    <xf numFmtId="0" fontId="7" fillId="0" borderId="2" xfId="0" applyFont="1" applyBorder="1"/>
    <xf numFmtId="0" fontId="10" fillId="0" borderId="2" xfId="0" applyFont="1" applyBorder="1"/>
    <xf numFmtId="0" fontId="7" fillId="0" borderId="1" xfId="0" applyFont="1" applyBorder="1"/>
    <xf numFmtId="0" fontId="2" fillId="0" borderId="0" xfId="5" applyFont="1"/>
    <xf numFmtId="0" fontId="19" fillId="0" borderId="0" xfId="0" applyFont="1"/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5" xfId="0" applyFont="1" applyBorder="1"/>
    <xf numFmtId="0" fontId="9" fillId="0" borderId="2" xfId="0" applyFont="1" applyBorder="1"/>
    <xf numFmtId="0" fontId="9" fillId="0" borderId="6" xfId="0" applyFont="1" applyBorder="1"/>
    <xf numFmtId="167" fontId="7" fillId="0" borderId="0" xfId="0" applyNumberFormat="1" applyFont="1"/>
    <xf numFmtId="0" fontId="7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166" fontId="7" fillId="0" borderId="0" xfId="1" applyNumberFormat="1" applyFont="1" applyFill="1"/>
    <xf numFmtId="0" fontId="23" fillId="0" borderId="0" xfId="0" applyFont="1"/>
    <xf numFmtId="0" fontId="12" fillId="0" borderId="0" xfId="0" applyFont="1"/>
    <xf numFmtId="0" fontId="11" fillId="0" borderId="0" xfId="0" applyFont="1" applyAlignment="1">
      <alignment vertical="center"/>
    </xf>
    <xf numFmtId="43" fontId="7" fillId="0" borderId="0" xfId="0" applyNumberFormat="1" applyFont="1"/>
    <xf numFmtId="0" fontId="7" fillId="0" borderId="4" xfId="0" applyFont="1" applyBorder="1" applyAlignment="1">
      <alignment vertical="center"/>
    </xf>
    <xf numFmtId="43" fontId="2" fillId="0" borderId="0" xfId="5" applyNumberFormat="1" applyFont="1"/>
    <xf numFmtId="167" fontId="2" fillId="0" borderId="0" xfId="5" applyNumberFormat="1" applyFont="1"/>
    <xf numFmtId="0" fontId="2" fillId="0" borderId="0" xfId="5" applyFont="1" applyAlignment="1">
      <alignment horizontal="center"/>
    </xf>
    <xf numFmtId="0" fontId="2" fillId="0" borderId="0" xfId="5" applyFont="1" applyAlignment="1">
      <alignment horizontal="left"/>
    </xf>
    <xf numFmtId="0" fontId="4" fillId="0" borderId="5" xfId="5" applyFont="1" applyBorder="1" applyAlignment="1">
      <alignment horizontal="center" vertical="center" wrapText="1"/>
    </xf>
    <xf numFmtId="0" fontId="2" fillId="0" borderId="0" xfId="5" applyFont="1" applyAlignment="1">
      <alignment horizontal="center" vertical="center"/>
    </xf>
    <xf numFmtId="0" fontId="4" fillId="0" borderId="2" xfId="5" applyFont="1" applyBorder="1" applyAlignment="1">
      <alignment horizontal="center" vertical="top"/>
    </xf>
    <xf numFmtId="0" fontId="2" fillId="0" borderId="3" xfId="5" applyFont="1" applyBorder="1" applyAlignment="1">
      <alignment horizontal="center" wrapText="1"/>
    </xf>
    <xf numFmtId="166" fontId="2" fillId="0" borderId="3" xfId="2" applyNumberFormat="1" applyFont="1" applyFill="1" applyBorder="1" applyAlignment="1"/>
    <xf numFmtId="0" fontId="2" fillId="0" borderId="3" xfId="8" applyNumberFormat="1" applyFont="1" applyFill="1" applyBorder="1" applyAlignment="1">
      <alignment horizontal="center"/>
    </xf>
    <xf numFmtId="0" fontId="17" fillId="0" borderId="3" xfId="0" applyFont="1" applyBorder="1"/>
    <xf numFmtId="0" fontId="2" fillId="0" borderId="2" xfId="5" applyFont="1" applyBorder="1"/>
    <xf numFmtId="0" fontId="2" fillId="0" borderId="2" xfId="5" applyFont="1" applyBorder="1" applyAlignment="1">
      <alignment wrapText="1"/>
    </xf>
    <xf numFmtId="9" fontId="2" fillId="0" borderId="2" xfId="8" applyFont="1" applyFill="1" applyBorder="1" applyAlignment="1">
      <alignment horizontal="center"/>
    </xf>
    <xf numFmtId="0" fontId="2" fillId="0" borderId="2" xfId="5" applyFont="1" applyBorder="1" applyAlignment="1">
      <alignment horizontal="center" wrapText="1"/>
    </xf>
    <xf numFmtId="0" fontId="2" fillId="0" borderId="2" xfId="8" applyNumberFormat="1" applyFont="1" applyFill="1" applyBorder="1" applyAlignment="1">
      <alignment horizontal="center"/>
    </xf>
    <xf numFmtId="174" fontId="2" fillId="0" borderId="0" xfId="5" applyNumberFormat="1" applyFont="1"/>
    <xf numFmtId="0" fontId="21" fillId="0" borderId="0" xfId="0" applyFont="1"/>
    <xf numFmtId="0" fontId="25" fillId="0" borderId="0" xfId="0" applyFont="1" applyAlignment="1">
      <alignment horizontal="left"/>
    </xf>
    <xf numFmtId="166" fontId="10" fillId="0" borderId="2" xfId="1" applyNumberFormat="1" applyFont="1" applyFill="1" applyBorder="1"/>
    <xf numFmtId="166" fontId="10" fillId="0" borderId="3" xfId="1" applyNumberFormat="1" applyFont="1" applyFill="1" applyBorder="1"/>
    <xf numFmtId="0" fontId="10" fillId="0" borderId="0" xfId="0" applyFont="1"/>
    <xf numFmtId="43" fontId="26" fillId="0" borderId="0" xfId="1" applyFont="1" applyFill="1" applyAlignment="1">
      <alignment horizontal="right"/>
    </xf>
    <xf numFmtId="0" fontId="26" fillId="0" borderId="0" xfId="0" applyFont="1" applyAlignment="1">
      <alignment horizontal="left"/>
    </xf>
    <xf numFmtId="4" fontId="26" fillId="0" borderId="0" xfId="0" applyNumberFormat="1" applyFont="1" applyAlignment="1">
      <alignment horizontal="right"/>
    </xf>
    <xf numFmtId="0" fontId="4" fillId="0" borderId="8" xfId="5" applyFont="1" applyBorder="1" applyAlignment="1">
      <alignment horizontal="center" wrapText="1"/>
    </xf>
    <xf numFmtId="0" fontId="2" fillId="0" borderId="6" xfId="5" applyFont="1" applyBorder="1"/>
    <xf numFmtId="0" fontId="2" fillId="0" borderId="8" xfId="8" applyNumberFormat="1" applyFont="1" applyFill="1" applyBorder="1" applyAlignment="1">
      <alignment horizontal="center"/>
    </xf>
    <xf numFmtId="9" fontId="2" fillId="0" borderId="8" xfId="8" applyFont="1" applyFill="1" applyBorder="1" applyAlignment="1">
      <alignment horizontal="center"/>
    </xf>
    <xf numFmtId="0" fontId="2" fillId="0" borderId="8" xfId="5" applyFont="1" applyBorder="1"/>
    <xf numFmtId="0" fontId="7" fillId="0" borderId="1" xfId="0" applyFont="1" applyBorder="1" applyAlignment="1">
      <alignment horizontal="center" vertical="center"/>
    </xf>
    <xf numFmtId="43" fontId="10" fillId="0" borderId="0" xfId="0" applyNumberFormat="1" applyFont="1"/>
    <xf numFmtId="43" fontId="22" fillId="0" borderId="0" xfId="1" applyFont="1" applyFill="1" applyAlignment="1">
      <alignment horizontal="left"/>
    </xf>
    <xf numFmtId="4" fontId="26" fillId="0" borderId="0" xfId="0" applyNumberFormat="1" applyFont="1" applyAlignment="1">
      <alignment horizontal="left"/>
    </xf>
    <xf numFmtId="0" fontId="10" fillId="0" borderId="0" xfId="0" applyFont="1" applyAlignment="1">
      <alignment wrapText="1"/>
    </xf>
    <xf numFmtId="0" fontId="10" fillId="0" borderId="5" xfId="0" applyFont="1" applyBorder="1" applyAlignment="1">
      <alignment horizontal="center"/>
    </xf>
    <xf numFmtId="0" fontId="15" fillId="0" borderId="5" xfId="0" applyFont="1" applyBorder="1"/>
    <xf numFmtId="170" fontId="7" fillId="0" borderId="0" xfId="0" applyNumberFormat="1" applyFont="1"/>
    <xf numFmtId="43" fontId="16" fillId="0" borderId="0" xfId="1" applyFont="1" applyFill="1"/>
    <xf numFmtId="43" fontId="16" fillId="0" borderId="2" xfId="1" applyFont="1" applyFill="1" applyBorder="1"/>
    <xf numFmtId="43" fontId="16" fillId="0" borderId="2" xfId="1" applyFont="1" applyFill="1" applyBorder="1" applyAlignment="1">
      <alignment vertical="center"/>
    </xf>
    <xf numFmtId="43" fontId="27" fillId="0" borderId="2" xfId="1" applyFont="1" applyFill="1" applyBorder="1"/>
    <xf numFmtId="0" fontId="16" fillId="0" borderId="2" xfId="7" applyBorder="1" applyAlignment="1">
      <alignment vertical="center"/>
    </xf>
    <xf numFmtId="43" fontId="16" fillId="0" borderId="2" xfId="7" applyNumberFormat="1" applyBorder="1" applyAlignment="1">
      <alignment vertical="center"/>
    </xf>
    <xf numFmtId="0" fontId="16" fillId="0" borderId="0" xfId="7" applyAlignment="1">
      <alignment vertical="center"/>
    </xf>
    <xf numFmtId="0" fontId="27" fillId="0" borderId="2" xfId="7" applyFont="1" applyBorder="1" applyAlignment="1">
      <alignment vertical="center"/>
    </xf>
    <xf numFmtId="0" fontId="16" fillId="0" borderId="2" xfId="7" applyBorder="1" applyAlignment="1">
      <alignment horizontal="center" vertical="center"/>
    </xf>
    <xf numFmtId="14" fontId="16" fillId="0" borderId="2" xfId="7" applyNumberFormat="1" applyBorder="1" applyAlignment="1">
      <alignment vertical="center"/>
    </xf>
    <xf numFmtId="43" fontId="27" fillId="0" borderId="2" xfId="1" applyFont="1" applyFill="1" applyBorder="1" applyAlignment="1">
      <alignment vertical="center"/>
    </xf>
    <xf numFmtId="43" fontId="27" fillId="0" borderId="2" xfId="7" applyNumberFormat="1" applyFont="1" applyBorder="1" applyAlignment="1">
      <alignment vertical="center"/>
    </xf>
    <xf numFmtId="43" fontId="10" fillId="0" borderId="0" xfId="1" applyFont="1" applyFill="1"/>
    <xf numFmtId="0" fontId="31" fillId="0" borderId="0" xfId="7" applyFont="1"/>
    <xf numFmtId="0" fontId="29" fillId="0" borderId="0" xfId="7" applyFont="1" applyAlignment="1">
      <alignment horizontal="center"/>
    </xf>
    <xf numFmtId="0" fontId="29" fillId="0" borderId="0" xfId="7" applyFont="1"/>
    <xf numFmtId="0" fontId="27" fillId="0" borderId="0" xfId="7" applyFont="1" applyAlignment="1">
      <alignment horizontal="center"/>
    </xf>
    <xf numFmtId="0" fontId="28" fillId="0" borderId="0" xfId="7" applyFont="1" applyAlignment="1">
      <alignment horizontal="center"/>
    </xf>
    <xf numFmtId="0" fontId="16" fillId="0" borderId="0" xfId="7"/>
    <xf numFmtId="0" fontId="27" fillId="0" borderId="0" xfId="7" applyFont="1"/>
    <xf numFmtId="0" fontId="16" fillId="0" borderId="0" xfId="7" applyAlignment="1">
      <alignment horizontal="center"/>
    </xf>
    <xf numFmtId="43" fontId="16" fillId="0" borderId="0" xfId="7" applyNumberFormat="1"/>
    <xf numFmtId="0" fontId="30" fillId="0" borderId="0" xfId="7" applyFont="1"/>
    <xf numFmtId="0" fontId="28" fillId="0" borderId="0" xfId="7" applyFont="1"/>
    <xf numFmtId="0" fontId="27" fillId="0" borderId="0" xfId="7" applyFont="1" applyAlignment="1">
      <alignment horizontal="center" vertical="center" wrapText="1"/>
    </xf>
    <xf numFmtId="0" fontId="27" fillId="0" borderId="2" xfId="7" applyFont="1" applyBorder="1"/>
    <xf numFmtId="0" fontId="16" fillId="0" borderId="2" xfId="7" applyBorder="1" applyAlignment="1">
      <alignment horizontal="center"/>
    </xf>
    <xf numFmtId="0" fontId="16" fillId="0" borderId="2" xfId="7" applyBorder="1"/>
    <xf numFmtId="14" fontId="16" fillId="0" borderId="2" xfId="7" applyNumberFormat="1" applyBorder="1"/>
    <xf numFmtId="43" fontId="16" fillId="0" borderId="2" xfId="7" applyNumberFormat="1" applyBorder="1"/>
    <xf numFmtId="43" fontId="27" fillId="0" borderId="2" xfId="7" applyNumberFormat="1" applyFont="1" applyBorder="1"/>
    <xf numFmtId="43" fontId="27" fillId="0" borderId="0" xfId="7" applyNumberFormat="1" applyFont="1"/>
    <xf numFmtId="43" fontId="16" fillId="0" borderId="0" xfId="7" applyNumberFormat="1" applyAlignment="1">
      <alignment vertical="center"/>
    </xf>
    <xf numFmtId="0" fontId="16" fillId="0" borderId="0" xfId="7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2" fillId="0" borderId="5" xfId="5" applyFont="1" applyBorder="1" applyAlignment="1">
      <alignment horizontal="center" vertical="top"/>
    </xf>
    <xf numFmtId="0" fontId="2" fillId="0" borderId="5" xfId="5" applyFont="1" applyBorder="1" applyAlignment="1">
      <alignment horizontal="left"/>
    </xf>
    <xf numFmtId="0" fontId="2" fillId="0" borderId="5" xfId="5" applyFont="1" applyBorder="1"/>
    <xf numFmtId="43" fontId="16" fillId="0" borderId="0" xfId="1" applyFont="1" applyFill="1" applyAlignment="1">
      <alignment vertical="center"/>
    </xf>
    <xf numFmtId="171" fontId="16" fillId="0" borderId="0" xfId="7" applyNumberFormat="1" applyAlignment="1">
      <alignment vertical="center"/>
    </xf>
    <xf numFmtId="2" fontId="16" fillId="0" borderId="0" xfId="7" applyNumberFormat="1" applyAlignment="1">
      <alignment vertical="center"/>
    </xf>
    <xf numFmtId="2" fontId="16" fillId="0" borderId="0" xfId="7" applyNumberFormat="1"/>
    <xf numFmtId="43" fontId="3" fillId="0" borderId="0" xfId="7" applyNumberFormat="1" applyFont="1"/>
    <xf numFmtId="43" fontId="3" fillId="0" borderId="0" xfId="1" applyFont="1" applyFill="1"/>
    <xf numFmtId="0" fontId="32" fillId="0" borderId="0" xfId="0" applyFont="1"/>
    <xf numFmtId="0" fontId="33" fillId="0" borderId="4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166" fontId="17" fillId="0" borderId="2" xfId="1" applyNumberFormat="1" applyFont="1" applyFill="1" applyBorder="1" applyAlignment="1">
      <alignment horizontal="center" vertical="center"/>
    </xf>
    <xf numFmtId="43" fontId="34" fillId="0" borderId="0" xfId="5" applyNumberFormat="1" applyFont="1"/>
    <xf numFmtId="0" fontId="35" fillId="0" borderId="0" xfId="0" applyFont="1" applyAlignment="1">
      <alignment horizontal="left"/>
    </xf>
    <xf numFmtId="0" fontId="2" fillId="0" borderId="4" xfId="5" applyFont="1" applyBorder="1" applyAlignment="1">
      <alignment horizontal="center" vertical="top"/>
    </xf>
    <xf numFmtId="0" fontId="2" fillId="0" borderId="2" xfId="5" applyFont="1" applyBorder="1" applyAlignment="1">
      <alignment horizontal="center" vertical="top"/>
    </xf>
    <xf numFmtId="0" fontId="36" fillId="0" borderId="2" xfId="7" applyFont="1" applyBorder="1" applyAlignment="1">
      <alignment horizontal="center" vertical="center"/>
    </xf>
    <xf numFmtId="0" fontId="36" fillId="0" borderId="2" xfId="7" applyFont="1" applyBorder="1" applyAlignment="1">
      <alignment vertical="center"/>
    </xf>
    <xf numFmtId="14" fontId="36" fillId="0" borderId="2" xfId="7" applyNumberFormat="1" applyFont="1" applyBorder="1" applyAlignment="1">
      <alignment vertical="center"/>
    </xf>
    <xf numFmtId="43" fontId="36" fillId="0" borderId="2" xfId="1" applyFont="1" applyFill="1" applyBorder="1" applyAlignment="1">
      <alignment vertical="center"/>
    </xf>
    <xf numFmtId="43" fontId="36" fillId="0" borderId="2" xfId="7" applyNumberFormat="1" applyFont="1" applyBorder="1" applyAlignment="1">
      <alignment vertical="center"/>
    </xf>
    <xf numFmtId="43" fontId="36" fillId="0" borderId="0" xfId="7" applyNumberFormat="1" applyFont="1" applyAlignment="1">
      <alignment vertical="center"/>
    </xf>
    <xf numFmtId="0" fontId="36" fillId="0" borderId="0" xfId="7" applyFont="1" applyAlignment="1">
      <alignment vertical="center"/>
    </xf>
    <xf numFmtId="0" fontId="4" fillId="0" borderId="2" xfId="5" applyFont="1" applyBorder="1" applyAlignment="1">
      <alignment horizontal="center" vertical="center"/>
    </xf>
    <xf numFmtId="43" fontId="0" fillId="0" borderId="0" xfId="0" applyNumberFormat="1"/>
    <xf numFmtId="166" fontId="2" fillId="0" borderId="0" xfId="5" applyNumberFormat="1" applyFont="1"/>
    <xf numFmtId="0" fontId="2" fillId="0" borderId="0" xfId="1" applyNumberFormat="1" applyFont="1" applyFill="1" applyAlignment="1">
      <alignment horizontal="center"/>
    </xf>
    <xf numFmtId="175" fontId="7" fillId="0" borderId="0" xfId="0" applyNumberFormat="1" applyFont="1"/>
    <xf numFmtId="166" fontId="2" fillId="0" borderId="2" xfId="1" applyNumberFormat="1" applyFont="1" applyFill="1" applyBorder="1" applyAlignment="1"/>
    <xf numFmtId="166" fontId="2" fillId="0" borderId="3" xfId="1" applyNumberFormat="1" applyFont="1" applyFill="1" applyBorder="1" applyAlignment="1"/>
    <xf numFmtId="166" fontId="4" fillId="0" borderId="2" xfId="1" applyNumberFormat="1" applyFont="1" applyFill="1" applyBorder="1" applyAlignment="1"/>
    <xf numFmtId="166" fontId="4" fillId="0" borderId="8" xfId="1" applyNumberFormat="1" applyFont="1" applyFill="1" applyBorder="1" applyAlignment="1"/>
    <xf numFmtId="166" fontId="2" fillId="0" borderId="2" xfId="5" applyNumberFormat="1" applyFont="1" applyBorder="1" applyAlignment="1">
      <alignment wrapText="1"/>
    </xf>
    <xf numFmtId="166" fontId="2" fillId="0" borderId="2" xfId="1" applyNumberFormat="1" applyFont="1" applyFill="1" applyBorder="1" applyAlignment="1">
      <alignment horizontal="center"/>
    </xf>
    <xf numFmtId="43" fontId="2" fillId="0" borderId="4" xfId="1" applyFont="1" applyFill="1" applyBorder="1" applyAlignment="1">
      <alignment horizontal="center" vertical="top"/>
    </xf>
    <xf numFmtId="43" fontId="2" fillId="0" borderId="2" xfId="1" applyFont="1" applyFill="1" applyBorder="1" applyAlignment="1">
      <alignment horizontal="center" vertical="top"/>
    </xf>
    <xf numFmtId="43" fontId="10" fillId="0" borderId="2" xfId="1" applyFont="1" applyFill="1" applyBorder="1"/>
    <xf numFmtId="166" fontId="2" fillId="0" borderId="2" xfId="1" applyNumberFormat="1" applyFont="1" applyFill="1" applyBorder="1" applyAlignment="1">
      <alignment wrapText="1"/>
    </xf>
    <xf numFmtId="0" fontId="25" fillId="0" borderId="0" xfId="0" applyFont="1" applyAlignment="1">
      <alignment horizontal="right"/>
    </xf>
    <xf numFmtId="43" fontId="7" fillId="0" borderId="0" xfId="1" applyFont="1" applyFill="1"/>
    <xf numFmtId="177" fontId="34" fillId="0" borderId="0" xfId="8" applyNumberFormat="1" applyFont="1" applyFill="1"/>
    <xf numFmtId="167" fontId="21" fillId="0" borderId="0" xfId="0" applyNumberFormat="1" applyFont="1"/>
    <xf numFmtId="169" fontId="7" fillId="0" borderId="0" xfId="0" applyNumberFormat="1" applyFont="1"/>
    <xf numFmtId="0" fontId="8" fillId="0" borderId="1" xfId="0" applyFont="1" applyBorder="1" applyAlignment="1">
      <alignment vertical="center"/>
    </xf>
    <xf numFmtId="15" fontId="2" fillId="0" borderId="2" xfId="8" applyNumberFormat="1" applyFont="1" applyFill="1" applyBorder="1" applyAlignment="1">
      <alignment horizontal="center"/>
    </xf>
    <xf numFmtId="43" fontId="2" fillId="0" borderId="2" xfId="1" applyFont="1" applyFill="1" applyBorder="1" applyAlignment="1">
      <alignment horizontal="center"/>
    </xf>
    <xf numFmtId="43" fontId="17" fillId="0" borderId="2" xfId="1" applyFont="1" applyFill="1" applyBorder="1" applyAlignment="1">
      <alignment horizontal="center"/>
    </xf>
    <xf numFmtId="166" fontId="2" fillId="0" borderId="16" xfId="1" applyNumberFormat="1" applyFont="1" applyFill="1" applyBorder="1" applyAlignment="1"/>
    <xf numFmtId="166" fontId="4" fillId="0" borderId="3" xfId="1" applyNumberFormat="1" applyFont="1" applyFill="1" applyBorder="1" applyAlignment="1"/>
    <xf numFmtId="0" fontId="4" fillId="0" borderId="17" xfId="5" applyFont="1" applyBorder="1" applyAlignment="1">
      <alignment horizontal="right" vertical="top" wrapText="1"/>
    </xf>
    <xf numFmtId="0" fontId="4" fillId="0" borderId="0" xfId="5" applyFont="1" applyAlignment="1">
      <alignment horizontal="center" wrapText="1"/>
    </xf>
    <xf numFmtId="166" fontId="4" fillId="0" borderId="0" xfId="1" applyNumberFormat="1" applyFont="1" applyFill="1" applyBorder="1" applyAlignment="1"/>
    <xf numFmtId="166" fontId="2" fillId="0" borderId="0" xfId="1" applyNumberFormat="1" applyFont="1" applyFill="1" applyBorder="1" applyAlignment="1"/>
    <xf numFmtId="0" fontId="2" fillId="0" borderId="0" xfId="8" applyNumberFormat="1" applyFont="1" applyFill="1" applyBorder="1" applyAlignment="1">
      <alignment horizontal="center"/>
    </xf>
    <xf numFmtId="9" fontId="2" fillId="0" borderId="0" xfId="8" applyFont="1" applyFill="1" applyBorder="1" applyAlignment="1">
      <alignment horizontal="center"/>
    </xf>
    <xf numFmtId="0" fontId="4" fillId="0" borderId="0" xfId="5" applyFont="1"/>
    <xf numFmtId="166" fontId="4" fillId="0" borderId="18" xfId="1" applyNumberFormat="1" applyFont="1" applyFill="1" applyBorder="1"/>
    <xf numFmtId="166" fontId="4" fillId="0" borderId="2" xfId="1" applyNumberFormat="1" applyFont="1" applyFill="1" applyBorder="1" applyAlignment="1">
      <alignment horizontal="center"/>
    </xf>
    <xf numFmtId="0" fontId="21" fillId="0" borderId="0" xfId="0" applyFont="1" applyAlignment="1">
      <alignment horizontal="center" vertical="center"/>
    </xf>
    <xf numFmtId="168" fontId="21" fillId="0" borderId="2" xfId="4" applyNumberFormat="1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/>
    </xf>
    <xf numFmtId="172" fontId="21" fillId="0" borderId="2" xfId="4" applyNumberFormat="1" applyFont="1" applyFill="1" applyBorder="1"/>
    <xf numFmtId="168" fontId="21" fillId="0" borderId="2" xfId="4" applyNumberFormat="1" applyFont="1" applyFill="1" applyBorder="1"/>
    <xf numFmtId="0" fontId="21" fillId="0" borderId="2" xfId="0" applyFont="1" applyBorder="1"/>
    <xf numFmtId="172" fontId="21" fillId="0" borderId="2" xfId="4" applyNumberFormat="1" applyFont="1" applyFill="1" applyBorder="1" applyAlignment="1">
      <alignment horizontal="center"/>
    </xf>
    <xf numFmtId="167" fontId="21" fillId="0" borderId="2" xfId="4" applyNumberFormat="1" applyFont="1" applyFill="1" applyBorder="1"/>
    <xf numFmtId="0" fontId="21" fillId="0" borderId="0" xfId="0" applyFont="1" applyAlignment="1">
      <alignment horizontal="center"/>
    </xf>
    <xf numFmtId="168" fontId="21" fillId="0" borderId="0" xfId="4" applyNumberFormat="1" applyFont="1" applyFill="1"/>
    <xf numFmtId="167" fontId="21" fillId="0" borderId="0" xfId="4" applyNumberFormat="1" applyFont="1" applyFill="1"/>
    <xf numFmtId="0" fontId="39" fillId="0" borderId="2" xfId="0" applyFont="1" applyBorder="1"/>
    <xf numFmtId="0" fontId="40" fillId="0" borderId="2" xfId="0" applyFont="1" applyBorder="1" applyAlignment="1">
      <alignment vertical="center" wrapText="1"/>
    </xf>
    <xf numFmtId="0" fontId="40" fillId="0" borderId="14" xfId="0" applyFont="1" applyBorder="1" applyAlignment="1">
      <alignment vertical="center" wrapText="1"/>
    </xf>
    <xf numFmtId="0" fontId="40" fillId="0" borderId="19" xfId="0" applyFont="1" applyBorder="1" applyAlignment="1">
      <alignment vertical="center" wrapText="1"/>
    </xf>
    <xf numFmtId="166" fontId="21" fillId="0" borderId="0" xfId="1" applyNumberFormat="1" applyFont="1" applyFill="1"/>
    <xf numFmtId="167" fontId="21" fillId="0" borderId="2" xfId="4" applyNumberFormat="1" applyFont="1" applyFill="1" applyBorder="1" applyAlignment="1">
      <alignment horizontal="center" vertical="center" wrapText="1"/>
    </xf>
    <xf numFmtId="43" fontId="21" fillId="0" borderId="2" xfId="1" applyFont="1" applyFill="1" applyBorder="1"/>
    <xf numFmtId="43" fontId="21" fillId="0" borderId="2" xfId="1" applyFont="1" applyFill="1" applyBorder="1" applyAlignment="1">
      <alignment horizontal="center"/>
    </xf>
    <xf numFmtId="43" fontId="21" fillId="0" borderId="2" xfId="1" applyFont="1" applyFill="1" applyBorder="1" applyAlignment="1">
      <alignment horizontal="center" vertical="center" readingOrder="2"/>
    </xf>
    <xf numFmtId="166" fontId="2" fillId="0" borderId="2" xfId="1" quotePrefix="1" applyNumberFormat="1" applyFont="1" applyFill="1" applyBorder="1" applyAlignment="1"/>
    <xf numFmtId="43" fontId="2" fillId="0" borderId="2" xfId="1" quotePrefix="1" applyFont="1" applyFill="1" applyBorder="1" applyAlignment="1">
      <alignment horizontal="center"/>
    </xf>
    <xf numFmtId="43" fontId="21" fillId="0" borderId="0" xfId="0" applyNumberFormat="1" applyFont="1"/>
    <xf numFmtId="0" fontId="4" fillId="0" borderId="2" xfId="5" applyFont="1" applyBorder="1" applyAlignment="1">
      <alignment horizontal="center" wrapText="1"/>
    </xf>
    <xf numFmtId="0" fontId="4" fillId="0" borderId="12" xfId="5" applyFont="1" applyBorder="1" applyAlignment="1">
      <alignment horizontal="center" vertical="center" wrapText="1"/>
    </xf>
    <xf numFmtId="0" fontId="4" fillId="0" borderId="9" xfId="5" applyFont="1" applyBorder="1" applyAlignment="1">
      <alignment horizontal="center" vertical="center" wrapText="1"/>
    </xf>
    <xf numFmtId="0" fontId="41" fillId="0" borderId="0" xfId="0" applyFont="1"/>
    <xf numFmtId="0" fontId="42" fillId="0" borderId="0" xfId="0" applyFont="1"/>
    <xf numFmtId="0" fontId="10" fillId="0" borderId="5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43" fontId="2" fillId="0" borderId="2" xfId="1" applyFont="1" applyFill="1" applyBorder="1" applyAlignment="1">
      <alignment vertical="center"/>
    </xf>
    <xf numFmtId="43" fontId="8" fillId="0" borderId="5" xfId="1" applyFont="1" applyFill="1" applyBorder="1" applyAlignment="1">
      <alignment vertical="center"/>
    </xf>
    <xf numFmtId="43" fontId="4" fillId="0" borderId="5" xfId="1" applyFont="1" applyFill="1" applyBorder="1" applyAlignment="1">
      <alignment horizontal="center" vertical="top"/>
    </xf>
    <xf numFmtId="43" fontId="2" fillId="0" borderId="1" xfId="1" applyFont="1" applyFill="1" applyBorder="1" applyAlignment="1">
      <alignment horizontal="center" vertical="top"/>
    </xf>
    <xf numFmtId="166" fontId="10" fillId="0" borderId="2" xfId="0" applyNumberFormat="1" applyFont="1" applyBorder="1"/>
    <xf numFmtId="166" fontId="19" fillId="0" borderId="3" xfId="1" applyNumberFormat="1" applyFont="1" applyFill="1" applyBorder="1"/>
    <xf numFmtId="166" fontId="20" fillId="0" borderId="5" xfId="0" applyNumberFormat="1" applyFont="1" applyBorder="1"/>
    <xf numFmtId="166" fontId="20" fillId="0" borderId="5" xfId="1" applyNumberFormat="1" applyFont="1" applyFill="1" applyBorder="1"/>
    <xf numFmtId="166" fontId="15" fillId="0" borderId="5" xfId="0" applyNumberFormat="1" applyFont="1" applyBorder="1"/>
    <xf numFmtId="166" fontId="15" fillId="0" borderId="2" xfId="0" applyNumberFormat="1" applyFont="1" applyBorder="1"/>
    <xf numFmtId="0" fontId="2" fillId="0" borderId="2" xfId="5" applyFont="1" applyBorder="1" applyAlignment="1">
      <alignment horizontal="center"/>
    </xf>
    <xf numFmtId="0" fontId="4" fillId="0" borderId="11" xfId="5" applyFont="1" applyBorder="1" applyAlignment="1">
      <alignment vertical="top" wrapText="1"/>
    </xf>
    <xf numFmtId="0" fontId="4" fillId="0" borderId="20" xfId="5" applyFont="1" applyBorder="1" applyAlignment="1">
      <alignment vertical="top" wrapText="1"/>
    </xf>
    <xf numFmtId="172" fontId="44" fillId="0" borderId="2" xfId="4" applyNumberFormat="1" applyFont="1" applyFill="1" applyBorder="1" applyAlignment="1">
      <alignment horizontal="center"/>
    </xf>
    <xf numFmtId="43" fontId="44" fillId="0" borderId="2" xfId="1" applyFont="1" applyFill="1" applyBorder="1"/>
    <xf numFmtId="43" fontId="44" fillId="0" borderId="2" xfId="1" applyFont="1" applyFill="1" applyBorder="1" applyAlignment="1">
      <alignment horizontal="center"/>
    </xf>
    <xf numFmtId="0" fontId="44" fillId="0" borderId="0" xfId="0" applyFont="1"/>
    <xf numFmtId="167" fontId="44" fillId="0" borderId="0" xfId="0" applyNumberFormat="1" applyFont="1"/>
    <xf numFmtId="0" fontId="44" fillId="0" borderId="2" xfId="0" applyFont="1" applyBorder="1" applyAlignment="1">
      <alignment horizontal="left"/>
    </xf>
    <xf numFmtId="43" fontId="44" fillId="0" borderId="9" xfId="1" applyFont="1" applyFill="1" applyBorder="1"/>
    <xf numFmtId="43" fontId="44" fillId="0" borderId="9" xfId="1" applyFont="1" applyFill="1" applyBorder="1" applyAlignment="1">
      <alignment horizontal="center"/>
    </xf>
    <xf numFmtId="43" fontId="44" fillId="0" borderId="0" xfId="0" applyNumberFormat="1" applyFont="1"/>
    <xf numFmtId="43" fontId="21" fillId="0" borderId="0" xfId="1" applyFont="1" applyFill="1" applyBorder="1"/>
    <xf numFmtId="0" fontId="40" fillId="0" borderId="0" xfId="0" applyFont="1" applyAlignment="1">
      <alignment vertical="center" wrapText="1"/>
    </xf>
    <xf numFmtId="172" fontId="21" fillId="0" borderId="0" xfId="4" applyNumberFormat="1" applyFont="1" applyFill="1" applyBorder="1" applyAlignment="1">
      <alignment horizontal="center"/>
    </xf>
    <xf numFmtId="43" fontId="21" fillId="0" borderId="0" xfId="1" applyFont="1" applyFill="1" applyBorder="1" applyAlignment="1">
      <alignment horizontal="center"/>
    </xf>
    <xf numFmtId="43" fontId="7" fillId="0" borderId="2" xfId="1" applyFont="1" applyFill="1" applyBorder="1"/>
    <xf numFmtId="43" fontId="8" fillId="0" borderId="5" xfId="1" applyFont="1" applyFill="1" applyBorder="1"/>
    <xf numFmtId="0" fontId="44" fillId="0" borderId="9" xfId="0" applyFont="1" applyBorder="1" applyAlignment="1">
      <alignment horizontal="center"/>
    </xf>
    <xf numFmtId="0" fontId="44" fillId="0" borderId="8" xfId="0" applyFont="1" applyBorder="1" applyAlignment="1">
      <alignment horizontal="center"/>
    </xf>
    <xf numFmtId="0" fontId="44" fillId="0" borderId="26" xfId="0" applyFont="1" applyBorder="1" applyAlignment="1">
      <alignment horizontal="center"/>
    </xf>
    <xf numFmtId="166" fontId="10" fillId="0" borderId="0" xfId="0" applyNumberFormat="1" applyFont="1"/>
    <xf numFmtId="166" fontId="19" fillId="0" borderId="0" xfId="1" applyNumberFormat="1" applyFont="1" applyFill="1" applyBorder="1"/>
    <xf numFmtId="166" fontId="10" fillId="0" borderId="0" xfId="1" applyNumberFormat="1" applyFont="1" applyFill="1" applyBorder="1"/>
    <xf numFmtId="43" fontId="10" fillId="0" borderId="0" xfId="1" applyFont="1" applyFill="1" applyBorder="1"/>
    <xf numFmtId="166" fontId="10" fillId="0" borderId="2" xfId="0" applyNumberFormat="1" applyFont="1" applyBorder="1" applyAlignment="1">
      <alignment horizontal="left"/>
    </xf>
    <xf numFmtId="166" fontId="19" fillId="0" borderId="0" xfId="0" applyNumberFormat="1" applyFont="1"/>
    <xf numFmtId="0" fontId="21" fillId="0" borderId="6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40" fillId="0" borderId="26" xfId="0" applyFont="1" applyBorder="1" applyAlignment="1">
      <alignment vertical="center" wrapText="1"/>
    </xf>
    <xf numFmtId="0" fontId="44" fillId="0" borderId="6" xfId="0" applyFont="1" applyBorder="1" applyAlignment="1">
      <alignment horizontal="left"/>
    </xf>
    <xf numFmtId="0" fontId="44" fillId="0" borderId="2" xfId="0" applyFont="1" applyBorder="1"/>
    <xf numFmtId="0" fontId="44" fillId="0" borderId="9" xfId="0" applyFont="1" applyBorder="1" applyAlignment="1">
      <alignment horizontal="left"/>
    </xf>
    <xf numFmtId="0" fontId="21" fillId="0" borderId="2" xfId="0" applyFont="1" applyBorder="1" applyAlignment="1">
      <alignment horizontal="center" vertical="center" wrapText="1"/>
    </xf>
    <xf numFmtId="43" fontId="7" fillId="0" borderId="0" xfId="0" applyNumberFormat="1" applyFont="1" applyAlignment="1">
      <alignment horizontal="center"/>
    </xf>
    <xf numFmtId="168" fontId="44" fillId="0" borderId="0" xfId="4" applyNumberFormat="1" applyFont="1" applyFill="1" applyBorder="1"/>
    <xf numFmtId="168" fontId="21" fillId="3" borderId="2" xfId="4" applyNumberFormat="1" applyFont="1" applyFill="1" applyBorder="1" applyAlignment="1">
      <alignment horizontal="center" vertical="center" wrapText="1"/>
    </xf>
    <xf numFmtId="168" fontId="21" fillId="3" borderId="2" xfId="4" applyNumberFormat="1" applyFont="1" applyFill="1" applyBorder="1" applyAlignment="1">
      <alignment horizontal="center"/>
    </xf>
    <xf numFmtId="43" fontId="21" fillId="3" borderId="2" xfId="1" applyFont="1" applyFill="1" applyBorder="1" applyAlignment="1">
      <alignment horizontal="center"/>
    </xf>
    <xf numFmtId="43" fontId="21" fillId="3" borderId="2" xfId="1" applyFont="1" applyFill="1" applyBorder="1"/>
    <xf numFmtId="43" fontId="44" fillId="3" borderId="2" xfId="1" applyFont="1" applyFill="1" applyBorder="1"/>
    <xf numFmtId="43" fontId="44" fillId="3" borderId="2" xfId="1" applyFont="1" applyFill="1" applyBorder="1" applyAlignment="1">
      <alignment horizontal="center"/>
    </xf>
    <xf numFmtId="43" fontId="21" fillId="3" borderId="0" xfId="1" applyFont="1" applyFill="1" applyBorder="1" applyAlignment="1">
      <alignment horizontal="center"/>
    </xf>
    <xf numFmtId="43" fontId="44" fillId="3" borderId="9" xfId="1" applyFont="1" applyFill="1" applyBorder="1"/>
    <xf numFmtId="168" fontId="21" fillId="3" borderId="0" xfId="4" applyNumberFormat="1" applyFont="1" applyFill="1"/>
    <xf numFmtId="175" fontId="21" fillId="3" borderId="0" xfId="4" applyNumberFormat="1" applyFont="1" applyFill="1"/>
    <xf numFmtId="167" fontId="21" fillId="3" borderId="0" xfId="4" applyNumberFormat="1" applyFont="1" applyFill="1"/>
    <xf numFmtId="0" fontId="21" fillId="3" borderId="2" xfId="0" applyFont="1" applyFill="1" applyBorder="1" applyAlignment="1">
      <alignment horizontal="center" vertical="center" wrapText="1"/>
    </xf>
    <xf numFmtId="172" fontId="21" fillId="3" borderId="2" xfId="4" applyNumberFormat="1" applyFont="1" applyFill="1" applyBorder="1"/>
    <xf numFmtId="43" fontId="21" fillId="3" borderId="0" xfId="1" applyFont="1" applyFill="1" applyBorder="1"/>
    <xf numFmtId="43" fontId="21" fillId="3" borderId="0" xfId="0" applyNumberFormat="1" applyFont="1" applyFill="1"/>
    <xf numFmtId="0" fontId="21" fillId="3" borderId="0" xfId="0" applyFont="1" applyFill="1"/>
    <xf numFmtId="0" fontId="21" fillId="0" borderId="8" xfId="0" applyFont="1" applyBorder="1" applyAlignment="1">
      <alignment horizontal="center" vertical="center" wrapText="1"/>
    </xf>
    <xf numFmtId="168" fontId="21" fillId="0" borderId="2" xfId="4" applyNumberFormat="1" applyFont="1" applyFill="1" applyBorder="1" applyAlignment="1">
      <alignment horizontal="center"/>
    </xf>
    <xf numFmtId="175" fontId="21" fillId="0" borderId="0" xfId="4" applyNumberFormat="1" applyFont="1" applyFill="1"/>
    <xf numFmtId="43" fontId="7" fillId="0" borderId="1" xfId="1" applyFont="1" applyFill="1" applyBorder="1"/>
    <xf numFmtId="0" fontId="8" fillId="0" borderId="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167" fontId="7" fillId="0" borderId="2" xfId="0" applyNumberFormat="1" applyFont="1" applyBorder="1"/>
    <xf numFmtId="166" fontId="10" fillId="0" borderId="3" xfId="0" applyNumberFormat="1" applyFont="1" applyBorder="1"/>
    <xf numFmtId="0" fontId="15" fillId="0" borderId="2" xfId="0" applyFont="1" applyBorder="1"/>
    <xf numFmtId="0" fontId="2" fillId="0" borderId="0" xfId="5" applyFont="1" applyAlignment="1">
      <alignment wrapText="1"/>
    </xf>
    <xf numFmtId="0" fontId="2" fillId="0" borderId="0" xfId="5" applyFont="1" applyAlignment="1">
      <alignment horizontal="center" wrapText="1"/>
    </xf>
    <xf numFmtId="43" fontId="10" fillId="4" borderId="0" xfId="1" applyFont="1" applyFill="1"/>
    <xf numFmtId="0" fontId="10" fillId="4" borderId="0" xfId="0" applyFont="1" applyFill="1"/>
    <xf numFmtId="0" fontId="10" fillId="0" borderId="2" xfId="0" applyFont="1" applyBorder="1" applyAlignment="1">
      <alignment wrapText="1"/>
    </xf>
    <xf numFmtId="0" fontId="2" fillId="0" borderId="1" xfId="5" applyFont="1" applyBorder="1" applyAlignment="1">
      <alignment horizontal="center" vertical="center" wrapText="1"/>
    </xf>
    <xf numFmtId="49" fontId="2" fillId="0" borderId="2" xfId="5" applyNumberFormat="1" applyFont="1" applyBorder="1" applyAlignment="1">
      <alignment horizontal="center"/>
    </xf>
    <xf numFmtId="165" fontId="2" fillId="0" borderId="0" xfId="5" applyNumberFormat="1" applyFont="1"/>
    <xf numFmtId="43" fontId="4" fillId="0" borderId="9" xfId="1" applyFont="1" applyFill="1" applyBorder="1" applyAlignment="1">
      <alignment horizontal="center" vertical="top"/>
    </xf>
    <xf numFmtId="167" fontId="2" fillId="0" borderId="2" xfId="1" applyNumberFormat="1" applyFont="1" applyFill="1" applyBorder="1" applyAlignment="1">
      <alignment horizontal="center" vertical="top"/>
    </xf>
    <xf numFmtId="10" fontId="2" fillId="0" borderId="0" xfId="8" applyNumberFormat="1" applyFont="1" applyFill="1"/>
    <xf numFmtId="43" fontId="2" fillId="0" borderId="3" xfId="1" applyFont="1" applyFill="1" applyBorder="1" applyAlignment="1">
      <alignment horizontal="center" vertical="top"/>
    </xf>
    <xf numFmtId="0" fontId="2" fillId="0" borderId="0" xfId="8" applyNumberFormat="1" applyFont="1" applyFill="1"/>
    <xf numFmtId="181" fontId="2" fillId="0" borderId="0" xfId="5" applyNumberFormat="1" applyFont="1"/>
    <xf numFmtId="0" fontId="4" fillId="0" borderId="27" xfId="5" applyFont="1" applyBorder="1" applyAlignment="1">
      <alignment horizontal="center" vertical="center" wrapText="1"/>
    </xf>
    <xf numFmtId="0" fontId="2" fillId="0" borderId="3" xfId="12" applyNumberFormat="1" applyFont="1" applyFill="1" applyBorder="1" applyAlignment="1">
      <alignment horizontal="center"/>
    </xf>
    <xf numFmtId="49" fontId="2" fillId="0" borderId="2" xfId="12" applyNumberFormat="1" applyFont="1" applyFill="1" applyBorder="1" applyAlignment="1">
      <alignment horizontal="center"/>
    </xf>
    <xf numFmtId="178" fontId="2" fillId="0" borderId="2" xfId="12" applyNumberFormat="1" applyFont="1" applyFill="1" applyBorder="1" applyAlignment="1">
      <alignment horizontal="center"/>
    </xf>
    <xf numFmtId="15" fontId="2" fillId="0" borderId="2" xfId="12" applyNumberFormat="1" applyFont="1" applyFill="1" applyBorder="1" applyAlignment="1">
      <alignment horizontal="center"/>
    </xf>
    <xf numFmtId="0" fontId="2" fillId="0" borderId="8" xfId="12" applyNumberFormat="1" applyFont="1" applyFill="1" applyBorder="1" applyAlignment="1">
      <alignment horizontal="center"/>
    </xf>
    <xf numFmtId="9" fontId="2" fillId="0" borderId="2" xfId="12" applyFont="1" applyFill="1" applyBorder="1" applyAlignment="1">
      <alignment horizontal="center"/>
    </xf>
    <xf numFmtId="0" fontId="2" fillId="0" borderId="2" xfId="12" applyNumberFormat="1" applyFont="1" applyFill="1" applyBorder="1" applyAlignment="1">
      <alignment horizontal="center"/>
    </xf>
    <xf numFmtId="9" fontId="2" fillId="0" borderId="8" xfId="12" applyFont="1" applyFill="1" applyBorder="1" applyAlignment="1">
      <alignment horizontal="center"/>
    </xf>
    <xf numFmtId="0" fontId="2" fillId="0" borderId="0" xfId="12" applyNumberFormat="1" applyFont="1" applyFill="1" applyBorder="1" applyAlignment="1">
      <alignment horizontal="center"/>
    </xf>
    <xf numFmtId="9" fontId="2" fillId="0" borderId="0" xfId="12" applyFont="1" applyFill="1" applyBorder="1" applyAlignment="1">
      <alignment horizontal="center"/>
    </xf>
    <xf numFmtId="166" fontId="2" fillId="0" borderId="3" xfId="15" applyNumberFormat="1" applyFont="1" applyFill="1" applyBorder="1" applyAlignment="1"/>
    <xf numFmtId="166" fontId="2" fillId="0" borderId="2" xfId="16" applyNumberFormat="1" applyFont="1" applyFill="1" applyBorder="1" applyAlignment="1"/>
    <xf numFmtId="166" fontId="2" fillId="0" borderId="2" xfId="17" applyNumberFormat="1" applyFont="1" applyFill="1" applyBorder="1" applyAlignment="1"/>
    <xf numFmtId="49" fontId="2" fillId="0" borderId="2" xfId="17" applyNumberFormat="1" applyFont="1" applyFill="1" applyBorder="1" applyAlignment="1">
      <alignment horizontal="center"/>
    </xf>
    <xf numFmtId="49" fontId="2" fillId="0" borderId="2" xfId="16" applyNumberFormat="1" applyFont="1" applyFill="1" applyBorder="1" applyAlignment="1">
      <alignment horizontal="center"/>
    </xf>
    <xf numFmtId="178" fontId="2" fillId="0" borderId="2" xfId="16" applyNumberFormat="1" applyFont="1" applyFill="1" applyBorder="1" applyAlignment="1"/>
    <xf numFmtId="166" fontId="2" fillId="0" borderId="2" xfId="16" applyNumberFormat="1" applyFont="1" applyFill="1" applyBorder="1" applyAlignment="1">
      <alignment wrapText="1"/>
    </xf>
    <xf numFmtId="166" fontId="4" fillId="0" borderId="2" xfId="16" applyNumberFormat="1" applyFont="1" applyFill="1" applyBorder="1" applyAlignment="1"/>
    <xf numFmtId="166" fontId="4" fillId="0" borderId="8" xfId="16" applyNumberFormat="1" applyFont="1" applyFill="1" applyBorder="1" applyAlignment="1"/>
    <xf numFmtId="166" fontId="2" fillId="0" borderId="16" xfId="16" applyNumberFormat="1" applyFont="1" applyFill="1" applyBorder="1" applyAlignment="1"/>
    <xf numFmtId="166" fontId="2" fillId="0" borderId="3" xfId="16" applyNumberFormat="1" applyFont="1" applyFill="1" applyBorder="1" applyAlignment="1"/>
    <xf numFmtId="166" fontId="17" fillId="0" borderId="2" xfId="16" applyNumberFormat="1" applyFont="1" applyFill="1" applyBorder="1" applyAlignment="1">
      <alignment horizontal="center" vertical="center"/>
    </xf>
    <xf numFmtId="166" fontId="2" fillId="0" borderId="2" xfId="16" applyNumberFormat="1" applyFont="1" applyFill="1" applyBorder="1" applyAlignment="1">
      <alignment horizontal="center"/>
    </xf>
    <xf numFmtId="43" fontId="2" fillId="0" borderId="2" xfId="16" applyNumberFormat="1" applyFont="1" applyFill="1" applyBorder="1" applyAlignment="1">
      <alignment horizontal="center"/>
    </xf>
    <xf numFmtId="43" fontId="2" fillId="0" borderId="2" xfId="17" applyNumberFormat="1" applyFont="1" applyFill="1" applyBorder="1" applyAlignment="1">
      <alignment horizontal="center"/>
    </xf>
    <xf numFmtId="43" fontId="2" fillId="0" borderId="2" xfId="16" applyNumberFormat="1" applyFont="1" applyFill="1" applyBorder="1" applyAlignment="1"/>
    <xf numFmtId="166" fontId="4" fillId="0" borderId="2" xfId="16" applyNumberFormat="1" applyFont="1" applyFill="1" applyBorder="1" applyAlignment="1">
      <alignment horizontal="center"/>
    </xf>
    <xf numFmtId="166" fontId="2" fillId="0" borderId="2" xfId="17" applyNumberFormat="1" applyFont="1" applyFill="1" applyBorder="1" applyAlignment="1">
      <alignment horizontal="center"/>
    </xf>
    <xf numFmtId="166" fontId="4" fillId="0" borderId="0" xfId="16" applyNumberFormat="1" applyFont="1" applyFill="1" applyBorder="1" applyAlignment="1"/>
    <xf numFmtId="166" fontId="2" fillId="0" borderId="0" xfId="16" applyNumberFormat="1" applyFont="1" applyFill="1" applyBorder="1" applyAlignment="1"/>
    <xf numFmtId="0" fontId="2" fillId="0" borderId="2" xfId="16" applyNumberFormat="1" applyFont="1" applyFill="1" applyBorder="1" applyAlignment="1">
      <alignment horizontal="center"/>
    </xf>
    <xf numFmtId="166" fontId="2" fillId="0" borderId="2" xfId="16" applyNumberFormat="1" applyFont="1" applyFill="1" applyBorder="1" applyAlignment="1">
      <alignment horizontal="left"/>
    </xf>
    <xf numFmtId="166" fontId="4" fillId="0" borderId="0" xfId="16" applyNumberFormat="1" applyFont="1" applyFill="1" applyBorder="1" applyAlignment="1">
      <alignment horizontal="center"/>
    </xf>
    <xf numFmtId="166" fontId="2" fillId="0" borderId="0" xfId="16" applyNumberFormat="1" applyFont="1" applyFill="1" applyBorder="1" applyAlignment="1">
      <alignment wrapText="1"/>
    </xf>
    <xf numFmtId="166" fontId="2" fillId="0" borderId="0" xfId="17" applyNumberFormat="1" applyFont="1" applyFill="1" applyBorder="1" applyAlignment="1"/>
    <xf numFmtId="166" fontId="2" fillId="0" borderId="0" xfId="16" applyNumberFormat="1" applyFont="1" applyFill="1" applyBorder="1" applyAlignment="1">
      <alignment horizontal="center"/>
    </xf>
    <xf numFmtId="49" fontId="2" fillId="0" borderId="0" xfId="16" applyNumberFormat="1" applyFont="1" applyFill="1" applyBorder="1" applyAlignment="1">
      <alignment horizontal="center"/>
    </xf>
    <xf numFmtId="178" fontId="2" fillId="0" borderId="0" xfId="16" applyNumberFormat="1" applyFont="1" applyFill="1" applyBorder="1" applyAlignment="1"/>
    <xf numFmtId="166" fontId="4" fillId="0" borderId="18" xfId="16" applyNumberFormat="1" applyFont="1" applyFill="1" applyBorder="1"/>
    <xf numFmtId="166" fontId="4" fillId="0" borderId="18" xfId="16" applyNumberFormat="1" applyFont="1" applyFill="1" applyBorder="1" applyAlignment="1">
      <alignment horizontal="center"/>
    </xf>
    <xf numFmtId="43" fontId="2" fillId="0" borderId="0" xfId="16" applyNumberFormat="1" applyFont="1" applyFill="1" applyBorder="1"/>
    <xf numFmtId="0" fontId="2" fillId="0" borderId="0" xfId="16" applyNumberFormat="1" applyFont="1" applyFill="1" applyAlignment="1">
      <alignment horizontal="center"/>
    </xf>
    <xf numFmtId="43" fontId="2" fillId="0" borderId="0" xfId="1" applyFont="1" applyFill="1" applyAlignment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7" fontId="2" fillId="0" borderId="0" xfId="0" applyNumberFormat="1" applyFont="1"/>
    <xf numFmtId="43" fontId="2" fillId="0" borderId="0" xfId="0" applyNumberFormat="1" applyFont="1"/>
    <xf numFmtId="43" fontId="2" fillId="0" borderId="0" xfId="1" applyFont="1" applyFill="1"/>
    <xf numFmtId="0" fontId="4" fillId="0" borderId="5" xfId="0" applyFont="1" applyBorder="1"/>
    <xf numFmtId="0" fontId="2" fillId="0" borderId="3" xfId="0" applyFont="1" applyBorder="1" applyAlignment="1">
      <alignment vertical="center"/>
    </xf>
    <xf numFmtId="43" fontId="2" fillId="0" borderId="0" xfId="0" applyNumberFormat="1" applyFont="1" applyAlignment="1">
      <alignment vertical="center"/>
    </xf>
    <xf numFmtId="0" fontId="2" fillId="0" borderId="2" xfId="0" applyFont="1" applyBorder="1" applyAlignment="1">
      <alignment vertical="center" wrapText="1"/>
    </xf>
    <xf numFmtId="167" fontId="2" fillId="0" borderId="2" xfId="1" applyNumberFormat="1" applyFont="1" applyFill="1" applyBorder="1" applyAlignment="1">
      <alignment vertical="center"/>
    </xf>
    <xf numFmtId="43" fontId="2" fillId="0" borderId="1" xfId="1" applyFont="1" applyFill="1" applyBorder="1" applyAlignment="1">
      <alignment vertical="center"/>
    </xf>
    <xf numFmtId="167" fontId="2" fillId="0" borderId="0" xfId="1" applyNumberFormat="1" applyFont="1" applyFill="1" applyBorder="1" applyAlignment="1">
      <alignment vertical="center"/>
    </xf>
    <xf numFmtId="167" fontId="2" fillId="0" borderId="0" xfId="0" applyNumberFormat="1" applyFont="1" applyAlignment="1">
      <alignment vertical="center"/>
    </xf>
    <xf numFmtId="167" fontId="2" fillId="0" borderId="3" xfId="1" applyNumberFormat="1" applyFont="1" applyFill="1" applyBorder="1" applyAlignment="1">
      <alignment vertical="center"/>
    </xf>
    <xf numFmtId="0" fontId="2" fillId="5" borderId="0" xfId="5" applyFont="1" applyFill="1"/>
    <xf numFmtId="0" fontId="4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5" borderId="0" xfId="5" applyFont="1" applyFill="1" applyAlignment="1">
      <alignment horizontal="left"/>
    </xf>
    <xf numFmtId="0" fontId="2" fillId="5" borderId="2" xfId="5" applyFont="1" applyFill="1" applyBorder="1"/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14" fontId="2" fillId="0" borderId="3" xfId="0" applyNumberFormat="1" applyFont="1" applyBorder="1" applyAlignment="1">
      <alignment vertical="center" wrapText="1"/>
    </xf>
    <xf numFmtId="43" fontId="2" fillId="0" borderId="3" xfId="1" applyFont="1" applyFill="1" applyBorder="1" applyAlignment="1">
      <alignment vertical="center"/>
    </xf>
    <xf numFmtId="167" fontId="2" fillId="0" borderId="3" xfId="0" applyNumberFormat="1" applyFont="1" applyBorder="1" applyAlignment="1">
      <alignment vertical="center"/>
    </xf>
    <xf numFmtId="167" fontId="2" fillId="0" borderId="3" xfId="1" applyNumberFormat="1" applyFont="1" applyFill="1" applyBorder="1" applyAlignment="1">
      <alignment horizontal="center" vertical="center" wrapText="1"/>
    </xf>
    <xf numFmtId="167" fontId="2" fillId="0" borderId="3" xfId="0" applyNumberFormat="1" applyFont="1" applyBorder="1" applyAlignment="1">
      <alignment horizontal="center" vertical="center" wrapText="1"/>
    </xf>
    <xf numFmtId="167" fontId="2" fillId="0" borderId="2" xfId="0" applyNumberFormat="1" applyFont="1" applyBorder="1" applyAlignment="1">
      <alignment vertical="center"/>
    </xf>
    <xf numFmtId="167" fontId="2" fillId="0" borderId="2" xfId="1" applyNumberFormat="1" applyFont="1" applyFill="1" applyBorder="1" applyAlignment="1">
      <alignment horizontal="center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vertical="center"/>
    </xf>
    <xf numFmtId="14" fontId="2" fillId="0" borderId="2" xfId="0" applyNumberFormat="1" applyFont="1" applyBorder="1" applyAlignment="1">
      <alignment vertical="center" wrapText="1"/>
    </xf>
    <xf numFmtId="43" fontId="2" fillId="0" borderId="2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14" fontId="2" fillId="0" borderId="1" xfId="0" applyNumberFormat="1" applyFont="1" applyBorder="1" applyAlignment="1">
      <alignment vertical="center" wrapText="1"/>
    </xf>
    <xf numFmtId="167" fontId="2" fillId="0" borderId="1" xfId="1" applyNumberFormat="1" applyFont="1" applyFill="1" applyBorder="1" applyAlignment="1">
      <alignment vertical="center"/>
    </xf>
    <xf numFmtId="170" fontId="2" fillId="0" borderId="2" xfId="0" applyNumberFormat="1" applyFont="1" applyBorder="1" applyAlignment="1">
      <alignment vertical="center"/>
    </xf>
    <xf numFmtId="167" fontId="2" fillId="0" borderId="1" xfId="0" applyNumberFormat="1" applyFont="1" applyBorder="1" applyAlignment="1">
      <alignment vertical="center"/>
    </xf>
    <xf numFmtId="43" fontId="2" fillId="0" borderId="1" xfId="1" applyFont="1" applyFill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67" fontId="2" fillId="0" borderId="1" xfId="1" applyNumberFormat="1" applyFont="1" applyFill="1" applyBorder="1" applyAlignment="1">
      <alignment horizontal="center" vertical="center" wrapText="1"/>
    </xf>
    <xf numFmtId="170" fontId="2" fillId="0" borderId="2" xfId="1" applyNumberFormat="1" applyFont="1" applyFill="1" applyBorder="1" applyAlignment="1">
      <alignment vertical="center"/>
    </xf>
    <xf numFmtId="0" fontId="2" fillId="2" borderId="0" xfId="0" applyFont="1" applyFill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14" fontId="2" fillId="0" borderId="7" xfId="0" applyNumberFormat="1" applyFont="1" applyBorder="1" applyAlignment="1">
      <alignment vertical="center"/>
    </xf>
    <xf numFmtId="167" fontId="2" fillId="0" borderId="7" xfId="1" applyNumberFormat="1" applyFont="1" applyFill="1" applyBorder="1" applyAlignment="1">
      <alignment vertical="center"/>
    </xf>
    <xf numFmtId="170" fontId="2" fillId="0" borderId="7" xfId="0" applyNumberFormat="1" applyFont="1" applyBorder="1" applyAlignment="1">
      <alignment vertical="center"/>
    </xf>
    <xf numFmtId="167" fontId="2" fillId="0" borderId="7" xfId="0" applyNumberFormat="1" applyFont="1" applyBorder="1" applyAlignment="1">
      <alignment vertical="center"/>
    </xf>
    <xf numFmtId="167" fontId="2" fillId="0" borderId="7" xfId="1" applyNumberFormat="1" applyFont="1" applyFill="1" applyBorder="1" applyAlignment="1">
      <alignment horizontal="center" vertical="center" wrapText="1"/>
    </xf>
    <xf numFmtId="167" fontId="2" fillId="0" borderId="7" xfId="0" applyNumberFormat="1" applyFont="1" applyBorder="1" applyAlignment="1">
      <alignment horizontal="center" vertical="center" wrapText="1"/>
    </xf>
    <xf numFmtId="167" fontId="4" fillId="0" borderId="5" xfId="1" applyNumberFormat="1" applyFont="1" applyFill="1" applyBorder="1"/>
    <xf numFmtId="0" fontId="4" fillId="0" borderId="0" xfId="0" applyFont="1"/>
    <xf numFmtId="170" fontId="2" fillId="0" borderId="0" xfId="0" applyNumberFormat="1" applyFont="1" applyAlignment="1">
      <alignment horizontal="center"/>
    </xf>
    <xf numFmtId="167" fontId="4" fillId="0" borderId="13" xfId="0" applyNumberFormat="1" applyFont="1" applyBorder="1"/>
    <xf numFmtId="0" fontId="2" fillId="0" borderId="0" xfId="0" applyFont="1" applyAlignment="1">
      <alignment wrapText="1"/>
    </xf>
    <xf numFmtId="43" fontId="2" fillId="0" borderId="0" xfId="0" applyNumberFormat="1" applyFont="1" applyAlignment="1">
      <alignment wrapText="1"/>
    </xf>
    <xf numFmtId="1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 wrapText="1"/>
    </xf>
    <xf numFmtId="0" fontId="49" fillId="0" borderId="0" xfId="0" applyFont="1"/>
    <xf numFmtId="0" fontId="2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173" fontId="29" fillId="0" borderId="0" xfId="0" applyNumberFormat="1" applyFont="1" applyAlignment="1">
      <alignment vertical="center"/>
    </xf>
    <xf numFmtId="173" fontId="29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43" fontId="29" fillId="0" borderId="0" xfId="1" applyFont="1" applyFill="1" applyAlignment="1">
      <alignment vertical="center"/>
    </xf>
    <xf numFmtId="10" fontId="31" fillId="0" borderId="0" xfId="8" applyNumberFormat="1" applyFont="1" applyFill="1" applyAlignment="1">
      <alignment vertical="center"/>
    </xf>
    <xf numFmtId="2" fontId="31" fillId="0" borderId="0" xfId="0" applyNumberFormat="1" applyFont="1" applyAlignment="1">
      <alignment vertical="center"/>
    </xf>
    <xf numFmtId="170" fontId="31" fillId="0" borderId="0" xfId="0" applyNumberFormat="1" applyFont="1" applyAlignment="1">
      <alignment vertical="center"/>
    </xf>
    <xf numFmtId="43" fontId="29" fillId="0" borderId="0" xfId="0" applyNumberFormat="1" applyFont="1" applyAlignment="1">
      <alignment vertical="center"/>
    </xf>
    <xf numFmtId="43" fontId="31" fillId="0" borderId="0" xfId="0" applyNumberFormat="1" applyFont="1" applyAlignment="1">
      <alignment vertical="center"/>
    </xf>
    <xf numFmtId="167" fontId="31" fillId="0" borderId="0" xfId="0" applyNumberFormat="1" applyFont="1" applyAlignment="1">
      <alignment vertical="center"/>
    </xf>
    <xf numFmtId="175" fontId="31" fillId="0" borderId="0" xfId="0" applyNumberFormat="1" applyFont="1" applyAlignment="1">
      <alignment vertical="center"/>
    </xf>
    <xf numFmtId="0" fontId="2" fillId="0" borderId="12" xfId="0" applyFont="1" applyBorder="1" applyAlignment="1">
      <alignment horizontal="center" vertical="center" wrapText="1"/>
    </xf>
    <xf numFmtId="176" fontId="2" fillId="0" borderId="0" xfId="0" applyNumberFormat="1" applyFont="1" applyAlignment="1">
      <alignment vertical="center"/>
    </xf>
    <xf numFmtId="167" fontId="4" fillId="0" borderId="0" xfId="0" applyNumberFormat="1" applyFont="1" applyAlignment="1">
      <alignment vertical="center"/>
    </xf>
    <xf numFmtId="175" fontId="2" fillId="0" borderId="0" xfId="0" applyNumberFormat="1" applyFont="1" applyAlignment="1">
      <alignment vertical="center"/>
    </xf>
    <xf numFmtId="0" fontId="20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43" fontId="19" fillId="0" borderId="3" xfId="0" applyNumberFormat="1" applyFont="1" applyBorder="1" applyAlignment="1">
      <alignment horizontal="center" vertical="center"/>
    </xf>
    <xf numFmtId="43" fontId="19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70" fontId="20" fillId="0" borderId="0" xfId="0" applyNumberFormat="1" applyFont="1" applyAlignment="1">
      <alignment horizontal="center"/>
    </xf>
    <xf numFmtId="43" fontId="19" fillId="0" borderId="0" xfId="1" applyFont="1" applyFill="1" applyBorder="1"/>
    <xf numFmtId="43" fontId="19" fillId="0" borderId="0" xfId="0" applyNumberFormat="1" applyFont="1"/>
    <xf numFmtId="0" fontId="46" fillId="0" borderId="0" xfId="0" applyFont="1" applyAlignment="1">
      <alignment vertical="center"/>
    </xf>
    <xf numFmtId="0" fontId="47" fillId="0" borderId="0" xfId="0" applyFont="1"/>
    <xf numFmtId="0" fontId="2" fillId="0" borderId="0" xfId="0" applyFont="1" applyAlignment="1">
      <alignment horizontal="center" vertical="center"/>
    </xf>
    <xf numFmtId="43" fontId="47" fillId="0" borderId="0" xfId="0" applyNumberFormat="1" applyFont="1"/>
    <xf numFmtId="0" fontId="50" fillId="0" borderId="0" xfId="0" applyFont="1"/>
    <xf numFmtId="0" fontId="50" fillId="0" borderId="0" xfId="0" applyFont="1" applyAlignment="1">
      <alignment horizontal="center" vertical="center"/>
    </xf>
    <xf numFmtId="0" fontId="52" fillId="0" borderId="2" xfId="0" applyFont="1" applyBorder="1" applyAlignment="1">
      <alignment horizontal="center" vertical="center" wrapText="1"/>
    </xf>
    <xf numFmtId="168" fontId="52" fillId="0" borderId="2" xfId="4" applyNumberFormat="1" applyFont="1" applyFill="1" applyBorder="1" applyAlignment="1">
      <alignment horizontal="center" vertical="center" wrapText="1"/>
    </xf>
    <xf numFmtId="167" fontId="52" fillId="0" borderId="2" xfId="4" applyNumberFormat="1" applyFont="1" applyFill="1" applyBorder="1" applyAlignment="1">
      <alignment horizontal="center" vertical="center" wrapText="1"/>
    </xf>
    <xf numFmtId="0" fontId="52" fillId="0" borderId="9" xfId="0" applyFont="1" applyBorder="1" applyAlignment="1">
      <alignment horizontal="left" vertical="center"/>
    </xf>
    <xf numFmtId="0" fontId="52" fillId="0" borderId="9" xfId="0" applyFont="1" applyBorder="1" applyAlignment="1">
      <alignment horizontal="center" vertical="center"/>
    </xf>
    <xf numFmtId="0" fontId="52" fillId="0" borderId="0" xfId="0" applyFont="1"/>
    <xf numFmtId="0" fontId="50" fillId="0" borderId="0" xfId="0" applyFont="1" applyAlignment="1">
      <alignment horizontal="center"/>
    </xf>
    <xf numFmtId="43" fontId="50" fillId="0" borderId="0" xfId="0" applyNumberFormat="1" applyFont="1"/>
    <xf numFmtId="175" fontId="50" fillId="0" borderId="0" xfId="4" applyNumberFormat="1" applyFont="1" applyFill="1"/>
    <xf numFmtId="168" fontId="50" fillId="0" borderId="0" xfId="4" applyNumberFormat="1" applyFont="1" applyFill="1"/>
    <xf numFmtId="166" fontId="50" fillId="0" borderId="0" xfId="10" applyNumberFormat="1" applyFont="1" applyFill="1"/>
    <xf numFmtId="167" fontId="50" fillId="0" borderId="0" xfId="4" applyNumberFormat="1" applyFont="1" applyFill="1"/>
    <xf numFmtId="167" fontId="50" fillId="0" borderId="0" xfId="4" applyNumberFormat="1" applyFont="1" applyFill="1" applyBorder="1"/>
    <xf numFmtId="168" fontId="50" fillId="0" borderId="0" xfId="4" applyNumberFormat="1" applyFont="1" applyFill="1" applyBorder="1"/>
    <xf numFmtId="10" fontId="29" fillId="0" borderId="0" xfId="8" applyNumberFormat="1" applyFont="1" applyFill="1" applyAlignment="1">
      <alignment vertical="center"/>
    </xf>
    <xf numFmtId="0" fontId="2" fillId="5" borderId="0" xfId="5" applyFont="1" applyFill="1" applyAlignment="1">
      <alignment horizontal="center"/>
    </xf>
    <xf numFmtId="43" fontId="45" fillId="5" borderId="0" xfId="1" applyFont="1" applyFill="1" applyAlignment="1">
      <alignment horizontal="left"/>
    </xf>
    <xf numFmtId="0" fontId="2" fillId="0" borderId="5" xfId="0" applyFont="1" applyBorder="1" applyAlignment="1">
      <alignment horizontal="center" vertical="center"/>
    </xf>
    <xf numFmtId="167" fontId="2" fillId="0" borderId="0" xfId="1" applyNumberFormat="1" applyFont="1" applyFill="1"/>
    <xf numFmtId="43" fontId="2" fillId="0" borderId="2" xfId="1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43" fontId="4" fillId="0" borderId="5" xfId="0" applyNumberFormat="1" applyFont="1" applyBorder="1" applyAlignment="1">
      <alignment vertical="center"/>
    </xf>
    <xf numFmtId="166" fontId="53" fillId="0" borderId="0" xfId="0" applyNumberFormat="1" applyFont="1"/>
    <xf numFmtId="0" fontId="53" fillId="0" borderId="0" xfId="0" applyFont="1"/>
    <xf numFmtId="167" fontId="2" fillId="5" borderId="0" xfId="0" applyNumberFormat="1" applyFont="1" applyFill="1"/>
    <xf numFmtId="167" fontId="4" fillId="5" borderId="0" xfId="0" applyNumberFormat="1" applyFont="1" applyFill="1"/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right" vertical="center"/>
    </xf>
    <xf numFmtId="0" fontId="29" fillId="0" borderId="0" xfId="0" applyFont="1" applyAlignment="1">
      <alignment vertical="center" wrapText="1"/>
    </xf>
    <xf numFmtId="43" fontId="29" fillId="5" borderId="0" xfId="1" applyFont="1" applyFill="1" applyAlignment="1">
      <alignment vertical="center"/>
    </xf>
    <xf numFmtId="0" fontId="29" fillId="5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167" fontId="2" fillId="0" borderId="0" xfId="10" applyNumberFormat="1" applyFont="1" applyFill="1" applyBorder="1" applyAlignment="1">
      <alignment vertical="center"/>
    </xf>
    <xf numFmtId="43" fontId="2" fillId="0" borderId="0" xfId="10" applyFont="1" applyFill="1" applyAlignment="1">
      <alignment vertical="center"/>
    </xf>
    <xf numFmtId="43" fontId="2" fillId="5" borderId="2" xfId="10" applyFont="1" applyFill="1" applyBorder="1" applyAlignment="1">
      <alignment vertical="center"/>
    </xf>
    <xf numFmtId="0" fontId="52" fillId="5" borderId="9" xfId="0" applyFont="1" applyFill="1" applyBorder="1" applyAlignment="1">
      <alignment horizontal="center" vertical="center"/>
    </xf>
    <xf numFmtId="43" fontId="52" fillId="5" borderId="9" xfId="10" applyFont="1" applyFill="1" applyBorder="1" applyAlignment="1">
      <alignment horizontal="center" vertical="center"/>
    </xf>
    <xf numFmtId="43" fontId="52" fillId="5" borderId="9" xfId="1" applyFont="1" applyFill="1" applyBorder="1" applyAlignment="1">
      <alignment horizontal="center" vertical="center"/>
    </xf>
    <xf numFmtId="167" fontId="2" fillId="0" borderId="12" xfId="10" applyNumberFormat="1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43" fontId="2" fillId="0" borderId="44" xfId="10" applyFont="1" applyFill="1" applyBorder="1" applyAlignment="1">
      <alignment vertical="top" wrapText="1"/>
    </xf>
    <xf numFmtId="43" fontId="2" fillId="0" borderId="42" xfId="10" applyFont="1" applyFill="1" applyBorder="1" applyAlignment="1">
      <alignment vertical="top" wrapText="1"/>
    </xf>
    <xf numFmtId="0" fontId="45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43" fontId="45" fillId="0" borderId="0" xfId="0" applyNumberFormat="1" applyFont="1" applyAlignment="1">
      <alignment vertical="center"/>
    </xf>
    <xf numFmtId="43" fontId="56" fillId="0" borderId="0" xfId="4" applyFont="1" applyFill="1" applyAlignment="1">
      <alignment vertical="center"/>
    </xf>
    <xf numFmtId="166" fontId="56" fillId="0" borderId="0" xfId="4" applyNumberFormat="1" applyFont="1" applyFill="1" applyAlignment="1">
      <alignment vertical="center"/>
    </xf>
    <xf numFmtId="10" fontId="29" fillId="5" borderId="0" xfId="8" applyNumberFormat="1" applyFont="1" applyFill="1" applyAlignment="1">
      <alignment vertical="center"/>
    </xf>
    <xf numFmtId="0" fontId="58" fillId="0" borderId="0" xfId="0" applyFont="1" applyAlignment="1">
      <alignment horizontal="center" vertical="center"/>
    </xf>
    <xf numFmtId="167" fontId="45" fillId="0" borderId="2" xfId="10" applyNumberFormat="1" applyFont="1" applyFill="1" applyBorder="1" applyAlignment="1">
      <alignment vertical="center"/>
    </xf>
    <xf numFmtId="0" fontId="45" fillId="0" borderId="3" xfId="0" applyFont="1" applyBorder="1" applyAlignment="1">
      <alignment vertical="center"/>
    </xf>
    <xf numFmtId="43" fontId="45" fillId="5" borderId="2" xfId="10" applyFont="1" applyFill="1" applyBorder="1" applyAlignment="1">
      <alignment vertical="center"/>
    </xf>
    <xf numFmtId="0" fontId="45" fillId="0" borderId="2" xfId="0" applyFont="1" applyBorder="1" applyAlignment="1">
      <alignment vertical="center"/>
    </xf>
    <xf numFmtId="0" fontId="55" fillId="0" borderId="5" xfId="0" applyFont="1" applyBorder="1" applyAlignment="1">
      <alignment horizontal="center" vertical="center" wrapText="1"/>
    </xf>
    <xf numFmtId="0" fontId="55" fillId="0" borderId="0" xfId="0" applyFont="1"/>
    <xf numFmtId="0" fontId="45" fillId="0" borderId="0" xfId="0" applyFont="1"/>
    <xf numFmtId="0" fontId="59" fillId="0" borderId="0" xfId="0" applyFont="1" applyAlignment="1">
      <alignment vertical="center"/>
    </xf>
    <xf numFmtId="0" fontId="55" fillId="5" borderId="0" xfId="0" applyFont="1" applyFill="1" applyAlignment="1">
      <alignment horizontal="right"/>
    </xf>
    <xf numFmtId="0" fontId="45" fillId="5" borderId="0" xfId="0" applyFont="1" applyFill="1"/>
    <xf numFmtId="0" fontId="58" fillId="0" borderId="0" xfId="0" applyFont="1" applyAlignment="1">
      <alignment vertical="center"/>
    </xf>
    <xf numFmtId="0" fontId="58" fillId="5" borderId="24" xfId="0" applyFont="1" applyFill="1" applyBorder="1" applyAlignment="1">
      <alignment vertical="center"/>
    </xf>
    <xf numFmtId="167" fontId="58" fillId="5" borderId="41" xfId="1" applyNumberFormat="1" applyFont="1" applyFill="1" applyBorder="1" applyAlignment="1">
      <alignment horizontal="center" vertical="center"/>
    </xf>
    <xf numFmtId="167" fontId="45" fillId="5" borderId="3" xfId="0" applyNumberFormat="1" applyFont="1" applyFill="1" applyBorder="1" applyAlignment="1">
      <alignment vertical="center"/>
    </xf>
    <xf numFmtId="167" fontId="45" fillId="5" borderId="43" xfId="0" applyNumberFormat="1" applyFont="1" applyFill="1" applyBorder="1" applyAlignment="1">
      <alignment vertical="center"/>
    </xf>
    <xf numFmtId="0" fontId="45" fillId="5" borderId="3" xfId="0" applyFont="1" applyFill="1" applyBorder="1" applyAlignment="1">
      <alignment vertical="center"/>
    </xf>
    <xf numFmtId="0" fontId="58" fillId="5" borderId="2" xfId="0" applyFont="1" applyFill="1" applyBorder="1" applyAlignment="1">
      <alignment vertical="center"/>
    </xf>
    <xf numFmtId="43" fontId="45" fillId="5" borderId="2" xfId="1" applyFont="1" applyFill="1" applyBorder="1" applyAlignment="1">
      <alignment vertical="center"/>
    </xf>
    <xf numFmtId="0" fontId="45" fillId="5" borderId="2" xfId="0" applyFont="1" applyFill="1" applyBorder="1" applyAlignment="1">
      <alignment vertical="center" wrapText="1"/>
    </xf>
    <xf numFmtId="43" fontId="59" fillId="0" borderId="0" xfId="0" applyNumberFormat="1" applyFont="1" applyAlignment="1">
      <alignment vertical="center"/>
    </xf>
    <xf numFmtId="169" fontId="59" fillId="0" borderId="0" xfId="0" applyNumberFormat="1" applyFont="1" applyAlignment="1">
      <alignment vertical="center"/>
    </xf>
    <xf numFmtId="167" fontId="59" fillId="0" borderId="0" xfId="0" applyNumberFormat="1" applyFont="1" applyAlignment="1">
      <alignment vertical="center"/>
    </xf>
    <xf numFmtId="167" fontId="45" fillId="5" borderId="2" xfId="0" applyNumberFormat="1" applyFont="1" applyFill="1" applyBorder="1" applyAlignment="1">
      <alignment vertical="center"/>
    </xf>
    <xf numFmtId="0" fontId="45" fillId="5" borderId="2" xfId="0" applyFont="1" applyFill="1" applyBorder="1" applyAlignment="1">
      <alignment vertical="center"/>
    </xf>
    <xf numFmtId="0" fontId="58" fillId="5" borderId="3" xfId="0" applyFont="1" applyFill="1" applyBorder="1" applyAlignment="1">
      <alignment vertical="center"/>
    </xf>
    <xf numFmtId="166" fontId="59" fillId="0" borderId="0" xfId="1" applyNumberFormat="1" applyFont="1" applyFill="1" applyAlignment="1">
      <alignment vertical="center"/>
    </xf>
    <xf numFmtId="166" fontId="45" fillId="0" borderId="0" xfId="1" applyNumberFormat="1" applyFont="1" applyFill="1" applyAlignment="1">
      <alignment vertical="center"/>
    </xf>
    <xf numFmtId="169" fontId="45" fillId="0" borderId="0" xfId="0" applyNumberFormat="1" applyFont="1" applyAlignment="1">
      <alignment vertical="center"/>
    </xf>
    <xf numFmtId="167" fontId="45" fillId="0" borderId="0" xfId="0" applyNumberFormat="1" applyFont="1" applyAlignment="1">
      <alignment vertical="center"/>
    </xf>
    <xf numFmtId="0" fontId="45" fillId="5" borderId="1" xfId="0" applyFont="1" applyFill="1" applyBorder="1" applyAlignment="1">
      <alignment vertical="center"/>
    </xf>
    <xf numFmtId="167" fontId="45" fillId="5" borderId="1" xfId="1" applyNumberFormat="1" applyFont="1" applyFill="1" applyBorder="1" applyAlignment="1">
      <alignment vertical="center"/>
    </xf>
    <xf numFmtId="43" fontId="59" fillId="0" borderId="0" xfId="1" applyFont="1" applyFill="1" applyBorder="1" applyAlignment="1">
      <alignment vertical="center"/>
    </xf>
    <xf numFmtId="43" fontId="45" fillId="0" borderId="0" xfId="0" applyNumberFormat="1" applyFont="1"/>
    <xf numFmtId="43" fontId="55" fillId="0" borderId="0" xfId="0" applyNumberFormat="1" applyFont="1"/>
    <xf numFmtId="167" fontId="55" fillId="0" borderId="0" xfId="1" applyNumberFormat="1" applyFont="1" applyFill="1"/>
    <xf numFmtId="167" fontId="55" fillId="0" borderId="0" xfId="0" applyNumberFormat="1" applyFont="1"/>
    <xf numFmtId="167" fontId="55" fillId="5" borderId="0" xfId="0" applyNumberFormat="1" applyFont="1" applyFill="1"/>
    <xf numFmtId="43" fontId="55" fillId="0" borderId="0" xfId="1" applyFont="1" applyFill="1"/>
    <xf numFmtId="179" fontId="45" fillId="0" borderId="0" xfId="0" applyNumberFormat="1" applyFont="1"/>
    <xf numFmtId="0" fontId="45" fillId="5" borderId="0" xfId="5" applyFont="1" applyFill="1"/>
    <xf numFmtId="0" fontId="55" fillId="5" borderId="0" xfId="0" applyFont="1" applyFill="1" applyAlignment="1">
      <alignment vertical="center"/>
    </xf>
    <xf numFmtId="165" fontId="45" fillId="5" borderId="0" xfId="5" applyNumberFormat="1" applyFont="1" applyFill="1"/>
    <xf numFmtId="43" fontId="45" fillId="5" borderId="0" xfId="5" applyNumberFormat="1" applyFont="1" applyFill="1"/>
    <xf numFmtId="43" fontId="55" fillId="5" borderId="2" xfId="1" applyFont="1" applyFill="1" applyBorder="1" applyAlignment="1">
      <alignment vertical="center"/>
    </xf>
    <xf numFmtId="0" fontId="45" fillId="5" borderId="0" xfId="5" applyFont="1" applyFill="1" applyAlignment="1">
      <alignment horizontal="center"/>
    </xf>
    <xf numFmtId="0" fontId="45" fillId="5" borderId="0" xfId="5" applyFont="1" applyFill="1" applyAlignment="1">
      <alignment horizontal="left"/>
    </xf>
    <xf numFmtId="0" fontId="45" fillId="5" borderId="0" xfId="0" applyFont="1" applyFill="1" applyAlignment="1">
      <alignment horizontal="left"/>
    </xf>
    <xf numFmtId="43" fontId="45" fillId="5" borderId="0" xfId="0" applyNumberFormat="1" applyFont="1" applyFill="1"/>
    <xf numFmtId="177" fontId="45" fillId="5" borderId="0" xfId="8" applyNumberFormat="1" applyFont="1" applyFill="1"/>
    <xf numFmtId="167" fontId="55" fillId="5" borderId="0" xfId="1" applyNumberFormat="1" applyFont="1" applyFill="1" applyAlignment="1">
      <alignment horizontal="right"/>
    </xf>
    <xf numFmtId="167" fontId="55" fillId="5" borderId="0" xfId="1" applyNumberFormat="1" applyFont="1" applyFill="1" applyBorder="1"/>
    <xf numFmtId="43" fontId="55" fillId="5" borderId="0" xfId="5" applyNumberFormat="1" applyFont="1" applyFill="1"/>
    <xf numFmtId="164" fontId="45" fillId="5" borderId="0" xfId="5" applyNumberFormat="1" applyFont="1" applyFill="1"/>
    <xf numFmtId="43" fontId="45" fillId="5" borderId="0" xfId="1" applyFont="1" applyFill="1" applyAlignment="1">
      <alignment horizontal="right"/>
    </xf>
    <xf numFmtId="172" fontId="45" fillId="5" borderId="0" xfId="1" applyNumberFormat="1" applyFont="1" applyFill="1" applyAlignment="1">
      <alignment horizontal="right"/>
    </xf>
    <xf numFmtId="168" fontId="45" fillId="5" borderId="0" xfId="1" applyNumberFormat="1" applyFont="1" applyFill="1" applyAlignment="1">
      <alignment horizontal="right"/>
    </xf>
    <xf numFmtId="4" fontId="45" fillId="5" borderId="0" xfId="0" applyNumberFormat="1" applyFont="1" applyFill="1" applyAlignment="1">
      <alignment horizontal="left"/>
    </xf>
    <xf numFmtId="4" fontId="45" fillId="5" borderId="0" xfId="0" applyNumberFormat="1" applyFont="1" applyFill="1" applyAlignment="1">
      <alignment horizontal="right"/>
    </xf>
    <xf numFmtId="0" fontId="45" fillId="5" borderId="0" xfId="5" applyFont="1" applyFill="1" applyAlignment="1">
      <alignment vertical="center"/>
    </xf>
    <xf numFmtId="0" fontId="55" fillId="5" borderId="12" xfId="5" applyFont="1" applyFill="1" applyBorder="1" applyAlignment="1">
      <alignment horizontal="center" vertical="center" wrapText="1"/>
    </xf>
    <xf numFmtId="0" fontId="55" fillId="5" borderId="2" xfId="5" applyFont="1" applyFill="1" applyBorder="1" applyAlignment="1">
      <alignment horizontal="center" vertical="center"/>
    </xf>
    <xf numFmtId="0" fontId="55" fillId="6" borderId="1" xfId="5" applyFont="1" applyFill="1" applyBorder="1" applyAlignment="1">
      <alignment horizontal="center" vertical="center"/>
    </xf>
    <xf numFmtId="1" fontId="55" fillId="6" borderId="2" xfId="5" applyNumberFormat="1" applyFont="1" applyFill="1" applyBorder="1" applyAlignment="1">
      <alignment horizontal="center" vertical="center" wrapText="1"/>
    </xf>
    <xf numFmtId="166" fontId="55" fillId="6" borderId="2" xfId="4" applyNumberFormat="1" applyFont="1" applyFill="1" applyBorder="1" applyAlignment="1">
      <alignment horizontal="center" vertical="center" wrapText="1"/>
    </xf>
    <xf numFmtId="43" fontId="55" fillId="7" borderId="0" xfId="4" applyFont="1" applyFill="1" applyAlignment="1">
      <alignment vertical="center"/>
    </xf>
    <xf numFmtId="166" fontId="55" fillId="7" borderId="2" xfId="4" applyNumberFormat="1" applyFont="1" applyFill="1" applyBorder="1" applyAlignment="1">
      <alignment horizontal="center" vertical="center"/>
    </xf>
    <xf numFmtId="43" fontId="60" fillId="7" borderId="0" xfId="4" applyFont="1" applyFill="1" applyAlignment="1">
      <alignment vertical="center"/>
    </xf>
    <xf numFmtId="43" fontId="45" fillId="0" borderId="0" xfId="4" applyFont="1" applyFill="1" applyAlignment="1">
      <alignment vertical="center"/>
    </xf>
    <xf numFmtId="166" fontId="55" fillId="6" borderId="1" xfId="4" applyNumberFormat="1" applyFont="1" applyFill="1" applyBorder="1" applyAlignment="1">
      <alignment horizontal="center" vertical="center"/>
    </xf>
    <xf numFmtId="166" fontId="55" fillId="6" borderId="1" xfId="4" applyNumberFormat="1" applyFont="1" applyFill="1" applyBorder="1" applyAlignment="1">
      <alignment horizontal="center" vertical="center" wrapText="1"/>
    </xf>
    <xf numFmtId="173" fontId="55" fillId="6" borderId="1" xfId="5" applyNumberFormat="1" applyFont="1" applyFill="1" applyBorder="1" applyAlignment="1">
      <alignment horizontal="center" vertical="center" wrapText="1"/>
    </xf>
    <xf numFmtId="43" fontId="45" fillId="0" borderId="0" xfId="4" applyFont="1" applyFill="1" applyAlignment="1">
      <alignment horizontal="center" vertical="center"/>
    </xf>
    <xf numFmtId="166" fontId="45" fillId="0" borderId="0" xfId="4" applyNumberFormat="1" applyFont="1" applyFill="1" applyAlignment="1">
      <alignment vertical="center"/>
    </xf>
    <xf numFmtId="39" fontId="45" fillId="5" borderId="2" xfId="1" applyNumberFormat="1" applyFont="1" applyFill="1" applyBorder="1" applyAlignment="1">
      <alignment vertical="center"/>
    </xf>
    <xf numFmtId="39" fontId="45" fillId="5" borderId="2" xfId="10" applyNumberFormat="1" applyFont="1" applyFill="1" applyBorder="1" applyAlignment="1">
      <alignment vertical="center"/>
    </xf>
    <xf numFmtId="37" fontId="45" fillId="5" borderId="2" xfId="1" applyNumberFormat="1" applyFont="1" applyFill="1" applyBorder="1" applyAlignment="1">
      <alignment vertical="center"/>
    </xf>
    <xf numFmtId="0" fontId="45" fillId="5" borderId="2" xfId="0" applyFont="1" applyFill="1" applyBorder="1"/>
    <xf numFmtId="166" fontId="45" fillId="5" borderId="0" xfId="0" applyNumberFormat="1" applyFont="1" applyFill="1"/>
    <xf numFmtId="0" fontId="55" fillId="0" borderId="11" xfId="0" applyFont="1" applyBorder="1" applyAlignment="1">
      <alignment horizontal="right" vertical="center"/>
    </xf>
    <xf numFmtId="166" fontId="45" fillId="0" borderId="0" xfId="0" applyNumberFormat="1" applyFont="1"/>
    <xf numFmtId="0" fontId="55" fillId="0" borderId="0" xfId="0" applyFont="1" applyAlignment="1">
      <alignment horizontal="right"/>
    </xf>
    <xf numFmtId="43" fontId="55" fillId="0" borderId="0" xfId="1" applyFont="1" applyFill="1" applyBorder="1"/>
    <xf numFmtId="43" fontId="45" fillId="0" borderId="0" xfId="1" applyFont="1" applyFill="1" applyBorder="1"/>
    <xf numFmtId="43" fontId="61" fillId="0" borderId="0" xfId="1" applyFont="1" applyFill="1" applyBorder="1"/>
    <xf numFmtId="43" fontId="45" fillId="0" borderId="0" xfId="1" applyFont="1" applyFill="1"/>
    <xf numFmtId="166" fontId="45" fillId="0" borderId="0" xfId="10" applyNumberFormat="1" applyFont="1" applyFill="1" applyBorder="1"/>
    <xf numFmtId="166" fontId="59" fillId="0" borderId="0" xfId="10" applyNumberFormat="1" applyFont="1" applyFill="1" applyBorder="1"/>
    <xf numFmtId="172" fontId="59" fillId="0" borderId="0" xfId="0" applyNumberFormat="1" applyFont="1"/>
    <xf numFmtId="172" fontId="45" fillId="0" borderId="0" xfId="0" applyNumberFormat="1" applyFont="1"/>
    <xf numFmtId="166" fontId="59" fillId="0" borderId="0" xfId="0" applyNumberFormat="1" applyFont="1"/>
    <xf numFmtId="167" fontId="45" fillId="0" borderId="0" xfId="0" applyNumberFormat="1" applyFont="1"/>
    <xf numFmtId="166" fontId="45" fillId="0" borderId="0" xfId="1" applyNumberFormat="1" applyFont="1" applyFill="1" applyBorder="1"/>
    <xf numFmtId="0" fontId="59" fillId="0" borderId="0" xfId="0" applyFont="1"/>
    <xf numFmtId="165" fontId="45" fillId="0" borderId="0" xfId="0" applyNumberFormat="1" applyFont="1"/>
    <xf numFmtId="166" fontId="59" fillId="0" borderId="0" xfId="2" applyNumberFormat="1" applyFont="1" applyFill="1" applyBorder="1" applyAlignment="1">
      <alignment vertical="center"/>
    </xf>
    <xf numFmtId="165" fontId="59" fillId="0" borderId="0" xfId="0" applyNumberFormat="1" applyFont="1"/>
    <xf numFmtId="0" fontId="55" fillId="0" borderId="0" xfId="0" applyFont="1" applyAlignment="1">
      <alignment wrapText="1"/>
    </xf>
    <xf numFmtId="0" fontId="45" fillId="0" borderId="36" xfId="0" applyFont="1" applyBorder="1" applyAlignment="1">
      <alignment horizontal="center" vertical="center"/>
    </xf>
    <xf numFmtId="43" fontId="45" fillId="5" borderId="37" xfId="4" applyFont="1" applyFill="1" applyBorder="1" applyAlignment="1">
      <alignment vertical="center"/>
    </xf>
    <xf numFmtId="0" fontId="45" fillId="0" borderId="38" xfId="0" applyFont="1" applyBorder="1" applyAlignment="1">
      <alignment horizontal="center" vertical="center"/>
    </xf>
    <xf numFmtId="43" fontId="45" fillId="5" borderId="39" xfId="4" applyFont="1" applyFill="1" applyBorder="1" applyAlignment="1">
      <alignment vertical="center"/>
    </xf>
    <xf numFmtId="0" fontId="55" fillId="0" borderId="14" xfId="0" applyFont="1" applyBorder="1" applyAlignment="1">
      <alignment horizontal="center" vertical="center"/>
    </xf>
    <xf numFmtId="0" fontId="55" fillId="0" borderId="34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49" fillId="0" borderId="0" xfId="0" applyFont="1" applyAlignment="1">
      <alignment horizontal="center"/>
    </xf>
    <xf numFmtId="0" fontId="55" fillId="0" borderId="2" xfId="0" applyFont="1" applyBorder="1" applyAlignment="1">
      <alignment horizontal="center" vertical="center"/>
    </xf>
    <xf numFmtId="17" fontId="55" fillId="0" borderId="2" xfId="4" applyNumberFormat="1" applyFont="1" applyFill="1" applyBorder="1" applyAlignment="1">
      <alignment horizontal="center" vertical="center" wrapText="1"/>
    </xf>
    <xf numFmtId="0" fontId="59" fillId="0" borderId="0" xfId="0" applyFont="1" applyAlignment="1">
      <alignment horizontal="center"/>
    </xf>
    <xf numFmtId="0" fontId="45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left" vertical="center"/>
    </xf>
    <xf numFmtId="0" fontId="45" fillId="0" borderId="3" xfId="0" applyFont="1" applyBorder="1" applyAlignment="1">
      <alignment horizontal="center" vertical="center"/>
    </xf>
    <xf numFmtId="43" fontId="45" fillId="0" borderId="3" xfId="4" applyFont="1" applyFill="1" applyBorder="1" applyAlignment="1">
      <alignment horizontal="center" vertical="center"/>
    </xf>
    <xf numFmtId="0" fontId="55" fillId="0" borderId="6" xfId="0" applyFont="1" applyBorder="1" applyAlignment="1">
      <alignment horizontal="centerContinuous" vertical="center"/>
    </xf>
    <xf numFmtId="0" fontId="55" fillId="0" borderId="6" xfId="0" applyFont="1" applyBorder="1" applyAlignment="1">
      <alignment horizontal="left" vertical="center"/>
    </xf>
    <xf numFmtId="43" fontId="45" fillId="0" borderId="2" xfId="4" applyFont="1" applyFill="1" applyBorder="1" applyAlignment="1">
      <alignment vertical="center"/>
    </xf>
    <xf numFmtId="0" fontId="55" fillId="0" borderId="2" xfId="0" applyFont="1" applyBorder="1" applyAlignment="1">
      <alignment horizontal="left" vertical="center"/>
    </xf>
    <xf numFmtId="43" fontId="55" fillId="0" borderId="2" xfId="4" applyFont="1" applyFill="1" applyBorder="1" applyAlignment="1">
      <alignment vertical="center"/>
    </xf>
    <xf numFmtId="43" fontId="55" fillId="0" borderId="2" xfId="4" applyFont="1" applyFill="1" applyBorder="1" applyAlignment="1">
      <alignment horizontal="center" vertical="center"/>
    </xf>
    <xf numFmtId="39" fontId="45" fillId="5" borderId="2" xfId="0" applyNumberFormat="1" applyFont="1" applyFill="1" applyBorder="1"/>
    <xf numFmtId="0" fontId="62" fillId="0" borderId="0" xfId="0" applyFont="1" applyAlignment="1">
      <alignment horizontal="left" vertical="center" readingOrder="1"/>
    </xf>
    <xf numFmtId="0" fontId="63" fillId="0" borderId="0" xfId="0" applyFont="1" applyAlignment="1">
      <alignment horizontal="left" vertical="center" readingOrder="1"/>
    </xf>
    <xf numFmtId="43" fontId="45" fillId="5" borderId="2" xfId="0" applyNumberFormat="1" applyFont="1" applyFill="1" applyBorder="1" applyAlignment="1">
      <alignment vertical="center" wrapText="1"/>
    </xf>
    <xf numFmtId="0" fontId="55" fillId="5" borderId="2" xfId="5" applyFont="1" applyFill="1" applyBorder="1" applyAlignment="1">
      <alignment horizontal="left" vertical="center" wrapText="1"/>
    </xf>
    <xf numFmtId="1" fontId="55" fillId="5" borderId="2" xfId="4" applyNumberFormat="1" applyFont="1" applyFill="1" applyBorder="1" applyAlignment="1">
      <alignment horizontal="center" vertical="center"/>
    </xf>
    <xf numFmtId="166" fontId="45" fillId="5" borderId="2" xfId="4" applyNumberFormat="1" applyFont="1" applyFill="1" applyBorder="1" applyAlignment="1">
      <alignment horizontal="center" vertical="center"/>
    </xf>
    <xf numFmtId="166" fontId="55" fillId="5" borderId="2" xfId="4" applyNumberFormat="1" applyFont="1" applyFill="1" applyBorder="1" applyAlignment="1">
      <alignment horizontal="center" vertical="center"/>
    </xf>
    <xf numFmtId="166" fontId="45" fillId="5" borderId="2" xfId="4" applyNumberFormat="1" applyFont="1" applyFill="1" applyBorder="1" applyAlignment="1">
      <alignment vertical="center"/>
    </xf>
    <xf numFmtId="0" fontId="55" fillId="5" borderId="0" xfId="5" applyFont="1" applyFill="1" applyAlignment="1">
      <alignment vertical="center"/>
    </xf>
    <xf numFmtId="166" fontId="55" fillId="5" borderId="0" xfId="12" applyNumberFormat="1" applyFont="1" applyFill="1" applyAlignment="1">
      <alignment vertical="center"/>
    </xf>
    <xf numFmtId="10" fontId="45" fillId="5" borderId="0" xfId="12" applyNumberFormat="1" applyFont="1" applyFill="1" applyAlignment="1">
      <alignment vertical="center"/>
    </xf>
    <xf numFmtId="43" fontId="45" fillId="5" borderId="0" xfId="4" applyFont="1" applyFill="1" applyAlignment="1">
      <alignment vertical="center"/>
    </xf>
    <xf numFmtId="39" fontId="55" fillId="5" borderId="5" xfId="1" applyNumberFormat="1" applyFont="1" applyFill="1" applyBorder="1" applyAlignment="1">
      <alignment vertical="center"/>
    </xf>
    <xf numFmtId="0" fontId="55" fillId="5" borderId="5" xfId="0" applyFont="1" applyFill="1" applyBorder="1"/>
    <xf numFmtId="43" fontId="45" fillId="5" borderId="2" xfId="1" applyFont="1" applyFill="1" applyBorder="1" applyAlignment="1">
      <alignment wrapText="1"/>
    </xf>
    <xf numFmtId="168" fontId="59" fillId="0" borderId="0" xfId="0" applyNumberFormat="1" applyFont="1" applyAlignment="1">
      <alignment vertical="center"/>
    </xf>
    <xf numFmtId="43" fontId="49" fillId="0" borderId="0" xfId="1" applyFont="1"/>
    <xf numFmtId="182" fontId="45" fillId="5" borderId="2" xfId="1" applyNumberFormat="1" applyFont="1" applyFill="1" applyBorder="1" applyAlignment="1">
      <alignment vertical="center"/>
    </xf>
    <xf numFmtId="43" fontId="45" fillId="5" borderId="2" xfId="0" applyNumberFormat="1" applyFont="1" applyFill="1" applyBorder="1" applyAlignment="1">
      <alignment vertical="center"/>
    </xf>
    <xf numFmtId="178" fontId="40" fillId="0" borderId="2" xfId="0" applyNumberFormat="1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 wrapText="1"/>
    </xf>
    <xf numFmtId="43" fontId="29" fillId="0" borderId="5" xfId="0" applyNumberFormat="1" applyFont="1" applyBorder="1" applyAlignment="1">
      <alignment horizontal="center" vertical="center" wrapText="1"/>
    </xf>
    <xf numFmtId="43" fontId="31" fillId="0" borderId="0" xfId="0" applyNumberFormat="1" applyFont="1" applyAlignment="1">
      <alignment horizontal="center" vertical="center" wrapText="1"/>
    </xf>
    <xf numFmtId="43" fontId="64" fillId="0" borderId="0" xfId="4" applyFont="1" applyFill="1" applyBorder="1" applyAlignment="1">
      <alignment vertical="center"/>
    </xf>
    <xf numFmtId="43" fontId="31" fillId="0" borderId="0" xfId="4" applyFont="1" applyFill="1" applyBorder="1" applyAlignment="1">
      <alignment vertical="center"/>
    </xf>
    <xf numFmtId="43" fontId="29" fillId="0" borderId="2" xfId="4" applyFont="1" applyFill="1" applyBorder="1" applyAlignment="1">
      <alignment vertical="center"/>
    </xf>
    <xf numFmtId="43" fontId="29" fillId="0" borderId="2" xfId="10" applyFont="1" applyFill="1" applyBorder="1" applyAlignment="1">
      <alignment vertical="center"/>
    </xf>
    <xf numFmtId="168" fontId="31" fillId="0" borderId="0" xfId="4" applyNumberFormat="1" applyFont="1" applyFill="1" applyBorder="1" applyAlignment="1">
      <alignment vertical="center"/>
    </xf>
    <xf numFmtId="167" fontId="31" fillId="0" borderId="0" xfId="4" applyNumberFormat="1" applyFont="1" applyFill="1" applyBorder="1" applyAlignment="1">
      <alignment vertical="center"/>
    </xf>
    <xf numFmtId="10" fontId="29" fillId="0" borderId="2" xfId="12" applyNumberFormat="1" applyFont="1" applyFill="1" applyBorder="1" applyAlignment="1">
      <alignment vertical="center"/>
    </xf>
    <xf numFmtId="0" fontId="55" fillId="5" borderId="6" xfId="5" applyFont="1" applyFill="1" applyBorder="1" applyAlignment="1">
      <alignment horizontal="center" vertical="center"/>
    </xf>
    <xf numFmtId="0" fontId="55" fillId="5" borderId="26" xfId="5" applyFont="1" applyFill="1" applyBorder="1" applyAlignment="1">
      <alignment horizontal="left" vertical="center" wrapText="1"/>
    </xf>
    <xf numFmtId="167" fontId="55" fillId="5" borderId="45" xfId="0" applyNumberFormat="1" applyFont="1" applyFill="1" applyBorder="1" applyAlignment="1">
      <alignment vertical="center" wrapText="1"/>
    </xf>
    <xf numFmtId="0" fontId="55" fillId="5" borderId="2" xfId="0" applyFont="1" applyFill="1" applyBorder="1" applyAlignment="1">
      <alignment horizontal="center" vertical="center"/>
    </xf>
    <xf numFmtId="0" fontId="55" fillId="5" borderId="3" xfId="0" applyFont="1" applyFill="1" applyBorder="1" applyAlignment="1">
      <alignment horizontal="center" vertical="center"/>
    </xf>
    <xf numFmtId="43" fontId="45" fillId="0" borderId="3" xfId="10" applyFont="1" applyFill="1" applyBorder="1" applyAlignment="1">
      <alignment vertical="center"/>
    </xf>
    <xf numFmtId="0" fontId="45" fillId="0" borderId="46" xfId="0" applyFont="1" applyBorder="1" applyAlignment="1">
      <alignment horizontal="center" vertical="center"/>
    </xf>
    <xf numFmtId="167" fontId="45" fillId="0" borderId="47" xfId="10" applyNumberFormat="1" applyFont="1" applyFill="1" applyBorder="1" applyAlignment="1">
      <alignment vertical="center"/>
    </xf>
    <xf numFmtId="0" fontId="45" fillId="0" borderId="45" xfId="0" applyFont="1" applyBorder="1" applyAlignment="1">
      <alignment horizontal="center" vertical="center"/>
    </xf>
    <xf numFmtId="0" fontId="55" fillId="0" borderId="48" xfId="0" applyFont="1" applyBorder="1" applyAlignment="1">
      <alignment vertical="center"/>
    </xf>
    <xf numFmtId="43" fontId="55" fillId="0" borderId="48" xfId="10" applyFont="1" applyFill="1" applyBorder="1" applyAlignment="1">
      <alignment vertical="center"/>
    </xf>
    <xf numFmtId="167" fontId="55" fillId="0" borderId="48" xfId="10" applyNumberFormat="1" applyFont="1" applyFill="1" applyBorder="1" applyAlignment="1">
      <alignment vertical="center"/>
    </xf>
    <xf numFmtId="167" fontId="55" fillId="0" borderId="49" xfId="10" applyNumberFormat="1" applyFont="1" applyFill="1" applyBorder="1" applyAlignment="1">
      <alignment horizontal="center" vertical="center"/>
    </xf>
    <xf numFmtId="43" fontId="55" fillId="0" borderId="50" xfId="0" applyNumberFormat="1" applyFont="1" applyBorder="1" applyAlignment="1">
      <alignment vertical="center"/>
    </xf>
    <xf numFmtId="0" fontId="45" fillId="0" borderId="0" xfId="0" applyFont="1" applyAlignment="1">
      <alignment horizontal="left"/>
    </xf>
    <xf numFmtId="43" fontId="45" fillId="5" borderId="1" xfId="0" applyNumberFormat="1" applyFont="1" applyFill="1" applyBorder="1" applyAlignment="1">
      <alignment horizontal="center" vertical="center"/>
    </xf>
    <xf numFmtId="43" fontId="45" fillId="5" borderId="1" xfId="10" applyFont="1" applyFill="1" applyBorder="1" applyAlignment="1">
      <alignment horizontal="center" vertical="center"/>
    </xf>
    <xf numFmtId="43" fontId="45" fillId="5" borderId="1" xfId="1" applyFont="1" applyFill="1" applyBorder="1" applyAlignment="1">
      <alignment horizontal="center" vertical="center"/>
    </xf>
    <xf numFmtId="173" fontId="29" fillId="0" borderId="0" xfId="0" quotePrefix="1" applyNumberFormat="1" applyFont="1" applyAlignment="1">
      <alignment horizontal="right" vertical="center"/>
    </xf>
    <xf numFmtId="0" fontId="45" fillId="0" borderId="2" xfId="0" applyFont="1" applyBorder="1" applyAlignment="1">
      <alignment horizontal="left" vertical="center" wrapText="1"/>
    </xf>
    <xf numFmtId="0" fontId="45" fillId="0" borderId="12" xfId="0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 wrapText="1"/>
    </xf>
    <xf numFmtId="15" fontId="45" fillId="0" borderId="2" xfId="0" applyNumberFormat="1" applyFont="1" applyBorder="1" applyAlignment="1">
      <alignment horizontal="center" vertical="center" wrapText="1"/>
    </xf>
    <xf numFmtId="166" fontId="45" fillId="0" borderId="2" xfId="1" applyNumberFormat="1" applyFont="1" applyFill="1" applyBorder="1" applyAlignment="1">
      <alignment horizontal="center" vertical="center" wrapText="1"/>
    </xf>
    <xf numFmtId="0" fontId="45" fillId="0" borderId="3" xfId="0" applyFont="1" applyBorder="1" applyAlignment="1">
      <alignment horizontal="center" vertical="center" wrapText="1"/>
    </xf>
    <xf numFmtId="180" fontId="45" fillId="0" borderId="3" xfId="0" applyNumberFormat="1" applyFont="1" applyBorder="1" applyAlignment="1">
      <alignment horizontal="center" vertical="center" wrapText="1"/>
    </xf>
    <xf numFmtId="166" fontId="45" fillId="0" borderId="3" xfId="1" applyNumberFormat="1" applyFont="1" applyFill="1" applyBorder="1" applyAlignment="1">
      <alignment horizontal="center" vertical="center" wrapText="1"/>
    </xf>
    <xf numFmtId="166" fontId="45" fillId="0" borderId="3" xfId="0" applyNumberFormat="1" applyFont="1" applyBorder="1" applyAlignment="1">
      <alignment horizontal="center" vertical="center" wrapText="1"/>
    </xf>
    <xf numFmtId="0" fontId="45" fillId="0" borderId="2" xfId="0" applyFont="1" applyBorder="1"/>
    <xf numFmtId="37" fontId="55" fillId="0" borderId="2" xfId="1" applyNumberFormat="1" applyFont="1" applyFill="1" applyBorder="1" applyAlignment="1">
      <alignment vertical="center"/>
    </xf>
    <xf numFmtId="37" fontId="55" fillId="0" borderId="2" xfId="1" applyNumberFormat="1" applyFont="1" applyFill="1" applyBorder="1" applyAlignment="1">
      <alignment horizontal="center" vertical="center"/>
    </xf>
    <xf numFmtId="166" fontId="55" fillId="0" borderId="2" xfId="1" applyNumberFormat="1" applyFont="1" applyFill="1" applyBorder="1" applyAlignment="1">
      <alignment vertical="center"/>
    </xf>
    <xf numFmtId="167" fontId="55" fillId="5" borderId="11" xfId="0" applyNumberFormat="1" applyFont="1" applyFill="1" applyBorder="1" applyAlignment="1">
      <alignment vertical="center" wrapText="1"/>
    </xf>
    <xf numFmtId="0" fontId="55" fillId="0" borderId="0" xfId="5" applyFont="1" applyAlignment="1">
      <alignment vertical="center"/>
    </xf>
    <xf numFmtId="0" fontId="45" fillId="0" borderId="0" xfId="5" applyFont="1" applyAlignment="1">
      <alignment vertical="center"/>
    </xf>
    <xf numFmtId="0" fontId="30" fillId="6" borderId="0" xfId="5" applyFont="1" applyFill="1" applyAlignment="1">
      <alignment horizontal="right" vertical="center"/>
    </xf>
    <xf numFmtId="0" fontId="55" fillId="6" borderId="1" xfId="5" applyFont="1" applyFill="1" applyBorder="1" applyAlignment="1">
      <alignment horizontal="center" vertical="center" wrapText="1"/>
    </xf>
    <xf numFmtId="0" fontId="55" fillId="0" borderId="0" xfId="5" applyFont="1" applyAlignment="1">
      <alignment horizontal="center" vertical="center"/>
    </xf>
    <xf numFmtId="0" fontId="45" fillId="0" borderId="0" xfId="5" applyFont="1" applyAlignment="1">
      <alignment horizontal="center" vertical="center"/>
    </xf>
    <xf numFmtId="43" fontId="40" fillId="0" borderId="2" xfId="10" quotePrefix="1" applyFont="1" applyBorder="1" applyAlignment="1">
      <alignment horizontal="center" vertical="center"/>
    </xf>
    <xf numFmtId="43" fontId="55" fillId="8" borderId="2" xfId="4" applyFont="1" applyFill="1" applyBorder="1" applyAlignment="1">
      <alignment horizontal="center" vertical="center"/>
    </xf>
    <xf numFmtId="166" fontId="55" fillId="8" borderId="2" xfId="4" applyNumberFormat="1" applyFont="1" applyFill="1" applyBorder="1" applyAlignment="1">
      <alignment horizontal="center" vertical="center"/>
    </xf>
    <xf numFmtId="173" fontId="55" fillId="8" borderId="2" xfId="4" applyNumberFormat="1" applyFont="1" applyFill="1" applyBorder="1" applyAlignment="1">
      <alignment horizontal="center" vertical="center"/>
    </xf>
    <xf numFmtId="43" fontId="60" fillId="8" borderId="0" xfId="4" applyFont="1" applyFill="1" applyAlignment="1">
      <alignment vertical="center"/>
    </xf>
    <xf numFmtId="43" fontId="55" fillId="8" borderId="0" xfId="4" applyFont="1" applyFill="1" applyAlignment="1">
      <alignment vertical="center"/>
    </xf>
    <xf numFmtId="166" fontId="61" fillId="8" borderId="0" xfId="4" applyNumberFormat="1" applyFont="1" applyFill="1" applyAlignment="1">
      <alignment vertical="center"/>
    </xf>
    <xf numFmtId="166" fontId="55" fillId="8" borderId="0" xfId="4" applyNumberFormat="1" applyFont="1" applyFill="1" applyAlignment="1">
      <alignment vertical="center"/>
    </xf>
    <xf numFmtId="173" fontId="45" fillId="8" borderId="2" xfId="5" applyNumberFormat="1" applyFont="1" applyFill="1" applyBorder="1" applyAlignment="1">
      <alignment horizontal="center" vertical="center"/>
    </xf>
    <xf numFmtId="166" fontId="55" fillId="7" borderId="0" xfId="4" applyNumberFormat="1" applyFont="1" applyFill="1" applyAlignment="1">
      <alignment vertical="center"/>
    </xf>
    <xf numFmtId="166" fontId="55" fillId="9" borderId="2" xfId="4" applyNumberFormat="1" applyFont="1" applyFill="1" applyBorder="1" applyAlignment="1">
      <alignment horizontal="center" vertical="center"/>
    </xf>
    <xf numFmtId="166" fontId="61" fillId="9" borderId="0" xfId="4" applyNumberFormat="1" applyFont="1" applyFill="1" applyAlignment="1">
      <alignment vertical="center"/>
    </xf>
    <xf numFmtId="166" fontId="55" fillId="9" borderId="0" xfId="4" applyNumberFormat="1" applyFont="1" applyFill="1" applyAlignment="1">
      <alignment vertical="center"/>
    </xf>
    <xf numFmtId="43" fontId="55" fillId="9" borderId="0" xfId="4" applyFont="1" applyFill="1" applyAlignment="1">
      <alignment vertical="center"/>
    </xf>
    <xf numFmtId="166" fontId="55" fillId="10" borderId="2" xfId="4" applyNumberFormat="1" applyFont="1" applyFill="1" applyBorder="1" applyAlignment="1">
      <alignment horizontal="center" vertical="center"/>
    </xf>
    <xf numFmtId="173" fontId="45" fillId="10" borderId="2" xfId="5" applyNumberFormat="1" applyFont="1" applyFill="1" applyBorder="1" applyAlignment="1">
      <alignment horizontal="center" vertical="center"/>
    </xf>
    <xf numFmtId="166" fontId="55" fillId="10" borderId="0" xfId="4" applyNumberFormat="1" applyFont="1" applyFill="1" applyAlignment="1">
      <alignment vertical="center"/>
    </xf>
    <xf numFmtId="43" fontId="55" fillId="10" borderId="0" xfId="4" applyFont="1" applyFill="1" applyAlignment="1">
      <alignment vertical="center"/>
    </xf>
    <xf numFmtId="173" fontId="45" fillId="0" borderId="0" xfId="5" applyNumberFormat="1" applyFont="1" applyAlignment="1">
      <alignment horizontal="center" vertical="center"/>
    </xf>
    <xf numFmtId="0" fontId="56" fillId="0" borderId="0" xfId="5" applyFont="1" applyAlignment="1">
      <alignment vertical="center"/>
    </xf>
    <xf numFmtId="169" fontId="56" fillId="0" borderId="0" xfId="4" applyNumberFormat="1" applyFont="1" applyFill="1" applyAlignment="1">
      <alignment vertical="center"/>
    </xf>
    <xf numFmtId="0" fontId="56" fillId="0" borderId="0" xfId="5" applyFont="1" applyAlignment="1">
      <alignment horizontal="center" vertical="center"/>
    </xf>
    <xf numFmtId="173" fontId="56" fillId="0" borderId="0" xfId="5" applyNumberFormat="1" applyFont="1" applyAlignment="1">
      <alignment horizontal="center" vertical="center"/>
    </xf>
    <xf numFmtId="0" fontId="57" fillId="0" borderId="0" xfId="5" applyFont="1" applyAlignment="1">
      <alignment vertical="center"/>
    </xf>
    <xf numFmtId="166" fontId="40" fillId="0" borderId="2" xfId="10" applyNumberFormat="1" applyFont="1" applyBorder="1" applyAlignment="1">
      <alignment horizontal="center" vertical="center"/>
    </xf>
    <xf numFmtId="43" fontId="2" fillId="5" borderId="2" xfId="10" applyFont="1" applyFill="1" applyBorder="1" applyAlignment="1">
      <alignment horizontal="center" vertical="center"/>
    </xf>
    <xf numFmtId="43" fontId="55" fillId="5" borderId="2" xfId="5" applyNumberFormat="1" applyFont="1" applyFill="1" applyBorder="1" applyAlignment="1">
      <alignment vertical="center"/>
    </xf>
    <xf numFmtId="0" fontId="55" fillId="5" borderId="2" xfId="5" applyFont="1" applyFill="1" applyBorder="1" applyAlignment="1">
      <alignment horizontal="left" vertical="center"/>
    </xf>
    <xf numFmtId="0" fontId="55" fillId="5" borderId="2" xfId="5" applyFont="1" applyFill="1" applyBorder="1" applyAlignment="1">
      <alignment vertical="center"/>
    </xf>
    <xf numFmtId="43" fontId="55" fillId="5" borderId="0" xfId="5" applyNumberFormat="1" applyFont="1" applyFill="1" applyAlignment="1">
      <alignment vertical="center"/>
    </xf>
    <xf numFmtId="0" fontId="55" fillId="5" borderId="51" xfId="5" applyFont="1" applyFill="1" applyBorder="1" applyAlignment="1">
      <alignment horizontal="center" vertical="center" wrapText="1"/>
    </xf>
    <xf numFmtId="0" fontId="45" fillId="5" borderId="2" xfId="5" applyFont="1" applyFill="1" applyBorder="1" applyAlignment="1">
      <alignment horizontal="center" vertical="center"/>
    </xf>
    <xf numFmtId="9" fontId="55" fillId="5" borderId="2" xfId="5" applyNumberFormat="1" applyFont="1" applyFill="1" applyBorder="1" applyAlignment="1">
      <alignment horizontal="center" vertical="center"/>
    </xf>
    <xf numFmtId="2" fontId="45" fillId="5" borderId="2" xfId="5" applyNumberFormat="1" applyFont="1" applyFill="1" applyBorder="1" applyAlignment="1">
      <alignment horizontal="right" vertical="center" wrapText="1"/>
    </xf>
    <xf numFmtId="43" fontId="55" fillId="5" borderId="2" xfId="1" applyFont="1" applyFill="1" applyBorder="1" applyAlignment="1">
      <alignment horizontal="center" vertical="center" wrapText="1"/>
    </xf>
    <xf numFmtId="43" fontId="45" fillId="5" borderId="2" xfId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183" fontId="45" fillId="0" borderId="3" xfId="0" applyNumberFormat="1" applyFont="1" applyBorder="1" applyAlignment="1">
      <alignment horizontal="center" vertical="center" wrapText="1"/>
    </xf>
    <xf numFmtId="43" fontId="45" fillId="0" borderId="2" xfId="1" applyFont="1" applyBorder="1" applyAlignment="1">
      <alignment horizontal="center" vertical="center" wrapText="1"/>
    </xf>
    <xf numFmtId="166" fontId="55" fillId="5" borderId="6" xfId="4" applyNumberFormat="1" applyFont="1" applyFill="1" applyBorder="1" applyAlignment="1">
      <alignment horizontal="right" vertical="center"/>
    </xf>
    <xf numFmtId="166" fontId="55" fillId="5" borderId="26" xfId="4" applyNumberFormat="1" applyFont="1" applyFill="1" applyBorder="1" applyAlignment="1">
      <alignment horizontal="right" vertical="center"/>
    </xf>
    <xf numFmtId="43" fontId="55" fillId="5" borderId="2" xfId="4" applyFont="1" applyFill="1" applyBorder="1" applyAlignment="1">
      <alignment horizontal="center" vertical="center"/>
    </xf>
    <xf numFmtId="173" fontId="45" fillId="5" borderId="2" xfId="5" applyNumberFormat="1" applyFont="1" applyFill="1" applyBorder="1" applyAlignment="1">
      <alignment horizontal="center" vertical="center"/>
    </xf>
    <xf numFmtId="43" fontId="55" fillId="5" borderId="0" xfId="4" applyFont="1" applyFill="1" applyAlignment="1">
      <alignment vertical="center"/>
    </xf>
    <xf numFmtId="0" fontId="58" fillId="5" borderId="9" xfId="0" applyFont="1" applyFill="1" applyBorder="1" applyAlignment="1">
      <alignment vertical="center"/>
    </xf>
    <xf numFmtId="0" fontId="55" fillId="5" borderId="9" xfId="0" applyFont="1" applyFill="1" applyBorder="1" applyAlignment="1">
      <alignment vertical="center"/>
    </xf>
    <xf numFmtId="43" fontId="55" fillId="5" borderId="9" xfId="1" applyFont="1" applyFill="1" applyBorder="1" applyAlignment="1">
      <alignment vertical="center"/>
    </xf>
    <xf numFmtId="43" fontId="45" fillId="5" borderId="42" xfId="1" applyFont="1" applyFill="1" applyBorder="1" applyAlignment="1">
      <alignment vertical="center"/>
    </xf>
    <xf numFmtId="43" fontId="45" fillId="0" borderId="3" xfId="1" applyFont="1" applyFill="1" applyBorder="1" applyAlignment="1">
      <alignment horizontal="center" vertical="center" wrapText="1"/>
    </xf>
    <xf numFmtId="37" fontId="45" fillId="0" borderId="3" xfId="1" applyNumberFormat="1" applyFont="1" applyFill="1" applyBorder="1" applyAlignment="1">
      <alignment horizontal="right" vertical="center" wrapText="1"/>
    </xf>
    <xf numFmtId="184" fontId="45" fillId="0" borderId="3" xfId="0" applyNumberFormat="1" applyFont="1" applyBorder="1" applyAlignment="1">
      <alignment horizontal="center" vertical="center" wrapText="1"/>
    </xf>
    <xf numFmtId="166" fontId="45" fillId="0" borderId="2" xfId="1" applyNumberFormat="1" applyFont="1" applyBorder="1" applyAlignment="1">
      <alignment horizontal="center" vertical="center" wrapText="1"/>
    </xf>
    <xf numFmtId="43" fontId="45" fillId="5" borderId="1" xfId="10" applyFont="1" applyFill="1" applyBorder="1" applyAlignment="1">
      <alignment vertical="center"/>
    </xf>
    <xf numFmtId="43" fontId="45" fillId="5" borderId="1" xfId="1" applyFont="1" applyFill="1" applyBorder="1" applyAlignment="1">
      <alignment vertical="center"/>
    </xf>
    <xf numFmtId="43" fontId="29" fillId="0" borderId="2" xfId="8" applyNumberFormat="1" applyFont="1" applyFill="1" applyBorder="1" applyAlignment="1">
      <alignment vertical="center"/>
    </xf>
    <xf numFmtId="0" fontId="5" fillId="0" borderId="0" xfId="5" applyFont="1" applyAlignment="1">
      <alignment horizontal="center"/>
    </xf>
    <xf numFmtId="0" fontId="5" fillId="0" borderId="24" xfId="5" applyFont="1" applyBorder="1" applyAlignment="1">
      <alignment horizontal="center"/>
    </xf>
    <xf numFmtId="0" fontId="4" fillId="0" borderId="12" xfId="5" applyFont="1" applyBorder="1" applyAlignment="1">
      <alignment horizontal="center" vertical="center"/>
    </xf>
    <xf numFmtId="0" fontId="2" fillId="0" borderId="23" xfId="5" applyFont="1" applyBorder="1" applyAlignment="1">
      <alignment horizontal="center" vertical="center"/>
    </xf>
    <xf numFmtId="0" fontId="4" fillId="0" borderId="23" xfId="5" applyFont="1" applyBorder="1" applyAlignment="1">
      <alignment horizontal="center" vertical="center"/>
    </xf>
    <xf numFmtId="0" fontId="4" fillId="0" borderId="12" xfId="5" applyFont="1" applyBorder="1" applyAlignment="1">
      <alignment horizontal="center" vertical="center" wrapText="1"/>
    </xf>
    <xf numFmtId="0" fontId="4" fillId="0" borderId="23" xfId="5" applyFont="1" applyBorder="1" applyAlignment="1">
      <alignment horizontal="center" vertical="center" wrapText="1"/>
    </xf>
    <xf numFmtId="0" fontId="4" fillId="0" borderId="11" xfId="5" applyFont="1" applyBorder="1" applyAlignment="1">
      <alignment horizontal="center" vertical="center" wrapText="1"/>
    </xf>
    <xf numFmtId="0" fontId="4" fillId="0" borderId="15" xfId="5" applyFont="1" applyBorder="1" applyAlignment="1">
      <alignment horizontal="center" vertical="center" wrapText="1"/>
    </xf>
    <xf numFmtId="0" fontId="4" fillId="0" borderId="20" xfId="5" applyFont="1" applyBorder="1" applyAlignment="1">
      <alignment horizontal="center" vertical="center" wrapText="1"/>
    </xf>
    <xf numFmtId="0" fontId="4" fillId="0" borderId="10" xfId="5" applyFont="1" applyBorder="1" applyAlignment="1">
      <alignment horizontal="center" vertical="center" wrapText="1"/>
    </xf>
    <xf numFmtId="0" fontId="30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0" xfId="0" applyFont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55" fillId="0" borderId="5" xfId="0" applyFont="1" applyBorder="1" applyAlignment="1">
      <alignment horizontal="center" vertical="center"/>
    </xf>
    <xf numFmtId="0" fontId="55" fillId="0" borderId="11" xfId="0" applyFont="1" applyBorder="1" applyAlignment="1">
      <alignment horizontal="center" vertical="center"/>
    </xf>
    <xf numFmtId="0" fontId="55" fillId="0" borderId="20" xfId="0" applyFont="1" applyBorder="1" applyAlignment="1">
      <alignment horizontal="center" vertical="center"/>
    </xf>
    <xf numFmtId="0" fontId="55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37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55" fillId="0" borderId="15" xfId="0" applyFont="1" applyBorder="1" applyAlignment="1">
      <alignment horizontal="left"/>
    </xf>
    <xf numFmtId="0" fontId="55" fillId="5" borderId="4" xfId="0" applyFont="1" applyFill="1" applyBorder="1" applyAlignment="1">
      <alignment horizontal="center" vertical="center"/>
    </xf>
    <xf numFmtId="0" fontId="55" fillId="5" borderId="7" xfId="0" applyFont="1" applyFill="1" applyBorder="1" applyAlignment="1">
      <alignment horizontal="center" vertical="center"/>
    </xf>
    <xf numFmtId="0" fontId="58" fillId="5" borderId="21" xfId="0" applyFont="1" applyFill="1" applyBorder="1" applyAlignment="1">
      <alignment horizontal="left" vertical="center"/>
    </xf>
    <xf numFmtId="0" fontId="58" fillId="5" borderId="22" xfId="0" applyFont="1" applyFill="1" applyBorder="1" applyAlignment="1">
      <alignment horizontal="left" vertical="center"/>
    </xf>
    <xf numFmtId="0" fontId="55" fillId="5" borderId="0" xfId="0" applyFont="1" applyFill="1" applyAlignment="1">
      <alignment horizontal="right"/>
    </xf>
    <xf numFmtId="0" fontId="55" fillId="5" borderId="5" xfId="0" applyFont="1" applyFill="1" applyBorder="1" applyAlignment="1">
      <alignment horizontal="center" vertical="center" wrapText="1"/>
    </xf>
    <xf numFmtId="0" fontId="58" fillId="5" borderId="0" xfId="0" applyFont="1" applyFill="1" applyAlignment="1">
      <alignment horizontal="center" vertical="center"/>
    </xf>
    <xf numFmtId="0" fontId="30" fillId="5" borderId="0" xfId="0" applyFont="1" applyFill="1" applyAlignment="1">
      <alignment horizontal="center" vertical="center"/>
    </xf>
    <xf numFmtId="0" fontId="30" fillId="5" borderId="0" xfId="0" applyFont="1" applyFill="1" applyAlignment="1">
      <alignment horizontal="center"/>
    </xf>
    <xf numFmtId="167" fontId="55" fillId="5" borderId="5" xfId="0" applyNumberFormat="1" applyFont="1" applyFill="1" applyBorder="1" applyAlignment="1">
      <alignment horizontal="center" vertical="center" wrapText="1"/>
    </xf>
    <xf numFmtId="167" fontId="55" fillId="5" borderId="45" xfId="0" applyNumberFormat="1" applyFont="1" applyFill="1" applyBorder="1" applyAlignment="1">
      <alignment horizontal="center" vertical="center" wrapText="1"/>
    </xf>
    <xf numFmtId="0" fontId="55" fillId="5" borderId="0" xfId="5" applyFont="1" applyFill="1" applyAlignment="1">
      <alignment horizontal="left" wrapText="1"/>
    </xf>
    <xf numFmtId="9" fontId="55" fillId="5" borderId="33" xfId="5" applyNumberFormat="1" applyFont="1" applyFill="1" applyBorder="1" applyAlignment="1">
      <alignment horizontal="center" vertical="center"/>
    </xf>
    <xf numFmtId="9" fontId="55" fillId="5" borderId="52" xfId="5" applyNumberFormat="1" applyFont="1" applyFill="1" applyBorder="1" applyAlignment="1">
      <alignment horizontal="center" vertical="center"/>
    </xf>
    <xf numFmtId="0" fontId="55" fillId="5" borderId="29" xfId="5" applyFont="1" applyFill="1" applyBorder="1" applyAlignment="1">
      <alignment horizontal="center" vertical="center" wrapText="1"/>
    </xf>
    <xf numFmtId="0" fontId="55" fillId="5" borderId="30" xfId="5" applyFont="1" applyFill="1" applyBorder="1" applyAlignment="1">
      <alignment horizontal="center" vertical="center" wrapText="1"/>
    </xf>
    <xf numFmtId="0" fontId="55" fillId="5" borderId="31" xfId="5" applyFont="1" applyFill="1" applyBorder="1" applyAlignment="1">
      <alignment horizontal="center" vertical="center" wrapText="1"/>
    </xf>
    <xf numFmtId="0" fontId="55" fillId="5" borderId="32" xfId="5" applyFont="1" applyFill="1" applyBorder="1" applyAlignment="1">
      <alignment horizontal="center" vertical="center" wrapText="1"/>
    </xf>
    <xf numFmtId="0" fontId="55" fillId="5" borderId="12" xfId="5" applyFont="1" applyFill="1" applyBorder="1" applyAlignment="1">
      <alignment horizontal="center" vertical="center"/>
    </xf>
    <xf numFmtId="0" fontId="55" fillId="5" borderId="23" xfId="5" applyFont="1" applyFill="1" applyBorder="1" applyAlignment="1">
      <alignment horizontal="center" vertical="center"/>
    </xf>
    <xf numFmtId="0" fontId="55" fillId="5" borderId="12" xfId="5" applyFont="1" applyFill="1" applyBorder="1" applyAlignment="1">
      <alignment horizontal="center" vertical="center" wrapText="1"/>
    </xf>
    <xf numFmtId="0" fontId="55" fillId="5" borderId="23" xfId="5" applyFont="1" applyFill="1" applyBorder="1" applyAlignment="1">
      <alignment horizontal="center" vertical="center" wrapText="1"/>
    </xf>
    <xf numFmtId="0" fontId="58" fillId="5" borderId="0" xfId="5" applyFont="1" applyFill="1" applyAlignment="1">
      <alignment horizontal="center"/>
    </xf>
    <xf numFmtId="0" fontId="55" fillId="5" borderId="25" xfId="5" applyFont="1" applyFill="1" applyBorder="1" applyAlignment="1">
      <alignment horizontal="center" vertical="center" wrapText="1"/>
    </xf>
    <xf numFmtId="0" fontId="55" fillId="5" borderId="28" xfId="5" applyFont="1" applyFill="1" applyBorder="1" applyAlignment="1">
      <alignment horizontal="center" vertical="center" wrapText="1"/>
    </xf>
    <xf numFmtId="0" fontId="45" fillId="5" borderId="23" xfId="5" applyFont="1" applyFill="1" applyBorder="1" applyAlignment="1">
      <alignment horizontal="center" vertical="center"/>
    </xf>
    <xf numFmtId="0" fontId="29" fillId="5" borderId="0" xfId="5" applyFont="1" applyFill="1" applyAlignment="1">
      <alignment horizontal="right"/>
    </xf>
    <xf numFmtId="0" fontId="30" fillId="5" borderId="0" xfId="5" applyFont="1" applyFill="1" applyAlignment="1">
      <alignment horizontal="center" vertical="center"/>
    </xf>
    <xf numFmtId="0" fontId="58" fillId="6" borderId="0" xfId="5" applyFont="1" applyFill="1" applyAlignment="1">
      <alignment horizontal="right" vertical="center"/>
    </xf>
    <xf numFmtId="0" fontId="30" fillId="6" borderId="0" xfId="5" applyFont="1" applyFill="1" applyAlignment="1">
      <alignment horizontal="center" vertical="center"/>
    </xf>
    <xf numFmtId="0" fontId="30" fillId="6" borderId="16" xfId="5" applyFont="1" applyFill="1" applyBorder="1" applyAlignment="1">
      <alignment horizontal="center" vertical="center"/>
    </xf>
    <xf numFmtId="43" fontId="55" fillId="8" borderId="6" xfId="4" applyFont="1" applyFill="1" applyBorder="1" applyAlignment="1">
      <alignment horizontal="right" vertical="center"/>
    </xf>
    <xf numFmtId="43" fontId="55" fillId="8" borderId="26" xfId="4" applyFont="1" applyFill="1" applyBorder="1" applyAlignment="1">
      <alignment horizontal="right" vertical="center"/>
    </xf>
    <xf numFmtId="166" fontId="55" fillId="10" borderId="2" xfId="4" applyNumberFormat="1" applyFont="1" applyFill="1" applyBorder="1" applyAlignment="1">
      <alignment horizontal="right" vertical="center"/>
    </xf>
    <xf numFmtId="43" fontId="55" fillId="7" borderId="6" xfId="4" applyFont="1" applyFill="1" applyBorder="1" applyAlignment="1">
      <alignment horizontal="right" vertical="center"/>
    </xf>
    <xf numFmtId="43" fontId="55" fillId="7" borderId="26" xfId="4" applyFont="1" applyFill="1" applyBorder="1" applyAlignment="1">
      <alignment horizontal="right" vertical="center"/>
    </xf>
    <xf numFmtId="166" fontId="55" fillId="9" borderId="2" xfId="4" applyNumberFormat="1" applyFont="1" applyFill="1" applyBorder="1" applyAlignment="1">
      <alignment horizontal="right" vertical="center"/>
    </xf>
    <xf numFmtId="166" fontId="55" fillId="8" borderId="2" xfId="4" applyNumberFormat="1" applyFont="1" applyFill="1" applyBorder="1" applyAlignment="1">
      <alignment horizontal="right" vertical="center"/>
    </xf>
    <xf numFmtId="0" fontId="4" fillId="0" borderId="9" xfId="5" applyFont="1" applyBorder="1" applyAlignment="1">
      <alignment horizontal="center" vertical="center" wrapText="1"/>
    </xf>
    <xf numFmtId="0" fontId="4" fillId="0" borderId="2" xfId="5" applyFont="1" applyBorder="1" applyAlignment="1">
      <alignment horizontal="center" wrapText="1"/>
    </xf>
    <xf numFmtId="0" fontId="38" fillId="0" borderId="0" xfId="5" applyFont="1" applyAlignment="1">
      <alignment horizontal="right"/>
    </xf>
    <xf numFmtId="0" fontId="24" fillId="0" borderId="0" xfId="5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24" xfId="0" applyFont="1" applyBorder="1" applyAlignment="1">
      <alignment horizontal="center"/>
    </xf>
    <xf numFmtId="0" fontId="2" fillId="0" borderId="9" xfId="5" applyFont="1" applyBorder="1" applyAlignment="1">
      <alignment horizontal="center" vertical="center"/>
    </xf>
    <xf numFmtId="0" fontId="4" fillId="0" borderId="9" xfId="5" applyFont="1" applyBorder="1" applyAlignment="1">
      <alignment horizontal="center" vertical="center"/>
    </xf>
    <xf numFmtId="0" fontId="4" fillId="0" borderId="11" xfId="5" applyFont="1" applyBorder="1" applyAlignment="1">
      <alignment horizontal="right" vertical="top" wrapText="1"/>
    </xf>
    <xf numFmtId="0" fontId="4" fillId="0" borderId="20" xfId="5" applyFont="1" applyBorder="1" applyAlignment="1">
      <alignment horizontal="right" vertical="top" wrapText="1"/>
    </xf>
    <xf numFmtId="0" fontId="4" fillId="0" borderId="10" xfId="5" applyFont="1" applyBorder="1" applyAlignment="1">
      <alignment horizontal="right" vertical="top" wrapText="1"/>
    </xf>
    <xf numFmtId="0" fontId="43" fillId="0" borderId="20" xfId="5" applyFont="1" applyBorder="1" applyAlignment="1">
      <alignment horizontal="center" vertical="top" wrapText="1"/>
    </xf>
    <xf numFmtId="0" fontId="43" fillId="0" borderId="10" xfId="5" applyFont="1" applyBorder="1" applyAlignment="1">
      <alignment horizontal="center" vertical="top" wrapText="1"/>
    </xf>
    <xf numFmtId="0" fontId="55" fillId="0" borderId="0" xfId="0" applyFont="1" applyAlignment="1">
      <alignment horizontal="left"/>
    </xf>
    <xf numFmtId="0" fontId="55" fillId="0" borderId="5" xfId="0" applyFont="1" applyBorder="1" applyAlignment="1">
      <alignment horizontal="center" vertical="center" wrapText="1"/>
    </xf>
    <xf numFmtId="0" fontId="55" fillId="0" borderId="0" xfId="0" applyFont="1" applyAlignment="1">
      <alignment horizontal="right"/>
    </xf>
    <xf numFmtId="0" fontId="30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55" fillId="0" borderId="12" xfId="0" applyFont="1" applyBorder="1" applyAlignment="1">
      <alignment horizontal="center" vertical="center" wrapText="1"/>
    </xf>
    <xf numFmtId="0" fontId="55" fillId="0" borderId="23" xfId="0" applyFont="1" applyBorder="1" applyAlignment="1">
      <alignment horizontal="center" vertical="center" wrapText="1"/>
    </xf>
    <xf numFmtId="0" fontId="55" fillId="0" borderId="9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0" fillId="0" borderId="5" xfId="0" applyFont="1" applyBorder="1" applyAlignment="1">
      <alignment horizontal="center" wrapText="1"/>
    </xf>
    <xf numFmtId="0" fontId="10" fillId="0" borderId="2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166" fontId="15" fillId="0" borderId="11" xfId="0" applyNumberFormat="1" applyFont="1" applyBorder="1" applyAlignment="1">
      <alignment horizontal="right"/>
    </xf>
    <xf numFmtId="166" fontId="15" fillId="0" borderId="20" xfId="0" applyNumberFormat="1" applyFont="1" applyBorder="1" applyAlignment="1">
      <alignment horizontal="right"/>
    </xf>
    <xf numFmtId="166" fontId="15" fillId="0" borderId="10" xfId="0" applyNumberFormat="1" applyFont="1" applyBorder="1" applyAlignment="1">
      <alignment horizontal="right"/>
    </xf>
    <xf numFmtId="0" fontId="19" fillId="0" borderId="5" xfId="0" applyFont="1" applyBorder="1" applyAlignment="1">
      <alignment horizontal="center" wrapText="1"/>
    </xf>
    <xf numFmtId="0" fontId="21" fillId="0" borderId="0" xfId="0" applyFont="1" applyAlignment="1">
      <alignment horizontal="right"/>
    </xf>
    <xf numFmtId="0" fontId="39" fillId="0" borderId="0" xfId="0" applyFont="1" applyAlignment="1">
      <alignment horizontal="center" vertical="center"/>
    </xf>
    <xf numFmtId="0" fontId="39" fillId="0" borderId="1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50" fillId="0" borderId="0" xfId="0" applyFont="1" applyAlignment="1">
      <alignment horizontal="center"/>
    </xf>
    <xf numFmtId="0" fontId="52" fillId="0" borderId="15" xfId="0" applyFont="1" applyBorder="1" applyAlignment="1">
      <alignment horizontal="left"/>
    </xf>
    <xf numFmtId="0" fontId="50" fillId="0" borderId="0" xfId="0" applyFont="1" applyAlignment="1">
      <alignment horizontal="right"/>
    </xf>
    <xf numFmtId="0" fontId="51" fillId="0" borderId="0" xfId="0" applyFont="1" applyAlignment="1">
      <alignment horizontal="center" vertical="center"/>
    </xf>
    <xf numFmtId="0" fontId="51" fillId="0" borderId="16" xfId="0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 wrapText="1"/>
    </xf>
    <xf numFmtId="0" fontId="52" fillId="0" borderId="3" xfId="0" applyFont="1" applyBorder="1" applyAlignment="1">
      <alignment horizontal="center" vertical="center" wrapText="1"/>
    </xf>
    <xf numFmtId="0" fontId="52" fillId="0" borderId="6" xfId="0" applyFont="1" applyBorder="1" applyAlignment="1">
      <alignment horizontal="center" vertical="center" wrapText="1"/>
    </xf>
    <xf numFmtId="0" fontId="52" fillId="0" borderId="8" xfId="0" applyFont="1" applyBorder="1" applyAlignment="1">
      <alignment horizontal="center" vertical="center" wrapText="1"/>
    </xf>
    <xf numFmtId="0" fontId="52" fillId="0" borderId="26" xfId="0" applyFont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46" fillId="0" borderId="0" xfId="0" applyFont="1" applyAlignment="1">
      <alignment horizontal="right"/>
    </xf>
    <xf numFmtId="0" fontId="58" fillId="0" borderId="0" xfId="0" applyFont="1" applyAlignment="1">
      <alignment horizontal="center" vertical="center"/>
    </xf>
    <xf numFmtId="0" fontId="45" fillId="0" borderId="1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 wrapText="1"/>
    </xf>
    <xf numFmtId="0" fontId="45" fillId="0" borderId="5" xfId="0" applyFont="1" applyBorder="1" applyAlignment="1">
      <alignment horizontal="center" vertical="center" wrapText="1"/>
    </xf>
    <xf numFmtId="0" fontId="45" fillId="0" borderId="53" xfId="0" applyFont="1" applyBorder="1" applyAlignment="1">
      <alignment horizontal="center" vertical="center" wrapText="1"/>
    </xf>
    <xf numFmtId="0" fontId="55" fillId="0" borderId="40" xfId="0" applyFont="1" applyBorder="1" applyAlignment="1">
      <alignment horizontal="center" vertical="center"/>
    </xf>
    <xf numFmtId="0" fontId="55" fillId="0" borderId="34" xfId="0" applyFont="1" applyBorder="1" applyAlignment="1">
      <alignment horizontal="center" vertical="center"/>
    </xf>
    <xf numFmtId="0" fontId="27" fillId="0" borderId="2" xfId="7" applyFont="1" applyBorder="1" applyAlignment="1">
      <alignment horizontal="center" vertical="center" wrapText="1"/>
    </xf>
    <xf numFmtId="0" fontId="30" fillId="0" borderId="0" xfId="7" applyFont="1" applyAlignment="1">
      <alignment horizontal="center"/>
    </xf>
    <xf numFmtId="0" fontId="27" fillId="0" borderId="1" xfId="7" applyFont="1" applyBorder="1" applyAlignment="1">
      <alignment horizontal="center" vertical="center" wrapText="1"/>
    </xf>
    <xf numFmtId="0" fontId="27" fillId="0" borderId="3" xfId="7" applyFont="1" applyBorder="1" applyAlignment="1">
      <alignment horizontal="center" vertical="center" wrapText="1"/>
    </xf>
    <xf numFmtId="0" fontId="27" fillId="0" borderId="2" xfId="7" applyFont="1" applyBorder="1" applyAlignment="1">
      <alignment horizontal="center" vertical="center"/>
    </xf>
    <xf numFmtId="0" fontId="27" fillId="0" borderId="2" xfId="7" applyFont="1" applyBorder="1" applyAlignment="1">
      <alignment horizontal="center"/>
    </xf>
  </cellXfs>
  <cellStyles count="33">
    <cellStyle name="Comma" xfId="1" builtinId="3"/>
    <cellStyle name="Comma 2" xfId="2" xr:uid="{00000000-0005-0000-0000-000001000000}"/>
    <cellStyle name="Comma 2 2" xfId="10" xr:uid="{00000000-0005-0000-0000-000002000000}"/>
    <cellStyle name="Comma 2 2 2" xfId="16" xr:uid="{00000000-0005-0000-0000-000003000000}"/>
    <cellStyle name="Comma 2 2 2 2" xfId="19" xr:uid="{00000000-0005-0000-0000-000004000000}"/>
    <cellStyle name="Comma 2 3" xfId="11" xr:uid="{00000000-0005-0000-0000-000005000000}"/>
    <cellStyle name="Comma 2 3 2" xfId="15" xr:uid="{00000000-0005-0000-0000-000006000000}"/>
    <cellStyle name="Comma 2 3 2 2" xfId="18" xr:uid="{00000000-0005-0000-0000-000007000000}"/>
    <cellStyle name="Comma 3" xfId="3" xr:uid="{00000000-0005-0000-0000-000008000000}"/>
    <cellStyle name="Comma 3 2" xfId="21" xr:uid="{00000000-0005-0000-0000-000009000000}"/>
    <cellStyle name="Comma 3 3" xfId="22" xr:uid="{00000000-0005-0000-0000-00000A000000}"/>
    <cellStyle name="Comma 4" xfId="4" xr:uid="{00000000-0005-0000-0000-00000B000000}"/>
    <cellStyle name="Comma 4 2" xfId="13" xr:uid="{00000000-0005-0000-0000-00000C000000}"/>
    <cellStyle name="Comma 4 2 2" xfId="17" xr:uid="{00000000-0005-0000-0000-00000D000000}"/>
    <cellStyle name="Comma 4 2 2 2" xfId="20" xr:uid="{00000000-0005-0000-0000-00000E000000}"/>
    <cellStyle name="Comma 5" xfId="23" xr:uid="{00000000-0005-0000-0000-00000F000000}"/>
    <cellStyle name="Comma 6" xfId="24" xr:uid="{00000000-0005-0000-0000-000010000000}"/>
    <cellStyle name="Comma 6 2" xfId="25" xr:uid="{00000000-0005-0000-0000-000011000000}"/>
    <cellStyle name="Normal" xfId="0" builtinId="0"/>
    <cellStyle name="Normal 2" xfId="5" xr:uid="{00000000-0005-0000-0000-000013000000}"/>
    <cellStyle name="Normal 3" xfId="6" xr:uid="{00000000-0005-0000-0000-000014000000}"/>
    <cellStyle name="Normal 3 2" xfId="26" xr:uid="{00000000-0005-0000-0000-000015000000}"/>
    <cellStyle name="Normal 3 3" xfId="27" xr:uid="{00000000-0005-0000-0000-000016000000}"/>
    <cellStyle name="Normal 3_Anx g" xfId="28" xr:uid="{00000000-0005-0000-0000-000017000000}"/>
    <cellStyle name="Normal 4" xfId="29" xr:uid="{00000000-0005-0000-0000-000018000000}"/>
    <cellStyle name="Normal 5" xfId="30" xr:uid="{00000000-0005-0000-0000-000019000000}"/>
    <cellStyle name="Normal 7" xfId="14" xr:uid="{00000000-0005-0000-0000-00001A000000}"/>
    <cellStyle name="Normal_List of Assets for MMR Upto 31-7-10 " xfId="7" xr:uid="{00000000-0005-0000-0000-00001B000000}"/>
    <cellStyle name="Percent" xfId="8" builtinId="5"/>
    <cellStyle name="Percent 2" xfId="9" xr:uid="{00000000-0005-0000-0000-00001D000000}"/>
    <cellStyle name="Percent 2 2" xfId="31" xr:uid="{00000000-0005-0000-0000-00001E000000}"/>
    <cellStyle name="Percent 2 3" xfId="32" xr:uid="{00000000-0005-0000-0000-00001F000000}"/>
    <cellStyle name="Percent 3" xfId="12" xr:uid="{00000000-0005-0000-0000-000020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shif\E\Accounts\F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MRs%20FY%202017%20-%2018\Nlc\NLC%20old%20data\monthly%20reporting\MMR%20and%20Accounts%202016\Reporting%20pack%20March\Monitering%20Report%20MCRP%20Mar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-bs(dwpc)"/>
      <sheetName val="PL(dwpc)"/>
      <sheetName val="fixedAssets "/>
      <sheetName val="COMPARISON"/>
      <sheetName val="cctrial"/>
      <sheetName val="SQL"/>
      <sheetName val="Roads_balances"/>
      <sheetName val="tb"/>
      <sheetName val="Options"/>
      <sheetName val="test"/>
      <sheetName val="#REF"/>
      <sheetName val="item#16"/>
      <sheetName val="SUMM"/>
      <sheetName val="Bitumen"/>
      <sheetName val="steel"/>
      <sheetName val="bargy"/>
      <sheetName val="Compr"/>
      <sheetName val="BOQ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A1" t="str">
            <v>acc_num</v>
          </cell>
          <cell r="B1" t="str">
            <v>acc_title</v>
          </cell>
          <cell r="C1" t="str">
            <v>level</v>
          </cell>
          <cell r="D1" t="str">
            <v>balance</v>
          </cell>
        </row>
        <row r="2">
          <cell r="A2" t="str">
            <v>101-000-000-0000</v>
          </cell>
          <cell r="B2" t="str">
            <v>HQ Current Account</v>
          </cell>
          <cell r="C2">
            <v>1</v>
          </cell>
          <cell r="D2">
            <v>-5534230</v>
          </cell>
        </row>
        <row r="3">
          <cell r="A3" t="str">
            <v>101-001-000-0000</v>
          </cell>
          <cell r="B3" t="str">
            <v>HQ Engineers NLC - Current Account</v>
          </cell>
          <cell r="C3">
            <v>2</v>
          </cell>
          <cell r="D3">
            <v>-5534230</v>
          </cell>
        </row>
        <row r="4">
          <cell r="A4" t="str">
            <v>101-001-001-0000</v>
          </cell>
          <cell r="B4" t="str">
            <v>HQ Engineers NLC - Current Account</v>
          </cell>
          <cell r="C4">
            <v>3</v>
          </cell>
          <cell r="D4">
            <v>-5534230</v>
          </cell>
        </row>
        <row r="5">
          <cell r="A5" t="str">
            <v>101-001-001-1001</v>
          </cell>
          <cell r="B5" t="str">
            <v>HQ Current A/c with RUADP</v>
          </cell>
          <cell r="C5">
            <v>4</v>
          </cell>
          <cell r="D5">
            <v>0</v>
          </cell>
        </row>
        <row r="6">
          <cell r="A6" t="str">
            <v>101-001-001-1002</v>
          </cell>
          <cell r="B6" t="str">
            <v>HQ Current A/c with PTCL Project</v>
          </cell>
          <cell r="C6">
            <v>4</v>
          </cell>
          <cell r="D6">
            <v>0</v>
          </cell>
        </row>
        <row r="7">
          <cell r="A7" t="str">
            <v>101-001-001-1003</v>
          </cell>
          <cell r="B7" t="str">
            <v>HQ Current A/c Cantt Board Projects</v>
          </cell>
          <cell r="C7">
            <v>4</v>
          </cell>
          <cell r="D7">
            <v>0</v>
          </cell>
        </row>
        <row r="8">
          <cell r="A8" t="str">
            <v>101-001-001-1004</v>
          </cell>
          <cell r="B8" t="str">
            <v>HQ Current A/c Service Road M-2</v>
          </cell>
          <cell r="C8">
            <v>4</v>
          </cell>
          <cell r="D8">
            <v>0</v>
          </cell>
        </row>
        <row r="9">
          <cell r="A9" t="str">
            <v>101-001-001-1005</v>
          </cell>
          <cell r="B9" t="str">
            <v>HQ Current A/c Cantt Board (FAA)</v>
          </cell>
          <cell r="C9">
            <v>4</v>
          </cell>
          <cell r="D9">
            <v>0</v>
          </cell>
        </row>
        <row r="10">
          <cell r="A10" t="str">
            <v>101-001-001-1006</v>
          </cell>
          <cell r="B10" t="str">
            <v>HQ Current A/c Dina Track NLC</v>
          </cell>
          <cell r="C10">
            <v>4</v>
          </cell>
          <cell r="D10">
            <v>0</v>
          </cell>
        </row>
        <row r="11">
          <cell r="A11" t="str">
            <v>101-001-001-1007</v>
          </cell>
          <cell r="B11" t="str">
            <v>HQ Current A/C OT Complex</v>
          </cell>
          <cell r="C11">
            <v>4</v>
          </cell>
          <cell r="D11">
            <v>-5534230</v>
          </cell>
        </row>
        <row r="12">
          <cell r="A12" t="str">
            <v>102-000-000-0000</v>
          </cell>
          <cell r="B12" t="str">
            <v>Reserves</v>
          </cell>
          <cell r="C12">
            <v>1</v>
          </cell>
          <cell r="D12">
            <v>0</v>
          </cell>
        </row>
        <row r="13">
          <cell r="A13" t="str">
            <v>102-001-000-0000</v>
          </cell>
          <cell r="B13" t="str">
            <v>Reserves</v>
          </cell>
          <cell r="C13">
            <v>2</v>
          </cell>
          <cell r="D13">
            <v>0</v>
          </cell>
        </row>
        <row r="14">
          <cell r="A14" t="str">
            <v>102-001-001-0000</v>
          </cell>
          <cell r="B14" t="str">
            <v>Reserves</v>
          </cell>
          <cell r="C14">
            <v>3</v>
          </cell>
          <cell r="D14">
            <v>0</v>
          </cell>
        </row>
        <row r="15">
          <cell r="A15" t="str">
            <v>102-001-001-0001</v>
          </cell>
          <cell r="B15" t="str">
            <v>Reserves</v>
          </cell>
          <cell r="C15">
            <v>4</v>
          </cell>
          <cell r="D15">
            <v>0</v>
          </cell>
        </row>
        <row r="16">
          <cell r="A16" t="str">
            <v>103-000-000-0000</v>
          </cell>
          <cell r="B16" t="str">
            <v>Accumulated Profit/(Loss)</v>
          </cell>
          <cell r="C16">
            <v>1</v>
          </cell>
          <cell r="D16">
            <v>116230</v>
          </cell>
        </row>
        <row r="17">
          <cell r="A17" t="str">
            <v>103-001-000-0000</v>
          </cell>
          <cell r="B17" t="str">
            <v>Accumulated Profit/(Loss)</v>
          </cell>
          <cell r="C17">
            <v>2</v>
          </cell>
          <cell r="D17">
            <v>0</v>
          </cell>
        </row>
        <row r="18">
          <cell r="A18" t="str">
            <v>103-001-001-0000</v>
          </cell>
          <cell r="B18" t="str">
            <v>Accumulated Profit/(Loss)</v>
          </cell>
          <cell r="C18">
            <v>3</v>
          </cell>
          <cell r="D18">
            <v>0</v>
          </cell>
        </row>
        <row r="19">
          <cell r="A19" t="str">
            <v>103-001-001-0001</v>
          </cell>
          <cell r="B19" t="str">
            <v>Accumulated Profit/(Loss)</v>
          </cell>
          <cell r="C19">
            <v>4</v>
          </cell>
          <cell r="D19">
            <v>0</v>
          </cell>
        </row>
        <row r="20">
          <cell r="A20" t="str">
            <v>103-002-000-0000</v>
          </cell>
          <cell r="B20" t="str">
            <v>Profit transfer to HQ NLC</v>
          </cell>
          <cell r="C20">
            <v>2</v>
          </cell>
          <cell r="D20">
            <v>116230</v>
          </cell>
        </row>
        <row r="21">
          <cell r="A21" t="str">
            <v>103-002-001-0000</v>
          </cell>
          <cell r="B21" t="str">
            <v>Profit transfer to HQ NLC</v>
          </cell>
          <cell r="C21">
            <v>3</v>
          </cell>
          <cell r="D21">
            <v>116230</v>
          </cell>
        </row>
        <row r="22">
          <cell r="A22" t="str">
            <v>103-002-001-0001</v>
          </cell>
          <cell r="B22" t="str">
            <v>Profit transfer to HQ NLC</v>
          </cell>
          <cell r="C22">
            <v>4</v>
          </cell>
          <cell r="D22">
            <v>116230</v>
          </cell>
        </row>
        <row r="23">
          <cell r="A23" t="str">
            <v>104-000-000-0000</v>
          </cell>
          <cell r="B23" t="str">
            <v>Long Term Loans</v>
          </cell>
          <cell r="C23">
            <v>1</v>
          </cell>
          <cell r="D23">
            <v>0</v>
          </cell>
        </row>
        <row r="24">
          <cell r="A24" t="str">
            <v>104-001-000-0000</v>
          </cell>
          <cell r="B24" t="str">
            <v>Long Term Loans</v>
          </cell>
          <cell r="C24">
            <v>2</v>
          </cell>
          <cell r="D24">
            <v>0</v>
          </cell>
        </row>
        <row r="25">
          <cell r="A25" t="str">
            <v>104-001-001-0000</v>
          </cell>
          <cell r="B25" t="str">
            <v>Long Term Loans</v>
          </cell>
          <cell r="C25">
            <v>3</v>
          </cell>
          <cell r="D25">
            <v>0</v>
          </cell>
        </row>
        <row r="26">
          <cell r="A26" t="str">
            <v>104-001-001-0001</v>
          </cell>
          <cell r="B26" t="str">
            <v>Long Term Loans</v>
          </cell>
          <cell r="C26">
            <v>4</v>
          </cell>
          <cell r="D26">
            <v>0</v>
          </cell>
        </row>
        <row r="27">
          <cell r="A27" t="str">
            <v>105-000-000-0000</v>
          </cell>
          <cell r="B27" t="str">
            <v>Liabilities Against Assets Subject to Finance Leas</v>
          </cell>
          <cell r="C27">
            <v>1</v>
          </cell>
          <cell r="D27">
            <v>0</v>
          </cell>
        </row>
        <row r="28">
          <cell r="A28" t="str">
            <v>105-001-000-0000</v>
          </cell>
          <cell r="B28" t="str">
            <v>Liabilities Against Assets Subject to Finance Leas</v>
          </cell>
          <cell r="C28">
            <v>2</v>
          </cell>
          <cell r="D28">
            <v>0</v>
          </cell>
        </row>
        <row r="29">
          <cell r="A29" t="str">
            <v>105-001-001-0000</v>
          </cell>
          <cell r="B29" t="str">
            <v>Liabilities Against Assets Subject to Finance Leas</v>
          </cell>
          <cell r="C29">
            <v>3</v>
          </cell>
          <cell r="D29">
            <v>0</v>
          </cell>
        </row>
        <row r="30">
          <cell r="A30" t="str">
            <v>105-001-001-0001</v>
          </cell>
          <cell r="B30" t="str">
            <v>Liabilities Against Assets Subject to Finance Leas</v>
          </cell>
          <cell r="C30">
            <v>4</v>
          </cell>
          <cell r="D30">
            <v>0</v>
          </cell>
        </row>
        <row r="31">
          <cell r="A31" t="str">
            <v>106-000-000-0000</v>
          </cell>
          <cell r="B31" t="str">
            <v>Deferred Liabilities</v>
          </cell>
          <cell r="C31">
            <v>1</v>
          </cell>
          <cell r="D31">
            <v>0</v>
          </cell>
        </row>
        <row r="32">
          <cell r="A32" t="str">
            <v>106-001-000-0000</v>
          </cell>
          <cell r="B32" t="str">
            <v>Deferred Liabilities</v>
          </cell>
          <cell r="C32">
            <v>2</v>
          </cell>
          <cell r="D32">
            <v>0</v>
          </cell>
        </row>
        <row r="33">
          <cell r="A33" t="str">
            <v>106-001-001-0000</v>
          </cell>
          <cell r="B33" t="str">
            <v>Deferred Liabilities</v>
          </cell>
          <cell r="C33">
            <v>3</v>
          </cell>
          <cell r="D33">
            <v>0</v>
          </cell>
        </row>
        <row r="34">
          <cell r="A34" t="str">
            <v>106-001-001-0001</v>
          </cell>
          <cell r="B34" t="str">
            <v>Deferred Liabilities</v>
          </cell>
          <cell r="C34">
            <v>4</v>
          </cell>
          <cell r="D34">
            <v>0</v>
          </cell>
        </row>
        <row r="35">
          <cell r="A35" t="str">
            <v>107-000-000-0000</v>
          </cell>
          <cell r="B35" t="str">
            <v>Long Term Deposits</v>
          </cell>
          <cell r="C35">
            <v>1</v>
          </cell>
          <cell r="D35">
            <v>0</v>
          </cell>
        </row>
        <row r="36">
          <cell r="A36" t="str">
            <v>107-001-000-0000</v>
          </cell>
          <cell r="B36" t="str">
            <v>Long Term Deposits</v>
          </cell>
          <cell r="C36">
            <v>2</v>
          </cell>
          <cell r="D36">
            <v>0</v>
          </cell>
        </row>
        <row r="37">
          <cell r="A37" t="str">
            <v>107-001-001-0000</v>
          </cell>
          <cell r="B37" t="str">
            <v>Long Term Deposits</v>
          </cell>
          <cell r="C37">
            <v>3</v>
          </cell>
          <cell r="D37">
            <v>0</v>
          </cell>
        </row>
        <row r="38">
          <cell r="A38" t="str">
            <v>107-001-001-0001</v>
          </cell>
          <cell r="B38" t="str">
            <v>Long Term Deposits</v>
          </cell>
          <cell r="C38">
            <v>4</v>
          </cell>
          <cell r="D38">
            <v>0</v>
          </cell>
        </row>
        <row r="39">
          <cell r="A39" t="str">
            <v>108-000-000-0000</v>
          </cell>
          <cell r="B39" t="str">
            <v>Short Term Runnig Finances</v>
          </cell>
          <cell r="C39">
            <v>1</v>
          </cell>
          <cell r="D39">
            <v>0</v>
          </cell>
        </row>
        <row r="40">
          <cell r="A40" t="str">
            <v>108-001-000-0000</v>
          </cell>
          <cell r="B40" t="str">
            <v>Short Term Runnig Finances</v>
          </cell>
          <cell r="C40">
            <v>2</v>
          </cell>
          <cell r="D40">
            <v>0</v>
          </cell>
        </row>
        <row r="41">
          <cell r="A41" t="str">
            <v>108-001-001-0000</v>
          </cell>
          <cell r="B41" t="str">
            <v>Short Term Runnig Finances</v>
          </cell>
          <cell r="C41">
            <v>3</v>
          </cell>
          <cell r="D41">
            <v>0</v>
          </cell>
        </row>
        <row r="42">
          <cell r="A42" t="str">
            <v>109-000-000-0000</v>
          </cell>
          <cell r="B42" t="str">
            <v>Creditors, Accrued Charges and Other Liabilties</v>
          </cell>
          <cell r="C42">
            <v>1</v>
          </cell>
          <cell r="D42">
            <v>-10988233</v>
          </cell>
        </row>
        <row r="43">
          <cell r="A43" t="str">
            <v>109-001-000-0000</v>
          </cell>
          <cell r="B43" t="str">
            <v>Creditors</v>
          </cell>
          <cell r="C43">
            <v>2</v>
          </cell>
          <cell r="D43">
            <v>-10695926</v>
          </cell>
        </row>
        <row r="44">
          <cell r="A44" t="str">
            <v>109-001-001-0000</v>
          </cell>
          <cell r="B44" t="str">
            <v>Creditors Road Works</v>
          </cell>
          <cell r="C44">
            <v>3</v>
          </cell>
          <cell r="D44">
            <v>-10695926</v>
          </cell>
        </row>
        <row r="45">
          <cell r="A45" t="str">
            <v>109-001-001-1001</v>
          </cell>
          <cell r="B45" t="str">
            <v>Aamir Builders</v>
          </cell>
          <cell r="C45">
            <v>4</v>
          </cell>
          <cell r="D45">
            <v>0</v>
          </cell>
        </row>
        <row r="46">
          <cell r="A46" t="str">
            <v>109-001-001-1002</v>
          </cell>
          <cell r="B46" t="str">
            <v>Sadat Construction Co</v>
          </cell>
          <cell r="C46">
            <v>4</v>
          </cell>
          <cell r="D46">
            <v>0</v>
          </cell>
        </row>
        <row r="47">
          <cell r="A47" t="str">
            <v>109-001-001-1003</v>
          </cell>
          <cell r="B47" t="str">
            <v>Concrete master</v>
          </cell>
          <cell r="C47">
            <v>4</v>
          </cell>
          <cell r="D47">
            <v>0</v>
          </cell>
        </row>
        <row r="48">
          <cell r="A48" t="str">
            <v>109-001-001-1004</v>
          </cell>
          <cell r="B48" t="str">
            <v>Crescent Associates</v>
          </cell>
          <cell r="C48">
            <v>4</v>
          </cell>
          <cell r="D48">
            <v>0</v>
          </cell>
        </row>
        <row r="49">
          <cell r="A49" t="str">
            <v>109-001-001-1005</v>
          </cell>
          <cell r="B49" t="str">
            <v>Dynamic Enterprises</v>
          </cell>
          <cell r="C49">
            <v>4</v>
          </cell>
          <cell r="D49">
            <v>0</v>
          </cell>
        </row>
        <row r="50">
          <cell r="A50" t="str">
            <v>109-001-001-1006</v>
          </cell>
          <cell r="B50" t="str">
            <v>Foar Engineering System</v>
          </cell>
          <cell r="C50">
            <v>4</v>
          </cell>
          <cell r="D50">
            <v>0</v>
          </cell>
        </row>
        <row r="51">
          <cell r="A51" t="str">
            <v>109-001-001-1007</v>
          </cell>
          <cell r="B51" t="str">
            <v>FRS Associates</v>
          </cell>
          <cell r="C51">
            <v>4</v>
          </cell>
          <cell r="D51">
            <v>0</v>
          </cell>
        </row>
        <row r="52">
          <cell r="A52" t="str">
            <v>109-001-001-1008</v>
          </cell>
          <cell r="B52" t="str">
            <v>Haidry Construction</v>
          </cell>
          <cell r="C52">
            <v>4</v>
          </cell>
          <cell r="D52">
            <v>0</v>
          </cell>
        </row>
        <row r="53">
          <cell r="A53" t="str">
            <v>109-001-001-1009</v>
          </cell>
          <cell r="B53" t="str">
            <v>Karcon (Pvt) Limited</v>
          </cell>
          <cell r="C53">
            <v>4</v>
          </cell>
          <cell r="D53">
            <v>0</v>
          </cell>
        </row>
        <row r="54">
          <cell r="A54" t="str">
            <v>109-001-001-1010</v>
          </cell>
          <cell r="B54" t="str">
            <v>Maseed Developers</v>
          </cell>
          <cell r="C54">
            <v>4</v>
          </cell>
          <cell r="D54">
            <v>0</v>
          </cell>
        </row>
        <row r="55">
          <cell r="A55" t="str">
            <v>109-001-001-1011</v>
          </cell>
          <cell r="B55" t="str">
            <v>Malik Ijaz Amjad</v>
          </cell>
          <cell r="C55">
            <v>4</v>
          </cell>
          <cell r="D55">
            <v>0</v>
          </cell>
        </row>
        <row r="56">
          <cell r="A56" t="str">
            <v>109-001-001-1012</v>
          </cell>
          <cell r="B56" t="str">
            <v>Mian Muhammad Sharif</v>
          </cell>
          <cell r="C56">
            <v>4</v>
          </cell>
          <cell r="D56">
            <v>0</v>
          </cell>
        </row>
        <row r="57">
          <cell r="A57" t="str">
            <v>109-001-001-1013</v>
          </cell>
          <cell r="B57" t="str">
            <v>Mian Nisar and Company</v>
          </cell>
          <cell r="C57">
            <v>4</v>
          </cell>
          <cell r="D57">
            <v>0</v>
          </cell>
        </row>
        <row r="58">
          <cell r="A58" t="str">
            <v>109-001-001-1014</v>
          </cell>
          <cell r="B58" t="str">
            <v>Platinum Enterprises</v>
          </cell>
          <cell r="C58">
            <v>4</v>
          </cell>
          <cell r="D58">
            <v>0</v>
          </cell>
        </row>
        <row r="59">
          <cell r="A59" t="str">
            <v>109-001-001-1015</v>
          </cell>
          <cell r="B59" t="str">
            <v>Sambu Construction Company</v>
          </cell>
          <cell r="C59">
            <v>4</v>
          </cell>
          <cell r="D59">
            <v>0</v>
          </cell>
        </row>
        <row r="60">
          <cell r="A60" t="str">
            <v>109-001-001-1016</v>
          </cell>
          <cell r="B60" t="str">
            <v>Signage Security System</v>
          </cell>
          <cell r="C60">
            <v>4</v>
          </cell>
          <cell r="D60">
            <v>0</v>
          </cell>
        </row>
        <row r="61">
          <cell r="A61" t="str">
            <v>109-001-001-1017</v>
          </cell>
          <cell r="B61" t="str">
            <v>Syed sultan saeed</v>
          </cell>
          <cell r="C61">
            <v>4</v>
          </cell>
          <cell r="D61">
            <v>0</v>
          </cell>
        </row>
        <row r="62">
          <cell r="A62" t="str">
            <v>109-001-001-1018</v>
          </cell>
          <cell r="B62" t="str">
            <v>SASA  international</v>
          </cell>
          <cell r="C62">
            <v>4</v>
          </cell>
          <cell r="D62">
            <v>0</v>
          </cell>
        </row>
        <row r="63">
          <cell r="A63" t="str">
            <v>109-001-001-1019</v>
          </cell>
          <cell r="B63" t="str">
            <v>Swift services</v>
          </cell>
          <cell r="C63">
            <v>4</v>
          </cell>
          <cell r="D63">
            <v>0</v>
          </cell>
        </row>
        <row r="64">
          <cell r="A64" t="str">
            <v>109-001-001-1020</v>
          </cell>
          <cell r="B64" t="str">
            <v>Tyco Integrated System</v>
          </cell>
          <cell r="C64">
            <v>4</v>
          </cell>
          <cell r="D64">
            <v>0</v>
          </cell>
        </row>
        <row r="65">
          <cell r="A65" t="str">
            <v>109-001-001-1021</v>
          </cell>
          <cell r="B65" t="str">
            <v>Nadir Construction Company</v>
          </cell>
          <cell r="C65">
            <v>4</v>
          </cell>
          <cell r="D65">
            <v>0</v>
          </cell>
        </row>
        <row r="66">
          <cell r="A66" t="str">
            <v>109-001-001-1022</v>
          </cell>
          <cell r="B66" t="str">
            <v>Zahir Khan and Brothers</v>
          </cell>
          <cell r="C66">
            <v>4</v>
          </cell>
          <cell r="D66">
            <v>0</v>
          </cell>
        </row>
        <row r="67">
          <cell r="A67" t="str">
            <v>109-001-001-1023</v>
          </cell>
          <cell r="B67" t="str">
            <v>Rashid Associates</v>
          </cell>
          <cell r="C67">
            <v>4</v>
          </cell>
          <cell r="D67">
            <v>0</v>
          </cell>
        </row>
        <row r="68">
          <cell r="A68" t="str">
            <v>109-001-001-1024</v>
          </cell>
          <cell r="B68" t="str">
            <v>Science Centre</v>
          </cell>
          <cell r="C68">
            <v>4</v>
          </cell>
          <cell r="D68">
            <v>0</v>
          </cell>
        </row>
        <row r="69">
          <cell r="A69" t="str">
            <v>109-001-001-1025</v>
          </cell>
          <cell r="B69" t="str">
            <v>Taj Muhammad Khan</v>
          </cell>
          <cell r="C69">
            <v>4</v>
          </cell>
          <cell r="D69">
            <v>0</v>
          </cell>
        </row>
        <row r="70">
          <cell r="A70" t="str">
            <v>109-001-001-1026</v>
          </cell>
          <cell r="B70" t="str">
            <v xml:space="preserve"> Muhammad Nawaz Khan of Tala Gang</v>
          </cell>
          <cell r="C70">
            <v>4</v>
          </cell>
          <cell r="D70">
            <v>0</v>
          </cell>
        </row>
        <row r="71">
          <cell r="A71" t="str">
            <v>109-001-001-1027</v>
          </cell>
          <cell r="B71" t="str">
            <v xml:space="preserve"> Muhammad Iftikhar Fateh Jang</v>
          </cell>
          <cell r="C71">
            <v>4</v>
          </cell>
          <cell r="D71">
            <v>0</v>
          </cell>
        </row>
        <row r="72">
          <cell r="A72" t="str">
            <v>109-001-001-1028</v>
          </cell>
          <cell r="B72" t="str">
            <v>Fateh Muhammad Distt Chakwal</v>
          </cell>
          <cell r="C72">
            <v>4</v>
          </cell>
          <cell r="D72">
            <v>0</v>
          </cell>
        </row>
        <row r="73">
          <cell r="A73" t="str">
            <v>109-001-001-1029</v>
          </cell>
          <cell r="B73" t="str">
            <v>Sunny Rent a Car</v>
          </cell>
          <cell r="C73">
            <v>4</v>
          </cell>
          <cell r="D73">
            <v>0</v>
          </cell>
        </row>
        <row r="74">
          <cell r="A74" t="str">
            <v>109-001-001-1030</v>
          </cell>
          <cell r="B74" t="str">
            <v>M/S Inter City Traders</v>
          </cell>
          <cell r="C74">
            <v>4</v>
          </cell>
          <cell r="D74">
            <v>0</v>
          </cell>
        </row>
        <row r="75">
          <cell r="A75" t="str">
            <v>109-001-001-1031</v>
          </cell>
          <cell r="B75" t="str">
            <v>M/S Muhammad Bashir</v>
          </cell>
          <cell r="C75">
            <v>4</v>
          </cell>
          <cell r="D75">
            <v>0</v>
          </cell>
        </row>
        <row r="76">
          <cell r="A76" t="str">
            <v>109-001-001-1032</v>
          </cell>
          <cell r="B76" t="str">
            <v>XEN Wapda</v>
          </cell>
          <cell r="C76">
            <v>4</v>
          </cell>
          <cell r="D76">
            <v>0</v>
          </cell>
        </row>
        <row r="77">
          <cell r="A77" t="str">
            <v>109-001-001-1033</v>
          </cell>
          <cell r="B77" t="str">
            <v>M/S Techman Civil Engineering</v>
          </cell>
          <cell r="C77">
            <v>4</v>
          </cell>
          <cell r="D77">
            <v>0</v>
          </cell>
        </row>
        <row r="78">
          <cell r="A78" t="str">
            <v>109-001-001-1034</v>
          </cell>
          <cell r="B78" t="str">
            <v>M/S Syed Guftar Shah</v>
          </cell>
          <cell r="C78">
            <v>4</v>
          </cell>
          <cell r="D78">
            <v>0</v>
          </cell>
        </row>
        <row r="79">
          <cell r="A79" t="str">
            <v>109-001-001-1035</v>
          </cell>
          <cell r="B79" t="str">
            <v>M/S Muhammad Hussain</v>
          </cell>
          <cell r="C79">
            <v>4</v>
          </cell>
          <cell r="D79">
            <v>0</v>
          </cell>
        </row>
        <row r="80">
          <cell r="A80" t="str">
            <v>109-001-001-1036</v>
          </cell>
          <cell r="B80" t="str">
            <v>M/S Muhammad Aamir Khan</v>
          </cell>
          <cell r="C80">
            <v>4</v>
          </cell>
          <cell r="D80">
            <v>0</v>
          </cell>
        </row>
        <row r="81">
          <cell r="A81" t="str">
            <v>109-001-001-1037</v>
          </cell>
          <cell r="B81" t="str">
            <v>M/S Muhammad Zaib</v>
          </cell>
          <cell r="C81">
            <v>4</v>
          </cell>
          <cell r="D81">
            <v>0</v>
          </cell>
        </row>
        <row r="82">
          <cell r="A82" t="str">
            <v>109-001-001-1039</v>
          </cell>
          <cell r="B82" t="str">
            <v>Naib Subedar Muh Aslam</v>
          </cell>
          <cell r="C82">
            <v>4</v>
          </cell>
          <cell r="D82">
            <v>0</v>
          </cell>
        </row>
        <row r="83">
          <cell r="A83" t="str">
            <v>109-001-001-1040</v>
          </cell>
          <cell r="B83" t="str">
            <v>Hav Steno Nisar Ahmad</v>
          </cell>
          <cell r="C83">
            <v>4</v>
          </cell>
          <cell r="D83">
            <v>0</v>
          </cell>
        </row>
        <row r="84">
          <cell r="A84" t="str">
            <v>109-001-001-1042</v>
          </cell>
          <cell r="B84" t="str">
            <v>Project Manager PTCL</v>
          </cell>
          <cell r="C84">
            <v>4</v>
          </cell>
          <cell r="D84">
            <v>0</v>
          </cell>
        </row>
        <row r="85">
          <cell r="A85" t="str">
            <v>109-001-001-1043</v>
          </cell>
          <cell r="B85" t="str">
            <v>Project KRAC Ware house Mandra</v>
          </cell>
          <cell r="C85">
            <v>4</v>
          </cell>
          <cell r="D85">
            <v>0</v>
          </cell>
        </row>
        <row r="86">
          <cell r="A86" t="str">
            <v>109-001-001-1044</v>
          </cell>
          <cell r="B86" t="str">
            <v>N-5 Swan Camp</v>
          </cell>
          <cell r="C86">
            <v>4</v>
          </cell>
          <cell r="D86">
            <v>0</v>
          </cell>
        </row>
        <row r="87">
          <cell r="A87" t="str">
            <v>109-001-001-1045</v>
          </cell>
          <cell r="B87" t="str">
            <v>M/S Highway contractors</v>
          </cell>
          <cell r="C87">
            <v>4</v>
          </cell>
          <cell r="D87">
            <v>0</v>
          </cell>
        </row>
        <row r="88">
          <cell r="A88" t="str">
            <v>109-001-001-1046</v>
          </cell>
          <cell r="B88" t="str">
            <v>M/S Muhammad Azam &amp; Brothers</v>
          </cell>
          <cell r="C88">
            <v>4</v>
          </cell>
          <cell r="D88">
            <v>0</v>
          </cell>
        </row>
        <row r="89">
          <cell r="A89" t="str">
            <v>109-001-001-1047</v>
          </cell>
          <cell r="B89" t="str">
            <v>M/S MRRP</v>
          </cell>
          <cell r="C89">
            <v>4</v>
          </cell>
          <cell r="D89">
            <v>0</v>
          </cell>
        </row>
        <row r="90">
          <cell r="A90" t="str">
            <v>109-001-001-1048</v>
          </cell>
          <cell r="B90" t="str">
            <v>M/S Technoline</v>
          </cell>
          <cell r="C90">
            <v>4</v>
          </cell>
          <cell r="D90">
            <v>0</v>
          </cell>
        </row>
        <row r="91">
          <cell r="A91" t="str">
            <v>109-001-001-1049</v>
          </cell>
          <cell r="B91" t="str">
            <v>M/S J &amp; W</v>
          </cell>
          <cell r="C91">
            <v>4</v>
          </cell>
          <cell r="D91">
            <v>0</v>
          </cell>
        </row>
        <row r="92">
          <cell r="A92" t="str">
            <v>109-001-001-1050</v>
          </cell>
          <cell r="B92" t="str">
            <v>M/S Asad Rameez</v>
          </cell>
          <cell r="C92">
            <v>4</v>
          </cell>
          <cell r="D92">
            <v>0</v>
          </cell>
        </row>
        <row r="93">
          <cell r="A93" t="str">
            <v>109-001-001-1051</v>
          </cell>
          <cell r="B93" t="str">
            <v>M/S Saleem &amp; Brothers</v>
          </cell>
          <cell r="C93">
            <v>4</v>
          </cell>
          <cell r="D93">
            <v>0</v>
          </cell>
        </row>
        <row r="94">
          <cell r="A94" t="str">
            <v>109-001-001-1052</v>
          </cell>
          <cell r="B94" t="str">
            <v>M/S Syed Associates</v>
          </cell>
          <cell r="C94">
            <v>4</v>
          </cell>
          <cell r="D94">
            <v>0</v>
          </cell>
        </row>
        <row r="95">
          <cell r="A95" t="str">
            <v>109-001-001-1054</v>
          </cell>
          <cell r="B95" t="str">
            <v>M/S Tripple M Enterprises</v>
          </cell>
          <cell r="C95">
            <v>4</v>
          </cell>
          <cell r="D95">
            <v>0</v>
          </cell>
        </row>
        <row r="96">
          <cell r="A96" t="str">
            <v>109-001-001-1055</v>
          </cell>
          <cell r="B96" t="str">
            <v>M/S Swayra Enterprises</v>
          </cell>
          <cell r="C96">
            <v>4</v>
          </cell>
          <cell r="D96">
            <v>0</v>
          </cell>
        </row>
        <row r="97">
          <cell r="A97" t="str">
            <v>109-001-001-1056</v>
          </cell>
          <cell r="B97" t="str">
            <v>M/S Foar Road Marking</v>
          </cell>
          <cell r="C97">
            <v>4</v>
          </cell>
          <cell r="D97">
            <v>0</v>
          </cell>
        </row>
        <row r="98">
          <cell r="A98" t="str">
            <v>109-001-001-1058</v>
          </cell>
          <cell r="B98" t="str">
            <v>M/S Javed Mumtaz (Pvt) Ltd</v>
          </cell>
          <cell r="C98">
            <v>4</v>
          </cell>
          <cell r="D98">
            <v>0</v>
          </cell>
        </row>
        <row r="99">
          <cell r="A99" t="str">
            <v>109-001-001-1059</v>
          </cell>
          <cell r="B99" t="str">
            <v>M/S Jabco (Pvt) Ltd</v>
          </cell>
          <cell r="C99">
            <v>4</v>
          </cell>
          <cell r="D99">
            <v>0</v>
          </cell>
        </row>
        <row r="100">
          <cell r="A100" t="str">
            <v>109-001-001-1060</v>
          </cell>
          <cell r="B100" t="str">
            <v>M/S Imtiaz Shahid &amp; Co</v>
          </cell>
          <cell r="C100">
            <v>4</v>
          </cell>
          <cell r="D100">
            <v>0</v>
          </cell>
        </row>
        <row r="101">
          <cell r="A101" t="str">
            <v>109-001-001-1061</v>
          </cell>
          <cell r="B101" t="str">
            <v>M/S ATM Builders</v>
          </cell>
          <cell r="C101">
            <v>4</v>
          </cell>
          <cell r="D101">
            <v>0</v>
          </cell>
        </row>
        <row r="102">
          <cell r="A102" t="str">
            <v>109-001-001-1062</v>
          </cell>
          <cell r="B102" t="str">
            <v>M/S Jabco (Pvt) Ltd</v>
          </cell>
          <cell r="C102">
            <v>4</v>
          </cell>
          <cell r="D102">
            <v>0</v>
          </cell>
        </row>
        <row r="103">
          <cell r="A103" t="str">
            <v>109-001-001-1063</v>
          </cell>
          <cell r="B103" t="str">
            <v>M/S Ali Associate</v>
          </cell>
          <cell r="C103">
            <v>4</v>
          </cell>
          <cell r="D103">
            <v>0</v>
          </cell>
        </row>
        <row r="104">
          <cell r="A104" t="str">
            <v>109-001-001-1064</v>
          </cell>
          <cell r="B104" t="str">
            <v>M/S Sajjad (Pvt) ltd</v>
          </cell>
          <cell r="C104">
            <v>4</v>
          </cell>
          <cell r="D104">
            <v>0</v>
          </cell>
        </row>
        <row r="105">
          <cell r="A105" t="str">
            <v>109-001-001-1065</v>
          </cell>
          <cell r="B105" t="str">
            <v>M/S Sky Engineers</v>
          </cell>
          <cell r="C105">
            <v>4</v>
          </cell>
          <cell r="D105">
            <v>0</v>
          </cell>
        </row>
        <row r="106">
          <cell r="A106" t="str">
            <v>109-001-001-1066</v>
          </cell>
          <cell r="B106" t="str">
            <v>M/S Eastern Highway</v>
          </cell>
          <cell r="C106">
            <v>4</v>
          </cell>
          <cell r="D106">
            <v>0</v>
          </cell>
        </row>
        <row r="107">
          <cell r="A107" t="str">
            <v>109-001-001-1067</v>
          </cell>
          <cell r="B107" t="str">
            <v>M/S Yar Muhammad Khattak</v>
          </cell>
          <cell r="C107">
            <v>4</v>
          </cell>
          <cell r="D107">
            <v>0</v>
          </cell>
        </row>
        <row r="108">
          <cell r="A108" t="str">
            <v>109-001-001-1069</v>
          </cell>
          <cell r="B108" t="str">
            <v>M/S Sadaat Enterprises</v>
          </cell>
          <cell r="C108">
            <v>4</v>
          </cell>
          <cell r="D108">
            <v>0</v>
          </cell>
        </row>
        <row r="109">
          <cell r="A109" t="str">
            <v>109-001-001-1070</v>
          </cell>
          <cell r="B109" t="str">
            <v>M/S Shad Khan &amp; Sons</v>
          </cell>
          <cell r="C109">
            <v>4</v>
          </cell>
          <cell r="D109">
            <v>-6343368</v>
          </cell>
        </row>
        <row r="110">
          <cell r="A110" t="str">
            <v>109-001-001-1071</v>
          </cell>
          <cell r="B110" t="str">
            <v>M/S Amir Iqbal &amp; Co.</v>
          </cell>
          <cell r="C110">
            <v>4</v>
          </cell>
          <cell r="D110">
            <v>0</v>
          </cell>
        </row>
        <row r="111">
          <cell r="A111" t="str">
            <v>109-001-001-1072</v>
          </cell>
          <cell r="B111" t="str">
            <v>M/S Ascent Associates</v>
          </cell>
          <cell r="C111">
            <v>4</v>
          </cell>
          <cell r="D111">
            <v>-1199818</v>
          </cell>
        </row>
        <row r="112">
          <cell r="A112" t="str">
            <v>109-001-001-1073</v>
          </cell>
          <cell r="B112" t="str">
            <v>M/S Omer Farooq Co.</v>
          </cell>
          <cell r="C112">
            <v>4</v>
          </cell>
          <cell r="D112">
            <v>-3152740</v>
          </cell>
        </row>
        <row r="113">
          <cell r="A113" t="str">
            <v>109-001-001-9999</v>
          </cell>
          <cell r="B113" t="str">
            <v>Final Bill Creditors</v>
          </cell>
          <cell r="C113">
            <v>4</v>
          </cell>
          <cell r="D113">
            <v>0</v>
          </cell>
        </row>
        <row r="114">
          <cell r="A114" t="str">
            <v>109-001-002-0000</v>
          </cell>
          <cell r="B114" t="str">
            <v>Creditors Construction  Material</v>
          </cell>
          <cell r="C114">
            <v>3</v>
          </cell>
          <cell r="D114">
            <v>0</v>
          </cell>
        </row>
        <row r="115">
          <cell r="A115" t="str">
            <v>109-001-002-1001</v>
          </cell>
          <cell r="B115" t="str">
            <v>Al- maqsoom Traders</v>
          </cell>
          <cell r="C115">
            <v>4</v>
          </cell>
          <cell r="D115">
            <v>0</v>
          </cell>
        </row>
        <row r="116">
          <cell r="A116" t="str">
            <v>109-001-002-1002</v>
          </cell>
          <cell r="B116" t="str">
            <v>Adnan Stationery</v>
          </cell>
          <cell r="C116">
            <v>4</v>
          </cell>
          <cell r="D116">
            <v>0</v>
          </cell>
        </row>
        <row r="117">
          <cell r="A117" t="str">
            <v>109-001-002-1003</v>
          </cell>
          <cell r="B117" t="str">
            <v>All Pakistan machinery</v>
          </cell>
          <cell r="C117">
            <v>4</v>
          </cell>
          <cell r="D117">
            <v>0</v>
          </cell>
        </row>
        <row r="118">
          <cell r="A118" t="str">
            <v>109-001-002-1004</v>
          </cell>
          <cell r="B118" t="str">
            <v>Awais Aluminium</v>
          </cell>
          <cell r="C118">
            <v>4</v>
          </cell>
          <cell r="D118">
            <v>0</v>
          </cell>
        </row>
        <row r="119">
          <cell r="A119" t="str">
            <v>109-001-002-1005</v>
          </cell>
          <cell r="B119" t="str">
            <v>Asghar ali Shah</v>
          </cell>
          <cell r="C119">
            <v>4</v>
          </cell>
          <cell r="D119">
            <v>0</v>
          </cell>
        </row>
        <row r="120">
          <cell r="A120" t="str">
            <v>109-001-002-1006</v>
          </cell>
          <cell r="B120" t="str">
            <v>Spinzer Ashain Rwp</v>
          </cell>
          <cell r="C120">
            <v>4</v>
          </cell>
          <cell r="D120">
            <v>0</v>
          </cell>
        </row>
        <row r="121">
          <cell r="A121" t="str">
            <v>109-001-002-1007</v>
          </cell>
          <cell r="B121" t="str">
            <v>Syed Shujahat Hussian</v>
          </cell>
          <cell r="C121">
            <v>4</v>
          </cell>
          <cell r="D121">
            <v>0</v>
          </cell>
        </row>
        <row r="122">
          <cell r="A122" t="str">
            <v>109-001-002-1008</v>
          </cell>
          <cell r="B122" t="str">
            <v>Drawing &amp; survey</v>
          </cell>
          <cell r="C122">
            <v>4</v>
          </cell>
          <cell r="D122">
            <v>0</v>
          </cell>
        </row>
        <row r="123">
          <cell r="A123" t="str">
            <v>109-001-002-1009</v>
          </cell>
          <cell r="B123" t="str">
            <v>Flash Technologies</v>
          </cell>
          <cell r="C123">
            <v>4</v>
          </cell>
          <cell r="D123">
            <v>0</v>
          </cell>
        </row>
        <row r="124">
          <cell r="A124" t="str">
            <v>109-001-002-1010</v>
          </cell>
          <cell r="B124" t="str">
            <v>Gul Jan</v>
          </cell>
          <cell r="C124">
            <v>4</v>
          </cell>
          <cell r="D124">
            <v>0</v>
          </cell>
        </row>
        <row r="125">
          <cell r="A125" t="str">
            <v>109-001-002-1011</v>
          </cell>
          <cell r="B125" t="str">
            <v>Hayat ullah &amp; sons</v>
          </cell>
          <cell r="C125">
            <v>4</v>
          </cell>
          <cell r="D125">
            <v>0</v>
          </cell>
        </row>
        <row r="126">
          <cell r="A126" t="str">
            <v>109-001-002-1012</v>
          </cell>
          <cell r="B126" t="str">
            <v>Hanif Agencies</v>
          </cell>
          <cell r="C126">
            <v>4</v>
          </cell>
          <cell r="D126">
            <v>0</v>
          </cell>
        </row>
        <row r="127">
          <cell r="A127" t="str">
            <v>109-001-002-1013</v>
          </cell>
          <cell r="B127" t="str">
            <v>Islamabad Auto</v>
          </cell>
          <cell r="C127">
            <v>4</v>
          </cell>
          <cell r="D127">
            <v>0</v>
          </cell>
        </row>
        <row r="128">
          <cell r="A128" t="str">
            <v>109-001-002-1014</v>
          </cell>
          <cell r="B128" t="str">
            <v>Junaid Autos</v>
          </cell>
          <cell r="C128">
            <v>4</v>
          </cell>
          <cell r="D128">
            <v>0</v>
          </cell>
        </row>
        <row r="129">
          <cell r="A129" t="str">
            <v>109-001-002-1015</v>
          </cell>
          <cell r="B129" t="str">
            <v>Khan Badshah</v>
          </cell>
          <cell r="C129">
            <v>4</v>
          </cell>
          <cell r="D129">
            <v>0</v>
          </cell>
        </row>
        <row r="130">
          <cell r="A130" t="str">
            <v>109-001-002-1016</v>
          </cell>
          <cell r="B130" t="str">
            <v>Mir Brothers</v>
          </cell>
          <cell r="C130">
            <v>4</v>
          </cell>
          <cell r="D130">
            <v>0</v>
          </cell>
        </row>
        <row r="131">
          <cell r="A131" t="str">
            <v>109-001-002-1017</v>
          </cell>
          <cell r="B131" t="str">
            <v>Mirza old engineering stores</v>
          </cell>
          <cell r="C131">
            <v>4</v>
          </cell>
          <cell r="D131">
            <v>0</v>
          </cell>
        </row>
        <row r="132">
          <cell r="A132" t="str">
            <v>109-001-002-1018</v>
          </cell>
          <cell r="B132" t="str">
            <v>Muh shah &amp; sons</v>
          </cell>
          <cell r="C132">
            <v>4</v>
          </cell>
          <cell r="D132">
            <v>0</v>
          </cell>
        </row>
        <row r="133">
          <cell r="A133" t="str">
            <v>109-001-002-1019</v>
          </cell>
          <cell r="B133" t="str">
            <v>Margallah Stone Crusher</v>
          </cell>
          <cell r="C133">
            <v>4</v>
          </cell>
          <cell r="D133">
            <v>0</v>
          </cell>
        </row>
        <row r="134">
          <cell r="A134" t="str">
            <v>109-001-002-1020</v>
          </cell>
          <cell r="B134" t="str">
            <v>Minhattan Pahnta (pvt) Ltd</v>
          </cell>
          <cell r="C134">
            <v>4</v>
          </cell>
          <cell r="D134">
            <v>0</v>
          </cell>
        </row>
        <row r="135">
          <cell r="A135" t="str">
            <v>109-001-002-1021</v>
          </cell>
          <cell r="B135" t="str">
            <v>Naimat Agencies</v>
          </cell>
          <cell r="C135">
            <v>4</v>
          </cell>
          <cell r="D135">
            <v>0</v>
          </cell>
        </row>
        <row r="136">
          <cell r="A136" t="str">
            <v>109-001-002-1022</v>
          </cell>
          <cell r="B136" t="str">
            <v>Potohar Autos</v>
          </cell>
          <cell r="C136">
            <v>4</v>
          </cell>
          <cell r="D136">
            <v>0</v>
          </cell>
        </row>
        <row r="137">
          <cell r="A137" t="str">
            <v>109-001-002-1023</v>
          </cell>
          <cell r="B137" t="str">
            <v>Petronet Pakistan</v>
          </cell>
          <cell r="C137">
            <v>4</v>
          </cell>
          <cell r="D137">
            <v>0</v>
          </cell>
        </row>
        <row r="138">
          <cell r="A138" t="str">
            <v>109-001-002-1024</v>
          </cell>
          <cell r="B138" t="str">
            <v>Photohar Stone Crusher</v>
          </cell>
          <cell r="C138">
            <v>4</v>
          </cell>
          <cell r="D138">
            <v>0</v>
          </cell>
        </row>
        <row r="139">
          <cell r="A139" t="str">
            <v>109-001-002-1025-</v>
          </cell>
          <cell r="B139" t="str">
            <v>Malik Steel Works</v>
          </cell>
          <cell r="C139">
            <v>4</v>
          </cell>
          <cell r="D139">
            <v>0</v>
          </cell>
        </row>
        <row r="140">
          <cell r="A140" t="str">
            <v>109-001-002-1026</v>
          </cell>
          <cell r="B140" t="str">
            <v>S.A.S Metals</v>
          </cell>
          <cell r="C140">
            <v>4</v>
          </cell>
          <cell r="D140">
            <v>0</v>
          </cell>
        </row>
        <row r="141">
          <cell r="A141" t="str">
            <v>109-001-002-1027</v>
          </cell>
          <cell r="B141" t="str">
            <v>Sangjani Asphalt Premixing Plant</v>
          </cell>
          <cell r="C141">
            <v>4</v>
          </cell>
          <cell r="D141">
            <v>0</v>
          </cell>
        </row>
        <row r="142">
          <cell r="A142" t="str">
            <v>109-001-002-1028</v>
          </cell>
          <cell r="B142" t="str">
            <v>Zia Auctioner</v>
          </cell>
          <cell r="C142">
            <v>4</v>
          </cell>
          <cell r="D142">
            <v>0</v>
          </cell>
        </row>
        <row r="143">
          <cell r="A143" t="str">
            <v>109-001-002-1029</v>
          </cell>
          <cell r="B143" t="str">
            <v>Pak Steel</v>
          </cell>
          <cell r="C143">
            <v>4</v>
          </cell>
          <cell r="D143">
            <v>0</v>
          </cell>
        </row>
        <row r="144">
          <cell r="A144" t="str">
            <v>109-001-002-1030</v>
          </cell>
          <cell r="B144" t="str">
            <v>Printing Press CMTI</v>
          </cell>
          <cell r="C144">
            <v>4</v>
          </cell>
          <cell r="D144">
            <v>0</v>
          </cell>
        </row>
        <row r="145">
          <cell r="A145" t="str">
            <v>109-001-002-1031</v>
          </cell>
          <cell r="B145" t="str">
            <v>Muhammad Zulfiqar</v>
          </cell>
          <cell r="C145">
            <v>4</v>
          </cell>
          <cell r="D145">
            <v>0</v>
          </cell>
        </row>
        <row r="146">
          <cell r="A146" t="str">
            <v>109-001-002-1032</v>
          </cell>
          <cell r="B146" t="str">
            <v>Bismillah Khan</v>
          </cell>
          <cell r="C146">
            <v>4</v>
          </cell>
          <cell r="D146">
            <v>0</v>
          </cell>
        </row>
        <row r="147">
          <cell r="A147" t="str">
            <v>109-001-002-1033</v>
          </cell>
          <cell r="B147" t="str">
            <v>Executive Engineering Machinery</v>
          </cell>
          <cell r="C147">
            <v>4</v>
          </cell>
          <cell r="D147">
            <v>0</v>
          </cell>
        </row>
        <row r="148">
          <cell r="A148" t="str">
            <v>109-001-002-1034</v>
          </cell>
          <cell r="B148" t="str">
            <v>Royal Scientific Store</v>
          </cell>
          <cell r="C148">
            <v>4</v>
          </cell>
          <cell r="D148">
            <v>0</v>
          </cell>
        </row>
        <row r="149">
          <cell r="A149" t="str">
            <v>109-001-002-1035</v>
          </cell>
          <cell r="B149" t="str">
            <v>Nationall Scientific Store</v>
          </cell>
          <cell r="C149">
            <v>4</v>
          </cell>
          <cell r="D149">
            <v>0</v>
          </cell>
        </row>
        <row r="150">
          <cell r="A150" t="str">
            <v>109-001-002-1036</v>
          </cell>
          <cell r="B150" t="str">
            <v>M/S Qazi Ghee</v>
          </cell>
          <cell r="C150">
            <v>4</v>
          </cell>
          <cell r="D150">
            <v>0</v>
          </cell>
        </row>
        <row r="151">
          <cell r="A151" t="str">
            <v>109-001-002-1037</v>
          </cell>
          <cell r="B151" t="str">
            <v>M/S Muhammad Latif</v>
          </cell>
          <cell r="C151">
            <v>4</v>
          </cell>
          <cell r="D151">
            <v>0</v>
          </cell>
        </row>
        <row r="152">
          <cell r="A152" t="str">
            <v>109-001-002-1038</v>
          </cell>
          <cell r="B152" t="str">
            <v>M/S Zafer Ullah</v>
          </cell>
          <cell r="C152">
            <v>4</v>
          </cell>
          <cell r="D152">
            <v>0</v>
          </cell>
        </row>
        <row r="153">
          <cell r="A153" t="str">
            <v>109-001-002-1039</v>
          </cell>
          <cell r="B153" t="str">
            <v>M/S Spinzer</v>
          </cell>
          <cell r="C153">
            <v>4</v>
          </cell>
          <cell r="D153">
            <v>0</v>
          </cell>
        </row>
        <row r="154">
          <cell r="A154" t="str">
            <v>109-001-002-1040</v>
          </cell>
          <cell r="B154" t="str">
            <v>M/S Ali Associates</v>
          </cell>
          <cell r="C154">
            <v>4</v>
          </cell>
          <cell r="D154">
            <v>0</v>
          </cell>
        </row>
        <row r="155">
          <cell r="A155" t="str">
            <v>109-001-002-1041</v>
          </cell>
          <cell r="B155" t="str">
            <v>M/S Muh Yousaf</v>
          </cell>
          <cell r="C155">
            <v>4</v>
          </cell>
          <cell r="D155">
            <v>0</v>
          </cell>
        </row>
        <row r="156">
          <cell r="A156" t="str">
            <v>109-001-002-1042</v>
          </cell>
          <cell r="B156" t="str">
            <v>M/S Ali Khan</v>
          </cell>
          <cell r="C156">
            <v>4</v>
          </cell>
          <cell r="D156">
            <v>0</v>
          </cell>
        </row>
        <row r="157">
          <cell r="A157" t="str">
            <v>109-001-002-1044</v>
          </cell>
          <cell r="B157" t="str">
            <v>M/S Super Punjab Tents</v>
          </cell>
          <cell r="C157">
            <v>4</v>
          </cell>
          <cell r="D157">
            <v>0</v>
          </cell>
        </row>
        <row r="158">
          <cell r="A158" t="str">
            <v>109-001-002-1045</v>
          </cell>
          <cell r="B158" t="str">
            <v>M/S Ahmed Auots</v>
          </cell>
          <cell r="C158">
            <v>4</v>
          </cell>
          <cell r="D158">
            <v>0</v>
          </cell>
        </row>
        <row r="159">
          <cell r="A159" t="str">
            <v>109-001-002-1046</v>
          </cell>
          <cell r="B159" t="str">
            <v>M/S Akash Builders</v>
          </cell>
          <cell r="C159">
            <v>4</v>
          </cell>
          <cell r="D159">
            <v>0</v>
          </cell>
        </row>
        <row r="160">
          <cell r="A160" t="str">
            <v>109-001-002-1047</v>
          </cell>
          <cell r="B160" t="str">
            <v>M/S Muneeb Brothers</v>
          </cell>
          <cell r="C160">
            <v>4</v>
          </cell>
          <cell r="D160">
            <v>0</v>
          </cell>
        </row>
        <row r="161">
          <cell r="A161" t="str">
            <v>109-001-002-1048</v>
          </cell>
          <cell r="B161" t="str">
            <v>M/S Mughal Supersave</v>
          </cell>
          <cell r="C161">
            <v>4</v>
          </cell>
          <cell r="D161">
            <v>0</v>
          </cell>
        </row>
        <row r="162">
          <cell r="A162" t="str">
            <v>109-001-002-1049</v>
          </cell>
          <cell r="B162" t="str">
            <v>M/S Al-Madina Engineering Works</v>
          </cell>
          <cell r="C162">
            <v>4</v>
          </cell>
          <cell r="D162">
            <v>0</v>
          </cell>
        </row>
        <row r="163">
          <cell r="A163" t="str">
            <v>109-001-002-1050</v>
          </cell>
          <cell r="B163" t="str">
            <v>M/S Salahuddin Diesel Service</v>
          </cell>
          <cell r="C163">
            <v>4</v>
          </cell>
          <cell r="D163">
            <v>0</v>
          </cell>
        </row>
        <row r="164">
          <cell r="A164" t="str">
            <v>109-001-002-1051</v>
          </cell>
          <cell r="B164" t="str">
            <v>M/S Toyota Centre</v>
          </cell>
          <cell r="C164">
            <v>4</v>
          </cell>
          <cell r="D164">
            <v>0</v>
          </cell>
        </row>
        <row r="165">
          <cell r="A165" t="str">
            <v>109-001-002-1052</v>
          </cell>
          <cell r="B165" t="str">
            <v>M/S Kamboh Engineering Intl</v>
          </cell>
          <cell r="C165">
            <v>4</v>
          </cell>
          <cell r="D165">
            <v>0</v>
          </cell>
        </row>
        <row r="166">
          <cell r="A166" t="str">
            <v>109-001-002-1053</v>
          </cell>
          <cell r="B166" t="str">
            <v>M/S H &amp; M Engineering Works</v>
          </cell>
          <cell r="C166">
            <v>4</v>
          </cell>
          <cell r="D166">
            <v>0</v>
          </cell>
        </row>
        <row r="167">
          <cell r="A167" t="str">
            <v>109-001-002-1054</v>
          </cell>
          <cell r="B167" t="str">
            <v>M/S A &amp; A Enterprises</v>
          </cell>
          <cell r="C167">
            <v>4</v>
          </cell>
          <cell r="D167">
            <v>0</v>
          </cell>
        </row>
        <row r="168">
          <cell r="A168" t="str">
            <v>109-001-002-1055</v>
          </cell>
          <cell r="B168" t="str">
            <v>M/S Haq Char Yaar</v>
          </cell>
          <cell r="C168">
            <v>4</v>
          </cell>
          <cell r="D168">
            <v>0</v>
          </cell>
        </row>
        <row r="169">
          <cell r="A169" t="str">
            <v>109-001-002-1056</v>
          </cell>
          <cell r="B169" t="str">
            <v>M/S Friends Associates</v>
          </cell>
          <cell r="C169">
            <v>4</v>
          </cell>
          <cell r="D169">
            <v>0</v>
          </cell>
        </row>
        <row r="170">
          <cell r="A170" t="str">
            <v>109-001-002-1057</v>
          </cell>
          <cell r="B170" t="str">
            <v>M/S Abdul Khaliq Khan</v>
          </cell>
          <cell r="C170">
            <v>4</v>
          </cell>
          <cell r="D170">
            <v>0</v>
          </cell>
        </row>
        <row r="171">
          <cell r="A171" t="str">
            <v>109-001-002-1058</v>
          </cell>
          <cell r="B171" t="str">
            <v>M/S Al-Ghosia</v>
          </cell>
          <cell r="C171">
            <v>4</v>
          </cell>
          <cell r="D171">
            <v>0</v>
          </cell>
        </row>
        <row r="172">
          <cell r="A172" t="str">
            <v>109-001-002-1059</v>
          </cell>
          <cell r="B172" t="str">
            <v>M/S Wasim Stationers</v>
          </cell>
          <cell r="C172">
            <v>4</v>
          </cell>
          <cell r="D172">
            <v>0</v>
          </cell>
        </row>
        <row r="173">
          <cell r="A173" t="str">
            <v>109-001-002-1060</v>
          </cell>
          <cell r="B173" t="str">
            <v>M/S Sarfraz  Khan.</v>
          </cell>
          <cell r="C173">
            <v>4</v>
          </cell>
          <cell r="D173">
            <v>0</v>
          </cell>
        </row>
        <row r="174">
          <cell r="A174" t="str">
            <v>109-001-002-1061</v>
          </cell>
          <cell r="B174" t="str">
            <v>M/S Spinzer</v>
          </cell>
          <cell r="C174">
            <v>4</v>
          </cell>
          <cell r="D174">
            <v>0</v>
          </cell>
        </row>
        <row r="175">
          <cell r="A175" t="str">
            <v>109-001-002-1062</v>
          </cell>
          <cell r="B175" t="str">
            <v>M/S Maj (R) Nisar</v>
          </cell>
          <cell r="C175">
            <v>4</v>
          </cell>
          <cell r="D175">
            <v>0</v>
          </cell>
        </row>
        <row r="176">
          <cell r="A176" t="str">
            <v>109-001-002-1063</v>
          </cell>
          <cell r="B176" t="str">
            <v>M/S Behran Khan</v>
          </cell>
          <cell r="C176">
            <v>4</v>
          </cell>
          <cell r="D176">
            <v>0</v>
          </cell>
        </row>
        <row r="177">
          <cell r="A177" t="str">
            <v>109-001-002-1064</v>
          </cell>
          <cell r="B177" t="str">
            <v>M/S Safe Co.</v>
          </cell>
          <cell r="C177">
            <v>4</v>
          </cell>
          <cell r="D177">
            <v>0</v>
          </cell>
        </row>
        <row r="178">
          <cell r="A178" t="str">
            <v>109-001-002-1065</v>
          </cell>
          <cell r="B178" t="str">
            <v>M/S Photohar Autos</v>
          </cell>
          <cell r="C178">
            <v>4</v>
          </cell>
          <cell r="D178">
            <v>0</v>
          </cell>
        </row>
        <row r="179">
          <cell r="A179" t="str">
            <v>109-001-002-1066</v>
          </cell>
          <cell r="B179" t="str">
            <v>M/S Haji Muh Munir</v>
          </cell>
          <cell r="C179">
            <v>4</v>
          </cell>
          <cell r="D179">
            <v>0</v>
          </cell>
        </row>
        <row r="180">
          <cell r="A180" t="str">
            <v>109-001-002-1067</v>
          </cell>
          <cell r="B180" t="str">
            <v>M/S Bazl ul jehood</v>
          </cell>
          <cell r="C180">
            <v>4</v>
          </cell>
          <cell r="D180">
            <v>0</v>
          </cell>
        </row>
        <row r="181">
          <cell r="A181" t="str">
            <v>109-001-002-1068</v>
          </cell>
          <cell r="B181" t="str">
            <v>M/S Regent Computers</v>
          </cell>
          <cell r="C181">
            <v>4</v>
          </cell>
          <cell r="D181">
            <v>0</v>
          </cell>
        </row>
        <row r="182">
          <cell r="A182" t="str">
            <v>109-001-002-1069</v>
          </cell>
          <cell r="B182" t="str">
            <v>M/S Abdul Razaq &amp; Co.</v>
          </cell>
          <cell r="C182">
            <v>4</v>
          </cell>
          <cell r="D182">
            <v>0</v>
          </cell>
        </row>
        <row r="183">
          <cell r="A183" t="str">
            <v>109-001-002-1070</v>
          </cell>
          <cell r="B183" t="str">
            <v>M/S Furnitures</v>
          </cell>
          <cell r="C183">
            <v>4</v>
          </cell>
          <cell r="D183">
            <v>0</v>
          </cell>
        </row>
        <row r="184">
          <cell r="A184" t="str">
            <v>109-001-002-1071</v>
          </cell>
          <cell r="B184" t="str">
            <v>M/S National Machinery Store</v>
          </cell>
          <cell r="C184">
            <v>4</v>
          </cell>
          <cell r="D184">
            <v>0</v>
          </cell>
        </row>
        <row r="185">
          <cell r="A185" t="str">
            <v>109-001-002-1072</v>
          </cell>
          <cell r="B185" t="str">
            <v>M/S Various dealers</v>
          </cell>
          <cell r="C185">
            <v>4</v>
          </cell>
          <cell r="D185">
            <v>0</v>
          </cell>
        </row>
        <row r="186">
          <cell r="A186" t="str">
            <v>109-001-002-1074</v>
          </cell>
          <cell r="B186" t="str">
            <v>M/S Juma Khan</v>
          </cell>
          <cell r="C186">
            <v>4</v>
          </cell>
          <cell r="D186">
            <v>0</v>
          </cell>
        </row>
        <row r="187">
          <cell r="A187" t="str">
            <v>109-001-002-1075</v>
          </cell>
          <cell r="B187" t="str">
            <v>M/S Naveed Associates</v>
          </cell>
          <cell r="C187">
            <v>4</v>
          </cell>
          <cell r="D187">
            <v>0</v>
          </cell>
        </row>
        <row r="188">
          <cell r="A188" t="str">
            <v>109-001-002-1076</v>
          </cell>
          <cell r="B188" t="str">
            <v>M/S Machine Traders</v>
          </cell>
          <cell r="C188">
            <v>4</v>
          </cell>
          <cell r="D188">
            <v>0</v>
          </cell>
        </row>
        <row r="189">
          <cell r="A189" t="str">
            <v>109-001-002-1077</v>
          </cell>
          <cell r="B189" t="str">
            <v>M/S Shahid Malik</v>
          </cell>
          <cell r="C189">
            <v>4</v>
          </cell>
          <cell r="D189">
            <v>0</v>
          </cell>
        </row>
        <row r="190">
          <cell r="A190" t="str">
            <v>109-001-002-1078</v>
          </cell>
          <cell r="B190" t="str">
            <v>M/S Haji Ice Factory</v>
          </cell>
          <cell r="C190">
            <v>4</v>
          </cell>
          <cell r="D190">
            <v>0</v>
          </cell>
        </row>
        <row r="191">
          <cell r="A191" t="str">
            <v>109-001-002-1079</v>
          </cell>
          <cell r="B191" t="str">
            <v>M/S Safeer General Store</v>
          </cell>
          <cell r="C191">
            <v>4</v>
          </cell>
          <cell r="D191">
            <v>0</v>
          </cell>
        </row>
        <row r="192">
          <cell r="A192" t="str">
            <v>109-001-002-1080</v>
          </cell>
          <cell r="B192" t="str">
            <v>M/S Hassan fair price</v>
          </cell>
          <cell r="C192">
            <v>4</v>
          </cell>
          <cell r="D192">
            <v>0</v>
          </cell>
        </row>
        <row r="193">
          <cell r="A193" t="str">
            <v>109-001-002-1082</v>
          </cell>
          <cell r="B193" t="str">
            <v>M/S Khalil ur rehman</v>
          </cell>
          <cell r="C193">
            <v>4</v>
          </cell>
          <cell r="D193">
            <v>0</v>
          </cell>
        </row>
        <row r="194">
          <cell r="A194" t="str">
            <v>109-001-002-1083</v>
          </cell>
          <cell r="B194" t="str">
            <v>M/S Suhbat Khan</v>
          </cell>
          <cell r="C194">
            <v>4</v>
          </cell>
          <cell r="D194">
            <v>0</v>
          </cell>
        </row>
        <row r="195">
          <cell r="A195" t="str">
            <v>109-001-002-1084</v>
          </cell>
          <cell r="B195" t="str">
            <v>M/S Awais Aluminim</v>
          </cell>
          <cell r="C195">
            <v>4</v>
          </cell>
          <cell r="D195">
            <v>0</v>
          </cell>
        </row>
        <row r="196">
          <cell r="A196" t="str">
            <v>109-001-002-1085</v>
          </cell>
          <cell r="B196" t="str">
            <v>M/S Computer House</v>
          </cell>
          <cell r="C196">
            <v>4</v>
          </cell>
          <cell r="D196">
            <v>0</v>
          </cell>
        </row>
        <row r="197">
          <cell r="A197" t="str">
            <v>109-001-002-1086</v>
          </cell>
          <cell r="B197" t="str">
            <v>M/S Ijaz Autos</v>
          </cell>
          <cell r="C197">
            <v>4</v>
          </cell>
          <cell r="D197">
            <v>0</v>
          </cell>
        </row>
        <row r="198">
          <cell r="A198" t="str">
            <v>109-001-002-1087</v>
          </cell>
          <cell r="B198" t="str">
            <v>M/S Latif Furnitures</v>
          </cell>
          <cell r="C198">
            <v>4</v>
          </cell>
          <cell r="D198">
            <v>0</v>
          </cell>
        </row>
        <row r="199">
          <cell r="A199" t="str">
            <v>109-001-002-1088</v>
          </cell>
          <cell r="B199" t="str">
            <v>M/S Hameed Autos</v>
          </cell>
          <cell r="C199">
            <v>4</v>
          </cell>
          <cell r="D199">
            <v>0</v>
          </cell>
        </row>
        <row r="200">
          <cell r="A200" t="str">
            <v>109-001-002-1089</v>
          </cell>
          <cell r="B200" t="str">
            <v>M/S Young Autos</v>
          </cell>
          <cell r="C200">
            <v>4</v>
          </cell>
          <cell r="D200">
            <v>0</v>
          </cell>
        </row>
        <row r="201">
          <cell r="A201" t="str">
            <v>109-001-002-1091</v>
          </cell>
          <cell r="B201" t="str">
            <v>M/S 3-G Mobile Commn</v>
          </cell>
          <cell r="C201">
            <v>4</v>
          </cell>
          <cell r="D201">
            <v>0</v>
          </cell>
        </row>
        <row r="202">
          <cell r="A202" t="str">
            <v>109-001-002-1092</v>
          </cell>
          <cell r="B202" t="str">
            <v>M/S Asad Interiors</v>
          </cell>
          <cell r="C202">
            <v>4</v>
          </cell>
          <cell r="D202">
            <v>0</v>
          </cell>
        </row>
        <row r="203">
          <cell r="A203" t="str">
            <v>109-001-002-1093</v>
          </cell>
          <cell r="B203" t="str">
            <v>Mst Kishwar Masud Durrani</v>
          </cell>
          <cell r="C203">
            <v>4</v>
          </cell>
          <cell r="D203">
            <v>0</v>
          </cell>
        </row>
        <row r="204">
          <cell r="A204" t="str">
            <v>109-001-002-1094</v>
          </cell>
          <cell r="B204" t="str">
            <v>M/S Karmanwal Autos</v>
          </cell>
          <cell r="C204">
            <v>4</v>
          </cell>
          <cell r="D204">
            <v>0</v>
          </cell>
        </row>
        <row r="205">
          <cell r="A205" t="str">
            <v>109-001-002-1095</v>
          </cell>
          <cell r="B205" t="str">
            <v>M/S Infinity Motor EeeZee</v>
          </cell>
          <cell r="C205">
            <v>4</v>
          </cell>
          <cell r="D205">
            <v>0</v>
          </cell>
        </row>
        <row r="206">
          <cell r="A206" t="str">
            <v>109-001-002-1096</v>
          </cell>
          <cell r="B206" t="str">
            <v>M/S Al Madina (Closed) Engineering Wks</v>
          </cell>
          <cell r="C206">
            <v>4</v>
          </cell>
          <cell r="D206">
            <v>0</v>
          </cell>
        </row>
        <row r="207">
          <cell r="A207" t="str">
            <v>109-001-002-1097</v>
          </cell>
          <cell r="B207" t="str">
            <v>M/S Al-Hafeez Denting Wks</v>
          </cell>
          <cell r="C207">
            <v>4</v>
          </cell>
          <cell r="D207">
            <v>0</v>
          </cell>
        </row>
        <row r="208">
          <cell r="A208" t="str">
            <v>109-001-002-1098</v>
          </cell>
          <cell r="B208" t="str">
            <v>M/S Workman</v>
          </cell>
          <cell r="C208">
            <v>4</v>
          </cell>
          <cell r="D208">
            <v>0</v>
          </cell>
        </row>
        <row r="209">
          <cell r="A209" t="str">
            <v>109-001-002-1099</v>
          </cell>
          <cell r="B209" t="str">
            <v>M/S Rawal Gasco</v>
          </cell>
          <cell r="C209">
            <v>4</v>
          </cell>
          <cell r="D209">
            <v>0</v>
          </cell>
        </row>
        <row r="210">
          <cell r="A210" t="str">
            <v>109-001-002-1100</v>
          </cell>
          <cell r="B210" t="str">
            <v>M/S Kam Network &amp; Communication</v>
          </cell>
          <cell r="C210">
            <v>4</v>
          </cell>
          <cell r="D210">
            <v>0</v>
          </cell>
        </row>
        <row r="211">
          <cell r="A211" t="str">
            <v>109-001-002-1101</v>
          </cell>
          <cell r="B211" t="str">
            <v>M/S Khalid Kahairy Art Studio</v>
          </cell>
          <cell r="C211">
            <v>4</v>
          </cell>
          <cell r="D211">
            <v>0</v>
          </cell>
        </row>
        <row r="212">
          <cell r="A212" t="str">
            <v>109-001-002-1102</v>
          </cell>
          <cell r="B212" t="str">
            <v>M/S Toyota Rawal Motors</v>
          </cell>
          <cell r="C212">
            <v>4</v>
          </cell>
          <cell r="D212">
            <v>0</v>
          </cell>
        </row>
        <row r="213">
          <cell r="A213" t="str">
            <v>109-001-003-0000</v>
          </cell>
          <cell r="B213" t="str">
            <v>Creditors for Services</v>
          </cell>
          <cell r="C213">
            <v>3</v>
          </cell>
          <cell r="D213">
            <v>0</v>
          </cell>
        </row>
        <row r="214">
          <cell r="A214" t="str">
            <v>109-002-000-0000</v>
          </cell>
          <cell r="B214" t="str">
            <v>Income Tax Deducted At Source Payable</v>
          </cell>
          <cell r="C214">
            <v>2</v>
          </cell>
          <cell r="D214">
            <v>0</v>
          </cell>
        </row>
        <row r="215">
          <cell r="A215" t="str">
            <v>109-002-001-0000</v>
          </cell>
          <cell r="B215" t="str">
            <v>Creditors Road Works Income Tax Payable</v>
          </cell>
          <cell r="C215">
            <v>3</v>
          </cell>
          <cell r="D215">
            <v>0</v>
          </cell>
        </row>
        <row r="216">
          <cell r="A216" t="str">
            <v>109-002-001-1001</v>
          </cell>
          <cell r="B216" t="str">
            <v>Aamir Builders I.Tax</v>
          </cell>
          <cell r="C216">
            <v>4</v>
          </cell>
          <cell r="D216">
            <v>0</v>
          </cell>
        </row>
        <row r="217">
          <cell r="A217" t="str">
            <v>109-002-001-1002</v>
          </cell>
          <cell r="B217" t="str">
            <v>Sadat Construction Co I.Tax</v>
          </cell>
          <cell r="C217">
            <v>4</v>
          </cell>
          <cell r="D217">
            <v>0</v>
          </cell>
        </row>
        <row r="218">
          <cell r="A218" t="str">
            <v>109-002-001-1003</v>
          </cell>
          <cell r="B218" t="str">
            <v>Concrete master I.Tax</v>
          </cell>
          <cell r="C218">
            <v>4</v>
          </cell>
          <cell r="D218">
            <v>0</v>
          </cell>
        </row>
        <row r="219">
          <cell r="A219" t="str">
            <v>109-002-001-1004</v>
          </cell>
          <cell r="B219" t="str">
            <v>Crescent Associates I. Tax</v>
          </cell>
          <cell r="C219">
            <v>4</v>
          </cell>
          <cell r="D219">
            <v>0</v>
          </cell>
        </row>
        <row r="220">
          <cell r="A220" t="str">
            <v>109-002-001-1005</v>
          </cell>
          <cell r="B220" t="str">
            <v>Dynamic enterprises I.Tax</v>
          </cell>
          <cell r="C220">
            <v>4</v>
          </cell>
          <cell r="D220">
            <v>0</v>
          </cell>
        </row>
        <row r="221">
          <cell r="A221" t="str">
            <v>109-002-001-1006</v>
          </cell>
          <cell r="B221" t="str">
            <v>Foar Engineering System I.Tax</v>
          </cell>
          <cell r="C221">
            <v>4</v>
          </cell>
          <cell r="D221">
            <v>0</v>
          </cell>
        </row>
        <row r="222">
          <cell r="A222" t="str">
            <v>109-002-001-1007</v>
          </cell>
          <cell r="B222" t="str">
            <v>FRS Associates  I.Tax</v>
          </cell>
          <cell r="C222">
            <v>4</v>
          </cell>
          <cell r="D222">
            <v>0</v>
          </cell>
        </row>
        <row r="223">
          <cell r="A223" t="str">
            <v>109-002-001-1008</v>
          </cell>
          <cell r="B223" t="str">
            <v>Haidry Construction  I.Tax</v>
          </cell>
          <cell r="C223">
            <v>4</v>
          </cell>
          <cell r="D223">
            <v>0</v>
          </cell>
        </row>
        <row r="224">
          <cell r="A224" t="str">
            <v>109-002-001-1009</v>
          </cell>
          <cell r="B224" t="str">
            <v>Karcon Pvt Ltd I .Tax</v>
          </cell>
          <cell r="C224">
            <v>4</v>
          </cell>
          <cell r="D224">
            <v>0</v>
          </cell>
        </row>
        <row r="225">
          <cell r="A225" t="str">
            <v>109-002-001-1010</v>
          </cell>
          <cell r="B225" t="str">
            <v>Massed Developers I. Tax</v>
          </cell>
          <cell r="C225">
            <v>4</v>
          </cell>
          <cell r="D225">
            <v>0</v>
          </cell>
        </row>
        <row r="226">
          <cell r="A226" t="str">
            <v>109-002-001-1011</v>
          </cell>
          <cell r="B226" t="str">
            <v>Malik Ijaz Amjad I . Tax</v>
          </cell>
          <cell r="C226">
            <v>4</v>
          </cell>
          <cell r="D226">
            <v>0</v>
          </cell>
        </row>
        <row r="227">
          <cell r="A227" t="str">
            <v>109-002-001-1012</v>
          </cell>
          <cell r="B227" t="str">
            <v>Mian Muhammad Sharif  I. Tax</v>
          </cell>
          <cell r="C227">
            <v>4</v>
          </cell>
          <cell r="D227">
            <v>0</v>
          </cell>
        </row>
        <row r="228">
          <cell r="A228" t="str">
            <v>109-002-001-1013</v>
          </cell>
          <cell r="B228" t="str">
            <v>Mian Nisar and Company I.Tax</v>
          </cell>
          <cell r="C228">
            <v>4</v>
          </cell>
          <cell r="D228">
            <v>0</v>
          </cell>
        </row>
        <row r="229">
          <cell r="A229" t="str">
            <v>109-002-001-1014</v>
          </cell>
          <cell r="B229" t="str">
            <v>Platnium Enterprises I .Tax</v>
          </cell>
          <cell r="C229">
            <v>4</v>
          </cell>
          <cell r="D229">
            <v>0</v>
          </cell>
        </row>
        <row r="230">
          <cell r="A230" t="str">
            <v>109-002-001-1015</v>
          </cell>
          <cell r="B230" t="str">
            <v>Sambu Construction I. Tax</v>
          </cell>
          <cell r="C230">
            <v>4</v>
          </cell>
          <cell r="D230">
            <v>0</v>
          </cell>
        </row>
        <row r="231">
          <cell r="A231" t="str">
            <v>109-002-001-1016</v>
          </cell>
          <cell r="B231" t="str">
            <v>Signage security system I.tax</v>
          </cell>
          <cell r="C231">
            <v>4</v>
          </cell>
          <cell r="D231">
            <v>0</v>
          </cell>
        </row>
        <row r="232">
          <cell r="A232" t="str">
            <v>109-002-001-1017</v>
          </cell>
          <cell r="B232" t="str">
            <v>Syed sultan saeed I.Tax</v>
          </cell>
          <cell r="C232">
            <v>4</v>
          </cell>
          <cell r="D232">
            <v>0</v>
          </cell>
        </row>
        <row r="233">
          <cell r="A233" t="str">
            <v>109-002-001-1018</v>
          </cell>
          <cell r="B233" t="str">
            <v>SASA International I.Tax</v>
          </cell>
          <cell r="C233">
            <v>4</v>
          </cell>
          <cell r="D233">
            <v>0</v>
          </cell>
        </row>
        <row r="234">
          <cell r="A234" t="str">
            <v>109-002-001-1019</v>
          </cell>
          <cell r="B234" t="str">
            <v>Swift Services I. Tax</v>
          </cell>
          <cell r="C234">
            <v>4</v>
          </cell>
          <cell r="D234">
            <v>0</v>
          </cell>
        </row>
        <row r="235">
          <cell r="A235" t="str">
            <v>109-002-001-1020</v>
          </cell>
          <cell r="B235" t="str">
            <v>Tyco Integrated System I. Tax</v>
          </cell>
          <cell r="C235">
            <v>4</v>
          </cell>
          <cell r="D235">
            <v>0</v>
          </cell>
        </row>
        <row r="236">
          <cell r="A236" t="str">
            <v>109-002-001-1021</v>
          </cell>
          <cell r="B236" t="str">
            <v>Nadir Construction Company I. Tax</v>
          </cell>
          <cell r="C236">
            <v>4</v>
          </cell>
          <cell r="D236">
            <v>0</v>
          </cell>
        </row>
        <row r="237">
          <cell r="A237" t="str">
            <v>109-002-001-1022</v>
          </cell>
          <cell r="B237" t="str">
            <v>Zahir Khan and Brothers I. Tax</v>
          </cell>
          <cell r="C237">
            <v>4</v>
          </cell>
          <cell r="D237">
            <v>0</v>
          </cell>
        </row>
        <row r="238">
          <cell r="A238" t="str">
            <v>109-002-001-1023</v>
          </cell>
          <cell r="B238" t="str">
            <v>Rashid Associates I.Tax</v>
          </cell>
          <cell r="C238">
            <v>4</v>
          </cell>
          <cell r="D238">
            <v>0</v>
          </cell>
        </row>
        <row r="239">
          <cell r="A239" t="str">
            <v>109-002-001-1024</v>
          </cell>
          <cell r="B239" t="str">
            <v>Science Centre I.Tax</v>
          </cell>
          <cell r="C239">
            <v>4</v>
          </cell>
          <cell r="D239">
            <v>0</v>
          </cell>
        </row>
        <row r="240">
          <cell r="A240" t="str">
            <v>109-002-001-1025</v>
          </cell>
          <cell r="B240" t="str">
            <v>Taj Muhammad Khan I.Tax</v>
          </cell>
          <cell r="C240">
            <v>4</v>
          </cell>
          <cell r="D240">
            <v>0</v>
          </cell>
        </row>
        <row r="241">
          <cell r="A241" t="str">
            <v>109-002-001-1026</v>
          </cell>
          <cell r="B241" t="str">
            <v xml:space="preserve"> Muhammad Nawaz Khan of Tala Gang I.Tax</v>
          </cell>
          <cell r="C241">
            <v>4</v>
          </cell>
          <cell r="D241">
            <v>0</v>
          </cell>
        </row>
        <row r="242">
          <cell r="A242" t="str">
            <v>109-002-001-1027</v>
          </cell>
          <cell r="B242" t="str">
            <v xml:space="preserve"> Muhammad Iftikhar Fateh Jang I.Tax</v>
          </cell>
          <cell r="C242">
            <v>4</v>
          </cell>
          <cell r="D242">
            <v>0</v>
          </cell>
        </row>
        <row r="243">
          <cell r="A243" t="str">
            <v>109-002-001-1028</v>
          </cell>
          <cell r="B243" t="str">
            <v>Fateh Muhammad Distt Chakwal I.Tax</v>
          </cell>
          <cell r="C243">
            <v>4</v>
          </cell>
          <cell r="D243">
            <v>0</v>
          </cell>
        </row>
        <row r="244">
          <cell r="A244" t="str">
            <v>109-002-001-1029</v>
          </cell>
          <cell r="B244" t="str">
            <v>Sunny Rent a Car I.Tax</v>
          </cell>
          <cell r="C244">
            <v>4</v>
          </cell>
          <cell r="D244">
            <v>0</v>
          </cell>
        </row>
        <row r="245">
          <cell r="A245" t="str">
            <v>109-002-001-1030</v>
          </cell>
          <cell r="B245" t="str">
            <v>M/S Inter City Traders I.Tax</v>
          </cell>
          <cell r="C245">
            <v>4</v>
          </cell>
          <cell r="D245">
            <v>0</v>
          </cell>
        </row>
        <row r="246">
          <cell r="A246" t="str">
            <v>109-002-001-1031</v>
          </cell>
          <cell r="B246" t="str">
            <v>M/S Muhammad Bashir I.Tax</v>
          </cell>
          <cell r="C246">
            <v>4</v>
          </cell>
          <cell r="D246">
            <v>0</v>
          </cell>
        </row>
        <row r="247">
          <cell r="A247" t="str">
            <v>109-002-001-1032</v>
          </cell>
          <cell r="B247" t="str">
            <v>XEN Wapda I.Tax</v>
          </cell>
          <cell r="C247">
            <v>4</v>
          </cell>
          <cell r="D247">
            <v>0</v>
          </cell>
        </row>
        <row r="248">
          <cell r="A248" t="str">
            <v>109-002-001-1033</v>
          </cell>
          <cell r="B248" t="str">
            <v>M/S Techman Civil Engineering I.Tax</v>
          </cell>
          <cell r="C248">
            <v>4</v>
          </cell>
          <cell r="D248">
            <v>0</v>
          </cell>
        </row>
        <row r="249">
          <cell r="A249" t="str">
            <v>109-002-001-1034</v>
          </cell>
          <cell r="B249" t="str">
            <v>M/S Syed Guftar Shah I.Tax</v>
          </cell>
          <cell r="C249">
            <v>4</v>
          </cell>
          <cell r="D249">
            <v>0</v>
          </cell>
        </row>
        <row r="250">
          <cell r="A250" t="str">
            <v>109-002-001-1035</v>
          </cell>
          <cell r="B250" t="str">
            <v>M/S Muhammad Hussain I.Tax</v>
          </cell>
          <cell r="C250">
            <v>4</v>
          </cell>
          <cell r="D250">
            <v>0</v>
          </cell>
        </row>
        <row r="251">
          <cell r="A251" t="str">
            <v>109-002-001-1036</v>
          </cell>
          <cell r="B251" t="str">
            <v>M/S Muhammad Aamir Khan I.Tax</v>
          </cell>
          <cell r="C251">
            <v>4</v>
          </cell>
          <cell r="D251">
            <v>0</v>
          </cell>
        </row>
        <row r="252">
          <cell r="A252" t="str">
            <v>109-002-001-1037</v>
          </cell>
          <cell r="B252" t="str">
            <v>M/S Muhammad Zaib I.Tax</v>
          </cell>
          <cell r="C252">
            <v>4</v>
          </cell>
          <cell r="D252">
            <v>0</v>
          </cell>
        </row>
        <row r="253">
          <cell r="A253" t="str">
            <v>109-002-001-1039</v>
          </cell>
          <cell r="B253" t="str">
            <v>Naib Subedar Muh Aslam I.Tax</v>
          </cell>
          <cell r="C253">
            <v>4</v>
          </cell>
          <cell r="D253">
            <v>0</v>
          </cell>
        </row>
        <row r="254">
          <cell r="A254" t="str">
            <v>109-002-001-1040</v>
          </cell>
          <cell r="B254" t="str">
            <v>Hav Steno Nisar Ahmad I.Tax</v>
          </cell>
          <cell r="C254">
            <v>4</v>
          </cell>
          <cell r="D254">
            <v>0</v>
          </cell>
        </row>
        <row r="255">
          <cell r="A255" t="str">
            <v>109-002-001-1041</v>
          </cell>
          <cell r="B255" t="str">
            <v>PTCL Contractors I.Tax</v>
          </cell>
          <cell r="C255">
            <v>4</v>
          </cell>
          <cell r="D255">
            <v>0</v>
          </cell>
        </row>
        <row r="256">
          <cell r="A256" t="str">
            <v>109-002-001-1043</v>
          </cell>
          <cell r="B256" t="str">
            <v>Project KRAC Ware house Mandra I.Tax</v>
          </cell>
          <cell r="C256">
            <v>4</v>
          </cell>
          <cell r="D256">
            <v>0</v>
          </cell>
        </row>
        <row r="257">
          <cell r="A257" t="str">
            <v>109-002-001-1045</v>
          </cell>
          <cell r="B257" t="str">
            <v>M/S Highway contractors I.Tax</v>
          </cell>
          <cell r="C257">
            <v>4</v>
          </cell>
          <cell r="D257">
            <v>0</v>
          </cell>
        </row>
        <row r="258">
          <cell r="A258" t="str">
            <v>109-002-001-1046</v>
          </cell>
          <cell r="B258" t="str">
            <v>M/S Muhammad Azam &amp; Brothers &amp; I.Tax</v>
          </cell>
          <cell r="C258">
            <v>4</v>
          </cell>
          <cell r="D258">
            <v>0</v>
          </cell>
        </row>
        <row r="259">
          <cell r="A259" t="str">
            <v>109-002-001-1047</v>
          </cell>
          <cell r="B259" t="str">
            <v>M/S MRRP I.Tax</v>
          </cell>
          <cell r="C259">
            <v>4</v>
          </cell>
          <cell r="D259">
            <v>0</v>
          </cell>
        </row>
        <row r="260">
          <cell r="A260" t="str">
            <v>109-002-001-1048</v>
          </cell>
          <cell r="B260" t="str">
            <v>M/S Technoline I.Tax</v>
          </cell>
          <cell r="C260">
            <v>4</v>
          </cell>
          <cell r="D260">
            <v>0</v>
          </cell>
        </row>
        <row r="261">
          <cell r="A261" t="str">
            <v>109-002-001-1049</v>
          </cell>
          <cell r="B261" t="str">
            <v>M/S J&amp; W I.Tax</v>
          </cell>
          <cell r="C261">
            <v>4</v>
          </cell>
          <cell r="D261">
            <v>0</v>
          </cell>
        </row>
        <row r="262">
          <cell r="A262" t="str">
            <v>109-002-001-1050</v>
          </cell>
          <cell r="B262" t="str">
            <v>M/S Asad Rameez I.Tax</v>
          </cell>
          <cell r="C262">
            <v>4</v>
          </cell>
          <cell r="D262">
            <v>0</v>
          </cell>
        </row>
        <row r="263">
          <cell r="A263" t="str">
            <v>109-002-001-1051</v>
          </cell>
          <cell r="B263" t="str">
            <v>M/S Saleem &amp; Brothers I.tax</v>
          </cell>
          <cell r="C263">
            <v>4</v>
          </cell>
          <cell r="D263">
            <v>0</v>
          </cell>
        </row>
        <row r="264">
          <cell r="A264" t="str">
            <v>109-002-001-1052</v>
          </cell>
          <cell r="B264" t="str">
            <v>M/S Syed Associates I.tax</v>
          </cell>
          <cell r="C264">
            <v>4</v>
          </cell>
          <cell r="D264">
            <v>0</v>
          </cell>
        </row>
        <row r="265">
          <cell r="A265" t="str">
            <v>109-002-001-1054</v>
          </cell>
          <cell r="B265" t="str">
            <v>M/S Tripple M Enterprises I.Tax</v>
          </cell>
          <cell r="C265">
            <v>4</v>
          </cell>
          <cell r="D265">
            <v>0</v>
          </cell>
        </row>
        <row r="266">
          <cell r="A266" t="str">
            <v>109-002-001-1055</v>
          </cell>
          <cell r="B266" t="str">
            <v>M/S Swayra Enterprises I.Tax</v>
          </cell>
          <cell r="C266">
            <v>4</v>
          </cell>
          <cell r="D266">
            <v>0</v>
          </cell>
        </row>
        <row r="267">
          <cell r="A267" t="str">
            <v>109-002-001-1056</v>
          </cell>
          <cell r="B267" t="str">
            <v>M/S Foar Road Marking I.Tax</v>
          </cell>
          <cell r="C267">
            <v>4</v>
          </cell>
          <cell r="D267">
            <v>0</v>
          </cell>
        </row>
        <row r="268">
          <cell r="A268" t="str">
            <v>109-002-001-1058</v>
          </cell>
          <cell r="B268" t="str">
            <v>M/S Javed Mumtaz (Pvt) Ltd I.tax</v>
          </cell>
          <cell r="C268">
            <v>4</v>
          </cell>
          <cell r="D268">
            <v>0</v>
          </cell>
        </row>
        <row r="269">
          <cell r="A269" t="str">
            <v>109-002-001-1059</v>
          </cell>
          <cell r="B269" t="str">
            <v>M/S Jabco (Pvt) Ltd I.tax</v>
          </cell>
          <cell r="C269">
            <v>4</v>
          </cell>
          <cell r="D269">
            <v>0</v>
          </cell>
        </row>
        <row r="270">
          <cell r="A270" t="str">
            <v>109-002-001-1060</v>
          </cell>
          <cell r="B270" t="str">
            <v>M/S Imtiaz Shahid &amp; Co I.tax</v>
          </cell>
          <cell r="C270">
            <v>4</v>
          </cell>
          <cell r="D270">
            <v>0</v>
          </cell>
        </row>
        <row r="271">
          <cell r="A271" t="str">
            <v>109-002-001-1061</v>
          </cell>
          <cell r="B271" t="str">
            <v>M/S ATM Builders I.tax</v>
          </cell>
          <cell r="C271">
            <v>4</v>
          </cell>
          <cell r="D271">
            <v>0</v>
          </cell>
        </row>
        <row r="272">
          <cell r="A272" t="str">
            <v>109-002-001-1062</v>
          </cell>
          <cell r="B272" t="str">
            <v>M/S Jabco (Pvt) Ltd I.tax</v>
          </cell>
          <cell r="C272">
            <v>4</v>
          </cell>
          <cell r="D272">
            <v>0</v>
          </cell>
        </row>
        <row r="273">
          <cell r="A273" t="str">
            <v>109-002-001-1064</v>
          </cell>
          <cell r="B273" t="str">
            <v>M/S Sajjad (Pvt) ltd I.tax</v>
          </cell>
          <cell r="C273">
            <v>4</v>
          </cell>
          <cell r="D273">
            <v>0</v>
          </cell>
        </row>
        <row r="274">
          <cell r="A274" t="str">
            <v>109-002-001-1065</v>
          </cell>
          <cell r="B274" t="str">
            <v>M/S Sky Engineers I.Tax</v>
          </cell>
          <cell r="C274">
            <v>4</v>
          </cell>
          <cell r="D274">
            <v>0</v>
          </cell>
        </row>
        <row r="275">
          <cell r="A275" t="str">
            <v>109-002-001-1066</v>
          </cell>
          <cell r="B275" t="str">
            <v>M/S Eastern Highway I.Tax</v>
          </cell>
          <cell r="C275">
            <v>4</v>
          </cell>
          <cell r="D275">
            <v>0</v>
          </cell>
        </row>
        <row r="276">
          <cell r="A276" t="str">
            <v>109-002-001-1067</v>
          </cell>
          <cell r="B276" t="str">
            <v>M/S Yar Muhammad Khattak I.Tax</v>
          </cell>
          <cell r="C276">
            <v>4</v>
          </cell>
          <cell r="D276">
            <v>0</v>
          </cell>
        </row>
        <row r="277">
          <cell r="A277" t="str">
            <v>109-002-001-1069</v>
          </cell>
          <cell r="B277" t="str">
            <v>M/S Sadaat Enterprises I.Tax</v>
          </cell>
          <cell r="C277">
            <v>4</v>
          </cell>
          <cell r="D277">
            <v>0</v>
          </cell>
        </row>
        <row r="278">
          <cell r="A278" t="str">
            <v>109-002-001-1070</v>
          </cell>
          <cell r="B278" t="str">
            <v>M/S Shad Khan &amp; Sons I.Tax</v>
          </cell>
          <cell r="C278">
            <v>4</v>
          </cell>
          <cell r="D278">
            <v>0</v>
          </cell>
        </row>
        <row r="279">
          <cell r="A279" t="str">
            <v>109-002-001-1071</v>
          </cell>
          <cell r="B279" t="str">
            <v>M/S Amir Iqbal &amp; Co. I.Tax</v>
          </cell>
          <cell r="C279">
            <v>4</v>
          </cell>
          <cell r="D279">
            <v>0</v>
          </cell>
        </row>
        <row r="280">
          <cell r="A280" t="str">
            <v>109-002-001-1072</v>
          </cell>
          <cell r="B280" t="str">
            <v>M/S Ascent Associates I.Tax</v>
          </cell>
          <cell r="C280">
            <v>4</v>
          </cell>
          <cell r="D280">
            <v>0</v>
          </cell>
        </row>
        <row r="281">
          <cell r="A281" t="str">
            <v>109-002-001-1073</v>
          </cell>
          <cell r="B281" t="str">
            <v>M/S Omer Farooq Co. I.Tax</v>
          </cell>
          <cell r="C281">
            <v>4</v>
          </cell>
          <cell r="D281">
            <v>0</v>
          </cell>
        </row>
        <row r="282">
          <cell r="A282" t="str">
            <v>109-002-002-0000</v>
          </cell>
          <cell r="B282" t="str">
            <v>Creditors Construction Material Income Tax Payable</v>
          </cell>
          <cell r="C282">
            <v>3</v>
          </cell>
          <cell r="D282">
            <v>0</v>
          </cell>
        </row>
        <row r="283">
          <cell r="A283" t="str">
            <v>109-002-002-1001</v>
          </cell>
          <cell r="B283" t="str">
            <v>Al- maqsoom Traders I. Tax</v>
          </cell>
          <cell r="C283">
            <v>4</v>
          </cell>
          <cell r="D283">
            <v>0</v>
          </cell>
        </row>
        <row r="284">
          <cell r="A284" t="str">
            <v>109-002-002-1002</v>
          </cell>
          <cell r="B284" t="str">
            <v>Adnan Stationery I. Tax</v>
          </cell>
          <cell r="C284">
            <v>4</v>
          </cell>
          <cell r="D284">
            <v>0</v>
          </cell>
        </row>
        <row r="285">
          <cell r="A285" t="str">
            <v>109-002-002-1003</v>
          </cell>
          <cell r="B285" t="str">
            <v>All Pakistan machinery I. Tax</v>
          </cell>
          <cell r="C285">
            <v>4</v>
          </cell>
          <cell r="D285">
            <v>0</v>
          </cell>
        </row>
        <row r="286">
          <cell r="A286" t="str">
            <v>109-002-002-1004</v>
          </cell>
          <cell r="B286" t="str">
            <v>Closed Awais Aluminium I. Tax</v>
          </cell>
          <cell r="C286">
            <v>4</v>
          </cell>
          <cell r="D286">
            <v>0</v>
          </cell>
        </row>
        <row r="287">
          <cell r="A287" t="str">
            <v>109-002-002-1005</v>
          </cell>
          <cell r="B287" t="str">
            <v>Asghar ali Shah I. Tax</v>
          </cell>
          <cell r="C287">
            <v>4</v>
          </cell>
          <cell r="D287">
            <v>0</v>
          </cell>
        </row>
        <row r="288">
          <cell r="A288" t="str">
            <v>109-002-002-1006</v>
          </cell>
          <cell r="B288" t="str">
            <v>Spinzer Ashain Rwp I. Tax</v>
          </cell>
          <cell r="C288">
            <v>4</v>
          </cell>
          <cell r="D288">
            <v>0</v>
          </cell>
        </row>
        <row r="289">
          <cell r="A289" t="str">
            <v>109-002-002-1007</v>
          </cell>
          <cell r="B289" t="str">
            <v>Syed Shujahat Hussian I. Tax</v>
          </cell>
          <cell r="C289">
            <v>4</v>
          </cell>
          <cell r="D289">
            <v>0</v>
          </cell>
        </row>
        <row r="290">
          <cell r="A290" t="str">
            <v>109-002-002-1008</v>
          </cell>
          <cell r="B290" t="str">
            <v>Drawing &amp; survey I. Tax</v>
          </cell>
          <cell r="C290">
            <v>4</v>
          </cell>
          <cell r="D290">
            <v>0</v>
          </cell>
        </row>
        <row r="291">
          <cell r="A291" t="str">
            <v>109-002-002-1009</v>
          </cell>
          <cell r="B291" t="str">
            <v>Flash Technologies I. Tax</v>
          </cell>
          <cell r="C291">
            <v>4</v>
          </cell>
          <cell r="D291">
            <v>0</v>
          </cell>
        </row>
        <row r="292">
          <cell r="A292" t="str">
            <v>109-002-002-1010</v>
          </cell>
          <cell r="B292" t="str">
            <v>Gul Jan I. Tax</v>
          </cell>
          <cell r="C292">
            <v>4</v>
          </cell>
          <cell r="D292">
            <v>0</v>
          </cell>
        </row>
        <row r="293">
          <cell r="A293" t="str">
            <v>109-002-002-1011</v>
          </cell>
          <cell r="B293" t="str">
            <v>Hayat ullah &amp; sons I. Tax</v>
          </cell>
          <cell r="C293">
            <v>4</v>
          </cell>
          <cell r="D293">
            <v>0</v>
          </cell>
        </row>
        <row r="294">
          <cell r="A294" t="str">
            <v>109-002-002-1012</v>
          </cell>
          <cell r="B294" t="str">
            <v>Hanif Agencies I. Tax</v>
          </cell>
          <cell r="C294">
            <v>4</v>
          </cell>
          <cell r="D294">
            <v>0</v>
          </cell>
        </row>
        <row r="295">
          <cell r="A295" t="str">
            <v>109-002-002-1013</v>
          </cell>
          <cell r="B295" t="str">
            <v>Islamabad Auto I. Tax</v>
          </cell>
          <cell r="C295">
            <v>4</v>
          </cell>
          <cell r="D295">
            <v>0</v>
          </cell>
        </row>
        <row r="296">
          <cell r="A296" t="str">
            <v>109-002-002-1014</v>
          </cell>
          <cell r="B296" t="str">
            <v>Junaid Autos I. Tax</v>
          </cell>
          <cell r="C296">
            <v>4</v>
          </cell>
          <cell r="D296">
            <v>0</v>
          </cell>
        </row>
        <row r="297">
          <cell r="A297" t="str">
            <v>109-002-002-1015</v>
          </cell>
          <cell r="B297" t="str">
            <v>Khan Badshah I. Tax</v>
          </cell>
          <cell r="C297">
            <v>4</v>
          </cell>
          <cell r="D297">
            <v>0</v>
          </cell>
        </row>
        <row r="298">
          <cell r="A298" t="str">
            <v>109-002-002-1016</v>
          </cell>
          <cell r="B298" t="str">
            <v>Mir Brothers I. Tax</v>
          </cell>
          <cell r="C298">
            <v>4</v>
          </cell>
          <cell r="D298">
            <v>0</v>
          </cell>
        </row>
        <row r="299">
          <cell r="A299" t="str">
            <v>109-002-002-1017</v>
          </cell>
          <cell r="B299" t="str">
            <v>Mirza old engineering stores I. Tax</v>
          </cell>
          <cell r="C299">
            <v>4</v>
          </cell>
          <cell r="D299">
            <v>0</v>
          </cell>
        </row>
        <row r="300">
          <cell r="A300" t="str">
            <v>109-002-002-1018</v>
          </cell>
          <cell r="B300" t="str">
            <v>Muh shah &amp; sons I. Tax</v>
          </cell>
          <cell r="C300">
            <v>4</v>
          </cell>
          <cell r="D300">
            <v>0</v>
          </cell>
        </row>
        <row r="301">
          <cell r="A301" t="str">
            <v>109-002-002-1019</v>
          </cell>
          <cell r="B301" t="str">
            <v>Margallah Stone Crusher I.Tax</v>
          </cell>
          <cell r="C301">
            <v>4</v>
          </cell>
          <cell r="D301">
            <v>0</v>
          </cell>
        </row>
        <row r="302">
          <cell r="A302" t="str">
            <v>109-002-002-1020</v>
          </cell>
          <cell r="B302" t="str">
            <v>Minhattan Pahnta (pvt) Ltd I. Tax</v>
          </cell>
          <cell r="C302">
            <v>4</v>
          </cell>
          <cell r="D302">
            <v>0</v>
          </cell>
        </row>
        <row r="303">
          <cell r="A303" t="str">
            <v>109-002-002-1021</v>
          </cell>
          <cell r="B303" t="str">
            <v>Naimat Agencies I. Tax</v>
          </cell>
          <cell r="C303">
            <v>4</v>
          </cell>
          <cell r="D303">
            <v>0</v>
          </cell>
        </row>
        <row r="304">
          <cell r="A304" t="str">
            <v>109-002-002-1022</v>
          </cell>
          <cell r="B304" t="str">
            <v>Potohar Autos I. Tax</v>
          </cell>
          <cell r="C304">
            <v>4</v>
          </cell>
          <cell r="D304">
            <v>0</v>
          </cell>
        </row>
        <row r="305">
          <cell r="A305" t="str">
            <v>109-002-002-1023</v>
          </cell>
          <cell r="B305" t="str">
            <v>Petronet Pakistan I. Tax</v>
          </cell>
          <cell r="C305">
            <v>4</v>
          </cell>
          <cell r="D305">
            <v>0</v>
          </cell>
        </row>
        <row r="306">
          <cell r="A306" t="str">
            <v>109-002-002-1024</v>
          </cell>
          <cell r="B306" t="str">
            <v>Photohar Stone Crusher I. Tax</v>
          </cell>
          <cell r="C306">
            <v>4</v>
          </cell>
          <cell r="D306">
            <v>0</v>
          </cell>
        </row>
        <row r="307">
          <cell r="A307" t="str">
            <v>109-002-002-1025</v>
          </cell>
          <cell r="B307" t="str">
            <v>Malik Steel Works I.Tax</v>
          </cell>
          <cell r="C307">
            <v>4</v>
          </cell>
          <cell r="D307">
            <v>0</v>
          </cell>
        </row>
        <row r="308">
          <cell r="A308" t="str">
            <v>109-002-002-1026</v>
          </cell>
          <cell r="B308" t="str">
            <v>S.A.S Metals I. Tax</v>
          </cell>
          <cell r="C308">
            <v>4</v>
          </cell>
          <cell r="D308">
            <v>0</v>
          </cell>
        </row>
        <row r="309">
          <cell r="A309" t="str">
            <v>109-002-002-1027</v>
          </cell>
          <cell r="B309" t="str">
            <v>Sangjani Asphalt Plant I.Tax</v>
          </cell>
          <cell r="C309">
            <v>4</v>
          </cell>
          <cell r="D309">
            <v>0</v>
          </cell>
        </row>
        <row r="310">
          <cell r="A310" t="str">
            <v>109-002-002-1028</v>
          </cell>
          <cell r="B310" t="str">
            <v>Zia Auctioner I.Tax</v>
          </cell>
          <cell r="C310">
            <v>4</v>
          </cell>
          <cell r="D310">
            <v>0</v>
          </cell>
        </row>
        <row r="311">
          <cell r="A311" t="str">
            <v>109-002-002-1029</v>
          </cell>
          <cell r="B311" t="str">
            <v>Pak Steel I.Tax</v>
          </cell>
          <cell r="C311">
            <v>4</v>
          </cell>
          <cell r="D311">
            <v>0</v>
          </cell>
        </row>
        <row r="312">
          <cell r="A312" t="str">
            <v>109-002-002-1030</v>
          </cell>
          <cell r="B312" t="str">
            <v>Printing Press CMTI  Inc.Tax</v>
          </cell>
          <cell r="C312">
            <v>4</v>
          </cell>
          <cell r="D312">
            <v>0</v>
          </cell>
        </row>
        <row r="313">
          <cell r="A313" t="str">
            <v>109-002-002-1031</v>
          </cell>
          <cell r="B313" t="str">
            <v>Muhammad Zulfiqar I.Tax</v>
          </cell>
          <cell r="C313">
            <v>4</v>
          </cell>
          <cell r="D313">
            <v>0</v>
          </cell>
        </row>
        <row r="314">
          <cell r="A314" t="str">
            <v>109-002-002-1032</v>
          </cell>
          <cell r="B314" t="str">
            <v>Bismillah Kahn I.Tax</v>
          </cell>
          <cell r="C314">
            <v>4</v>
          </cell>
          <cell r="D314">
            <v>0</v>
          </cell>
        </row>
        <row r="315">
          <cell r="A315" t="str">
            <v>109-002-002-1033</v>
          </cell>
          <cell r="B315" t="str">
            <v>Executive Engineering Machinery I.Tax</v>
          </cell>
          <cell r="C315">
            <v>4</v>
          </cell>
          <cell r="D315">
            <v>0</v>
          </cell>
        </row>
        <row r="316">
          <cell r="A316" t="str">
            <v>109-002-002-1034</v>
          </cell>
          <cell r="B316" t="str">
            <v>Royal Scientific Store I.Tax</v>
          </cell>
          <cell r="C316">
            <v>4</v>
          </cell>
          <cell r="D316">
            <v>0</v>
          </cell>
        </row>
        <row r="317">
          <cell r="A317" t="str">
            <v>109-002-002-1035</v>
          </cell>
          <cell r="B317" t="str">
            <v>Nationall Scientific Store. I .Tax</v>
          </cell>
          <cell r="C317">
            <v>4</v>
          </cell>
          <cell r="D317">
            <v>0</v>
          </cell>
        </row>
        <row r="318">
          <cell r="A318" t="str">
            <v>109-002-002-1036</v>
          </cell>
          <cell r="B318" t="str">
            <v>M/S Qazi Ghee I.Tax</v>
          </cell>
          <cell r="C318">
            <v>4</v>
          </cell>
          <cell r="D318">
            <v>0</v>
          </cell>
        </row>
        <row r="319">
          <cell r="A319" t="str">
            <v>109-002-002-1037</v>
          </cell>
          <cell r="B319" t="str">
            <v>M/S Muhammad Latif I.Tax</v>
          </cell>
          <cell r="C319">
            <v>4</v>
          </cell>
          <cell r="D319">
            <v>0</v>
          </cell>
        </row>
        <row r="320">
          <cell r="A320" t="str">
            <v>109-002-002-1038</v>
          </cell>
          <cell r="B320" t="str">
            <v>M/S Zafer Ullah</v>
          </cell>
          <cell r="C320">
            <v>4</v>
          </cell>
          <cell r="D320">
            <v>0</v>
          </cell>
        </row>
        <row r="321">
          <cell r="A321" t="str">
            <v>109-002-002-1039</v>
          </cell>
          <cell r="B321" t="str">
            <v>M/S Spinzer I.Tax</v>
          </cell>
          <cell r="C321">
            <v>4</v>
          </cell>
          <cell r="D321">
            <v>0</v>
          </cell>
        </row>
        <row r="322">
          <cell r="A322" t="str">
            <v>109-002-002-1040</v>
          </cell>
          <cell r="B322" t="str">
            <v>M/S Ali Associates I.Tax</v>
          </cell>
          <cell r="C322">
            <v>4</v>
          </cell>
          <cell r="D322">
            <v>0</v>
          </cell>
        </row>
        <row r="323">
          <cell r="A323" t="str">
            <v>109-002-002-1041</v>
          </cell>
          <cell r="B323" t="str">
            <v>M/S Muh Yousaf I.Tax</v>
          </cell>
          <cell r="C323">
            <v>4</v>
          </cell>
          <cell r="D323">
            <v>0</v>
          </cell>
        </row>
        <row r="324">
          <cell r="A324" t="str">
            <v>109-002-002-1042</v>
          </cell>
          <cell r="B324" t="str">
            <v>M/S Ali Khan I.Tax</v>
          </cell>
          <cell r="C324">
            <v>4</v>
          </cell>
          <cell r="D324">
            <v>0</v>
          </cell>
        </row>
        <row r="325">
          <cell r="A325" t="str">
            <v>109-002-002-1044</v>
          </cell>
          <cell r="B325" t="str">
            <v>M/S Super Punjab Tents I.Tax</v>
          </cell>
          <cell r="C325">
            <v>4</v>
          </cell>
          <cell r="D325">
            <v>0</v>
          </cell>
        </row>
        <row r="326">
          <cell r="A326" t="str">
            <v>109-002-002-1045</v>
          </cell>
          <cell r="B326" t="str">
            <v>M/S Ahmed Auots.I.Tax</v>
          </cell>
          <cell r="C326">
            <v>4</v>
          </cell>
          <cell r="D326">
            <v>0</v>
          </cell>
        </row>
        <row r="327">
          <cell r="A327" t="str">
            <v>109-002-002-1046</v>
          </cell>
          <cell r="B327" t="str">
            <v>M/S Akash Builders.I.Tax</v>
          </cell>
          <cell r="C327">
            <v>4</v>
          </cell>
          <cell r="D327">
            <v>0</v>
          </cell>
        </row>
        <row r="328">
          <cell r="A328" t="str">
            <v>109-002-002-1047</v>
          </cell>
          <cell r="B328" t="str">
            <v>M/S Muneeb Computers I.Tax</v>
          </cell>
          <cell r="C328">
            <v>4</v>
          </cell>
          <cell r="D328">
            <v>0</v>
          </cell>
        </row>
        <row r="329">
          <cell r="A329" t="str">
            <v>109-002-002-1048</v>
          </cell>
          <cell r="B329" t="str">
            <v>M/S Mughal Supersave I.Tax</v>
          </cell>
          <cell r="C329">
            <v>4</v>
          </cell>
          <cell r="D329">
            <v>0</v>
          </cell>
        </row>
        <row r="330">
          <cell r="A330" t="str">
            <v>109-002-002-1049</v>
          </cell>
          <cell r="B330" t="str">
            <v>M/S Al-Madina Engineering Works I.Tax</v>
          </cell>
          <cell r="C330">
            <v>4</v>
          </cell>
          <cell r="D330">
            <v>0</v>
          </cell>
        </row>
        <row r="331">
          <cell r="A331" t="str">
            <v>109-002-002-1050</v>
          </cell>
          <cell r="B331" t="str">
            <v>M/S Salahuddin Diesel Service I.Tax</v>
          </cell>
          <cell r="C331">
            <v>4</v>
          </cell>
          <cell r="D331">
            <v>0</v>
          </cell>
        </row>
        <row r="332">
          <cell r="A332" t="str">
            <v>109-002-002-1051</v>
          </cell>
          <cell r="B332" t="str">
            <v>M/S Toyota Centre I.Tax</v>
          </cell>
          <cell r="C332">
            <v>4</v>
          </cell>
          <cell r="D332">
            <v>0</v>
          </cell>
        </row>
        <row r="333">
          <cell r="A333" t="str">
            <v>109-002-002-1052</v>
          </cell>
          <cell r="B333" t="str">
            <v>M/S Kamboh Engineering Intl I.Tax</v>
          </cell>
          <cell r="C333">
            <v>4</v>
          </cell>
          <cell r="D333">
            <v>0</v>
          </cell>
        </row>
        <row r="334">
          <cell r="A334" t="str">
            <v>109-002-002-1053</v>
          </cell>
          <cell r="B334" t="str">
            <v>M/S H &amp; M Engineering Works I.Tax</v>
          </cell>
          <cell r="C334">
            <v>4</v>
          </cell>
          <cell r="D334">
            <v>0</v>
          </cell>
        </row>
        <row r="335">
          <cell r="A335" t="str">
            <v>109-002-002-1054</v>
          </cell>
          <cell r="B335" t="str">
            <v>M/S A &amp; A Enterprises I.Tax</v>
          </cell>
          <cell r="C335">
            <v>4</v>
          </cell>
          <cell r="D335">
            <v>0</v>
          </cell>
        </row>
        <row r="336">
          <cell r="A336" t="str">
            <v>109-002-002-1055</v>
          </cell>
          <cell r="B336" t="str">
            <v>M/S Haq Char Yaar I.tax</v>
          </cell>
          <cell r="C336">
            <v>4</v>
          </cell>
          <cell r="D336">
            <v>0</v>
          </cell>
        </row>
        <row r="337">
          <cell r="A337" t="str">
            <v>109-002-002-1056</v>
          </cell>
          <cell r="B337" t="str">
            <v>M/S Friends Associates I.tax</v>
          </cell>
          <cell r="C337">
            <v>4</v>
          </cell>
          <cell r="D337">
            <v>0</v>
          </cell>
        </row>
        <row r="338">
          <cell r="A338" t="str">
            <v>109-002-002-1057</v>
          </cell>
          <cell r="B338" t="str">
            <v>M/S Abdul Khaliq Khan I.Tax</v>
          </cell>
          <cell r="C338">
            <v>4</v>
          </cell>
          <cell r="D338">
            <v>0</v>
          </cell>
        </row>
        <row r="339">
          <cell r="A339" t="str">
            <v>109-002-002-1058</v>
          </cell>
          <cell r="B339" t="str">
            <v>M/S Al-Ghosia I.Tax</v>
          </cell>
          <cell r="C339">
            <v>4</v>
          </cell>
          <cell r="D339">
            <v>0</v>
          </cell>
        </row>
        <row r="340">
          <cell r="A340" t="str">
            <v>109-002-002-1059</v>
          </cell>
          <cell r="B340" t="str">
            <v>M/S Wasim Stationers I.tax</v>
          </cell>
          <cell r="C340">
            <v>4</v>
          </cell>
          <cell r="D340">
            <v>0</v>
          </cell>
        </row>
        <row r="341">
          <cell r="A341" t="str">
            <v>109-002-002-1060</v>
          </cell>
          <cell r="B341" t="str">
            <v>M/S Sarfraz  Khan I.tax</v>
          </cell>
          <cell r="C341">
            <v>4</v>
          </cell>
          <cell r="D341">
            <v>0</v>
          </cell>
        </row>
        <row r="342">
          <cell r="A342" t="str">
            <v>109-002-002-1061</v>
          </cell>
          <cell r="B342" t="str">
            <v>M/S Spinzer I.Tax</v>
          </cell>
          <cell r="C342">
            <v>4</v>
          </cell>
          <cell r="D342">
            <v>0</v>
          </cell>
        </row>
        <row r="343">
          <cell r="A343" t="str">
            <v>109-002-002-1062</v>
          </cell>
          <cell r="B343" t="str">
            <v>M/S Maj (R) Nisar I.Tax</v>
          </cell>
          <cell r="C343">
            <v>4</v>
          </cell>
          <cell r="D343">
            <v>0</v>
          </cell>
        </row>
        <row r="344">
          <cell r="A344" t="str">
            <v>109-002-002-1063</v>
          </cell>
          <cell r="B344" t="str">
            <v>M/S Behran Khan I.tax</v>
          </cell>
          <cell r="C344">
            <v>4</v>
          </cell>
          <cell r="D344">
            <v>0</v>
          </cell>
        </row>
        <row r="345">
          <cell r="A345" t="str">
            <v>109-002-002-1064</v>
          </cell>
          <cell r="B345" t="str">
            <v>M/S Safe Co. I.Tax</v>
          </cell>
          <cell r="C345">
            <v>4</v>
          </cell>
          <cell r="D345">
            <v>0</v>
          </cell>
        </row>
        <row r="346">
          <cell r="A346" t="str">
            <v>109-002-002-1065</v>
          </cell>
          <cell r="B346" t="str">
            <v>M/S Photohar Autos .I.Tax</v>
          </cell>
          <cell r="C346">
            <v>4</v>
          </cell>
          <cell r="D346">
            <v>0</v>
          </cell>
        </row>
        <row r="347">
          <cell r="A347" t="str">
            <v>109-002-002-1066</v>
          </cell>
          <cell r="B347" t="str">
            <v>M/S Haji Muh Munir I.Tax</v>
          </cell>
          <cell r="C347">
            <v>4</v>
          </cell>
          <cell r="D347">
            <v>0</v>
          </cell>
        </row>
        <row r="348">
          <cell r="A348" t="str">
            <v>109-002-002-1067</v>
          </cell>
          <cell r="B348" t="str">
            <v>M/S Bazl ul jehood I.tax</v>
          </cell>
          <cell r="C348">
            <v>4</v>
          </cell>
          <cell r="D348">
            <v>0</v>
          </cell>
        </row>
        <row r="349">
          <cell r="A349" t="str">
            <v>109-002-002-1068</v>
          </cell>
          <cell r="B349" t="str">
            <v>M/S Regent Computers I.tax</v>
          </cell>
          <cell r="C349">
            <v>4</v>
          </cell>
          <cell r="D349">
            <v>0</v>
          </cell>
        </row>
        <row r="350">
          <cell r="A350" t="str">
            <v>109-002-002-1069</v>
          </cell>
          <cell r="B350" t="str">
            <v>M/S Abdul Razaq &amp; Co. I.tax</v>
          </cell>
          <cell r="C350">
            <v>4</v>
          </cell>
          <cell r="D350">
            <v>0</v>
          </cell>
        </row>
        <row r="351">
          <cell r="A351" t="str">
            <v>109-002-002-1070</v>
          </cell>
          <cell r="B351" t="str">
            <v>M/S Furnitures I.tax</v>
          </cell>
          <cell r="C351">
            <v>4</v>
          </cell>
          <cell r="D351">
            <v>0</v>
          </cell>
        </row>
        <row r="352">
          <cell r="A352" t="str">
            <v>109-002-002-1071</v>
          </cell>
          <cell r="B352" t="str">
            <v>M/S National Machinery Store I.tax</v>
          </cell>
          <cell r="C352">
            <v>4</v>
          </cell>
          <cell r="D352">
            <v>0</v>
          </cell>
        </row>
        <row r="353">
          <cell r="A353" t="str">
            <v>109-002-002-1072</v>
          </cell>
          <cell r="B353" t="str">
            <v>M/S Various dealers I.tax</v>
          </cell>
          <cell r="C353">
            <v>4</v>
          </cell>
          <cell r="D353">
            <v>0</v>
          </cell>
        </row>
        <row r="354">
          <cell r="A354" t="str">
            <v>109-002-002-1074</v>
          </cell>
          <cell r="B354" t="str">
            <v>M/S Juma Khan I.Tax</v>
          </cell>
          <cell r="C354">
            <v>4</v>
          </cell>
          <cell r="D354">
            <v>0</v>
          </cell>
        </row>
        <row r="355">
          <cell r="A355" t="str">
            <v>109-002-002-1075</v>
          </cell>
          <cell r="B355" t="str">
            <v>M/S Naveed Associates I.tax</v>
          </cell>
          <cell r="C355">
            <v>4</v>
          </cell>
          <cell r="D355">
            <v>0</v>
          </cell>
        </row>
        <row r="356">
          <cell r="A356" t="str">
            <v>109-002-002-1076</v>
          </cell>
          <cell r="B356" t="str">
            <v>M/S Machine Traders I.Tax</v>
          </cell>
          <cell r="C356">
            <v>4</v>
          </cell>
          <cell r="D356">
            <v>0</v>
          </cell>
        </row>
        <row r="357">
          <cell r="A357" t="str">
            <v>109-002-002-1077</v>
          </cell>
          <cell r="B357" t="str">
            <v>M/S Shahid Malik I.tax</v>
          </cell>
          <cell r="C357">
            <v>4</v>
          </cell>
          <cell r="D357">
            <v>0</v>
          </cell>
        </row>
        <row r="358">
          <cell r="A358" t="str">
            <v>109-002-002-1078</v>
          </cell>
          <cell r="B358" t="str">
            <v>M/S Haji Ice Factory I.Tax</v>
          </cell>
          <cell r="C358">
            <v>4</v>
          </cell>
          <cell r="D358">
            <v>0</v>
          </cell>
        </row>
        <row r="359">
          <cell r="A359" t="str">
            <v>109-002-002-1079</v>
          </cell>
          <cell r="B359" t="str">
            <v>M/S Safeer General Store I.Tax</v>
          </cell>
          <cell r="C359">
            <v>4</v>
          </cell>
          <cell r="D359">
            <v>0</v>
          </cell>
        </row>
        <row r="360">
          <cell r="A360" t="str">
            <v>109-002-002-1080</v>
          </cell>
          <cell r="B360" t="str">
            <v>M/S Hassan fair price I.Tax</v>
          </cell>
          <cell r="C360">
            <v>4</v>
          </cell>
          <cell r="D360">
            <v>0</v>
          </cell>
        </row>
        <row r="361">
          <cell r="A361" t="str">
            <v>109-002-002-1081</v>
          </cell>
          <cell r="B361" t="str">
            <v>Misc contractors I.Tax</v>
          </cell>
          <cell r="C361">
            <v>4</v>
          </cell>
          <cell r="D361">
            <v>0</v>
          </cell>
        </row>
        <row r="362">
          <cell r="A362" t="str">
            <v>109-002-002-1082</v>
          </cell>
          <cell r="B362" t="str">
            <v>M/S Khalil ur rehman I.tax</v>
          </cell>
          <cell r="C362">
            <v>4</v>
          </cell>
          <cell r="D362">
            <v>0</v>
          </cell>
        </row>
        <row r="363">
          <cell r="A363" t="str">
            <v>109-002-002-1083</v>
          </cell>
          <cell r="B363" t="str">
            <v>M/S Suhbat Khan I.tax</v>
          </cell>
          <cell r="C363">
            <v>4</v>
          </cell>
          <cell r="D363">
            <v>0</v>
          </cell>
        </row>
        <row r="364">
          <cell r="A364" t="str">
            <v>109-002-002-1084</v>
          </cell>
          <cell r="B364" t="str">
            <v>M/S Awais Aluminim I.Tax</v>
          </cell>
          <cell r="C364">
            <v>4</v>
          </cell>
          <cell r="D364">
            <v>0</v>
          </cell>
        </row>
        <row r="365">
          <cell r="A365" t="str">
            <v>109-002-002-1085</v>
          </cell>
          <cell r="B365" t="str">
            <v>M/S Computer House I.Tax</v>
          </cell>
          <cell r="C365">
            <v>4</v>
          </cell>
          <cell r="D365">
            <v>0</v>
          </cell>
        </row>
        <row r="366">
          <cell r="A366" t="str">
            <v>109-002-002-1086</v>
          </cell>
          <cell r="B366" t="str">
            <v>M/S Ijaz Autos I.Tax</v>
          </cell>
          <cell r="C366">
            <v>4</v>
          </cell>
          <cell r="D366">
            <v>0</v>
          </cell>
        </row>
        <row r="367">
          <cell r="A367" t="str">
            <v>109-002-002-1087</v>
          </cell>
          <cell r="B367" t="str">
            <v>M/S Latif Furnitures I.Tax</v>
          </cell>
          <cell r="C367">
            <v>4</v>
          </cell>
          <cell r="D367">
            <v>0</v>
          </cell>
        </row>
        <row r="368">
          <cell r="A368" t="str">
            <v>109-002-002-1088</v>
          </cell>
          <cell r="B368" t="str">
            <v>M/S Hameed Autos I.Tax</v>
          </cell>
          <cell r="C368">
            <v>4</v>
          </cell>
          <cell r="D368">
            <v>0</v>
          </cell>
        </row>
        <row r="369">
          <cell r="A369" t="str">
            <v>109-002-002-1089</v>
          </cell>
          <cell r="B369" t="str">
            <v>M/S Young Autos I.Tax</v>
          </cell>
          <cell r="C369">
            <v>4</v>
          </cell>
          <cell r="D369">
            <v>0</v>
          </cell>
        </row>
        <row r="370">
          <cell r="A370" t="str">
            <v>109-002-002-1091</v>
          </cell>
          <cell r="B370" t="str">
            <v>M/S 3-G Mobile Commn I.Tax</v>
          </cell>
          <cell r="C370">
            <v>4</v>
          </cell>
          <cell r="D370">
            <v>0</v>
          </cell>
        </row>
        <row r="371">
          <cell r="A371" t="str">
            <v>109-002-002-1092</v>
          </cell>
          <cell r="B371" t="str">
            <v>M/S Asad Interiors I.Tax</v>
          </cell>
          <cell r="C371">
            <v>4</v>
          </cell>
          <cell r="D371">
            <v>0</v>
          </cell>
        </row>
        <row r="372">
          <cell r="A372" t="str">
            <v>109-002-002-1093</v>
          </cell>
          <cell r="B372" t="str">
            <v>Mst Kishwar Masud Durrani I.Tax</v>
          </cell>
          <cell r="C372">
            <v>4</v>
          </cell>
          <cell r="D372">
            <v>0</v>
          </cell>
        </row>
        <row r="373">
          <cell r="A373" t="str">
            <v>109-002-002-1094</v>
          </cell>
          <cell r="B373" t="str">
            <v>M/S Karmanwal Autos I.Tax</v>
          </cell>
          <cell r="C373">
            <v>4</v>
          </cell>
          <cell r="D373">
            <v>0</v>
          </cell>
        </row>
        <row r="374">
          <cell r="A374" t="str">
            <v>109-002-002-1095</v>
          </cell>
          <cell r="B374" t="str">
            <v>M/S Infinity Motor EeeZee I.Tax</v>
          </cell>
          <cell r="C374">
            <v>4</v>
          </cell>
          <cell r="D374">
            <v>0</v>
          </cell>
        </row>
        <row r="375">
          <cell r="A375" t="str">
            <v>109-002-002-1096</v>
          </cell>
          <cell r="B375" t="str">
            <v>M/S Al-Medina (Closed) Engineering Wks I.Tax</v>
          </cell>
          <cell r="C375">
            <v>4</v>
          </cell>
          <cell r="D375">
            <v>0</v>
          </cell>
        </row>
        <row r="376">
          <cell r="A376" t="str">
            <v>109-002-002-1097</v>
          </cell>
          <cell r="B376" t="str">
            <v>M/S Al-Hafeez Denting Wks I.Tax</v>
          </cell>
          <cell r="C376">
            <v>4</v>
          </cell>
          <cell r="D376">
            <v>0</v>
          </cell>
        </row>
        <row r="377">
          <cell r="A377" t="str">
            <v>109-002-002-1098</v>
          </cell>
          <cell r="B377" t="str">
            <v>M/S Workman I.Tax</v>
          </cell>
          <cell r="C377">
            <v>4</v>
          </cell>
          <cell r="D377">
            <v>0</v>
          </cell>
        </row>
        <row r="378">
          <cell r="A378" t="str">
            <v>109-002-002-1099</v>
          </cell>
          <cell r="B378" t="str">
            <v>M/S Rawal Gasco I.Tax</v>
          </cell>
          <cell r="C378">
            <v>4</v>
          </cell>
          <cell r="D378">
            <v>0</v>
          </cell>
        </row>
        <row r="379">
          <cell r="A379" t="str">
            <v>109-002-002-1100</v>
          </cell>
          <cell r="B379" t="str">
            <v>M/S Kam Network &amp; Communication I.Tax</v>
          </cell>
          <cell r="C379">
            <v>4</v>
          </cell>
          <cell r="D379">
            <v>0</v>
          </cell>
        </row>
        <row r="380">
          <cell r="A380" t="str">
            <v>109-002-002-1101</v>
          </cell>
          <cell r="B380" t="str">
            <v>M/S Khalid Kahairy Art Studio I.Tax</v>
          </cell>
          <cell r="C380">
            <v>4</v>
          </cell>
          <cell r="D380">
            <v>0</v>
          </cell>
        </row>
        <row r="381">
          <cell r="A381" t="str">
            <v>109-002-002-1102</v>
          </cell>
          <cell r="B381" t="str">
            <v>M/S Toyota Rawal Motors I.Tax</v>
          </cell>
          <cell r="C381">
            <v>4</v>
          </cell>
          <cell r="D381">
            <v>0</v>
          </cell>
        </row>
        <row r="382">
          <cell r="A382" t="str">
            <v>109-002-002-1103</v>
          </cell>
          <cell r="B382" t="str">
            <v>M/S corner Autos I.Tax</v>
          </cell>
          <cell r="C382">
            <v>4</v>
          </cell>
          <cell r="D382">
            <v>0</v>
          </cell>
        </row>
        <row r="383">
          <cell r="A383" t="str">
            <v>109-002-002-1104</v>
          </cell>
          <cell r="B383" t="str">
            <v>M/S TO TO Workshop I.Tax</v>
          </cell>
          <cell r="C383">
            <v>4</v>
          </cell>
          <cell r="D383">
            <v>0</v>
          </cell>
        </row>
        <row r="384">
          <cell r="A384" t="str">
            <v>109-002-002-1105</v>
          </cell>
          <cell r="B384" t="str">
            <v>M/S FRS Associates I.Tax</v>
          </cell>
          <cell r="C384">
            <v>4</v>
          </cell>
          <cell r="D384">
            <v>0</v>
          </cell>
        </row>
        <row r="385">
          <cell r="A385" t="str">
            <v>109-002-002-1106</v>
          </cell>
          <cell r="B385" t="str">
            <v>M/S Adnan Sanitary I.Tax</v>
          </cell>
          <cell r="C385">
            <v>4</v>
          </cell>
          <cell r="D385">
            <v>0</v>
          </cell>
        </row>
        <row r="386">
          <cell r="A386" t="str">
            <v>109-002-002-1107</v>
          </cell>
          <cell r="B386" t="str">
            <v>M/S HB Computers I.Tax</v>
          </cell>
          <cell r="C386">
            <v>4</v>
          </cell>
          <cell r="D386">
            <v>0</v>
          </cell>
        </row>
        <row r="387">
          <cell r="A387" t="str">
            <v>109-002-002-1108</v>
          </cell>
          <cell r="B387" t="str">
            <v>M/S Aamir Brother Hydro I.Tax</v>
          </cell>
          <cell r="C387">
            <v>4</v>
          </cell>
          <cell r="D387">
            <v>0</v>
          </cell>
        </row>
        <row r="388">
          <cell r="A388" t="str">
            <v>109-002-002-1109</v>
          </cell>
          <cell r="B388" t="str">
            <v>M/S Super Army &amp; Police Store I.Tax</v>
          </cell>
          <cell r="C388">
            <v>4</v>
          </cell>
          <cell r="D388">
            <v>0</v>
          </cell>
        </row>
        <row r="389">
          <cell r="A389" t="str">
            <v>109-002-002-1110</v>
          </cell>
          <cell r="B389" t="str">
            <v>M/S Khawaja Muhammad &amp; Co. I.Tax</v>
          </cell>
          <cell r="C389">
            <v>4</v>
          </cell>
          <cell r="D389">
            <v>0</v>
          </cell>
        </row>
        <row r="390">
          <cell r="A390" t="str">
            <v>109-002-002-1111</v>
          </cell>
          <cell r="B390" t="str">
            <v>M/S Muhammad Shahzad Jangla I.Tax</v>
          </cell>
          <cell r="C390">
            <v>4</v>
          </cell>
          <cell r="D390">
            <v>0</v>
          </cell>
        </row>
        <row r="391">
          <cell r="A391" t="str">
            <v>109-002-002-1112</v>
          </cell>
          <cell r="B391" t="str">
            <v>M/S Bismillah Engg Works I.tax</v>
          </cell>
          <cell r="C391">
            <v>4</v>
          </cell>
          <cell r="D391">
            <v>0</v>
          </cell>
        </row>
        <row r="392">
          <cell r="A392" t="str">
            <v>109-002-002-1113</v>
          </cell>
          <cell r="B392" t="str">
            <v>M/S Universal Autos I.Tax</v>
          </cell>
          <cell r="C392">
            <v>4</v>
          </cell>
          <cell r="D392">
            <v>0</v>
          </cell>
        </row>
        <row r="393">
          <cell r="A393" t="str">
            <v>109-002-002-1114</v>
          </cell>
          <cell r="B393" t="str">
            <v>M/S Decent Furniture I.Tax</v>
          </cell>
          <cell r="C393">
            <v>4</v>
          </cell>
          <cell r="D393">
            <v>0</v>
          </cell>
        </row>
        <row r="394">
          <cell r="A394" t="str">
            <v>109-002-002-1115</v>
          </cell>
          <cell r="B394" t="str">
            <v>M/S Star associates I.tax</v>
          </cell>
          <cell r="C394">
            <v>4</v>
          </cell>
          <cell r="D394">
            <v>0</v>
          </cell>
        </row>
        <row r="395">
          <cell r="A395" t="str">
            <v>109-002-002-1116</v>
          </cell>
          <cell r="B395" t="str">
            <v>M/S Signage Security System I.Tax</v>
          </cell>
          <cell r="C395">
            <v>4</v>
          </cell>
          <cell r="D395">
            <v>0</v>
          </cell>
        </row>
        <row r="396">
          <cell r="A396" t="str">
            <v>109-002-002-1117</v>
          </cell>
          <cell r="B396" t="str">
            <v>M/S Berger Paint I.Tax</v>
          </cell>
          <cell r="C396">
            <v>4</v>
          </cell>
          <cell r="D396">
            <v>0</v>
          </cell>
        </row>
        <row r="397">
          <cell r="A397" t="str">
            <v>109-002-002-1118</v>
          </cell>
          <cell r="B397" t="str">
            <v>M/S Shakir Engg I.Tax</v>
          </cell>
          <cell r="C397">
            <v>4</v>
          </cell>
          <cell r="D397">
            <v>0</v>
          </cell>
        </row>
        <row r="398">
          <cell r="A398" t="str">
            <v>109-002-002-1119</v>
          </cell>
          <cell r="B398" t="str">
            <v>M/S Muhammad Ibrahim &amp; Sons I.Tax</v>
          </cell>
          <cell r="C398">
            <v>4</v>
          </cell>
          <cell r="D398">
            <v>0</v>
          </cell>
        </row>
        <row r="399">
          <cell r="A399" t="str">
            <v>109-002-002-1120</v>
          </cell>
          <cell r="B399" t="str">
            <v>M/S Qawi Compressor I.Tax</v>
          </cell>
          <cell r="C399">
            <v>4</v>
          </cell>
          <cell r="D399">
            <v>0</v>
          </cell>
        </row>
        <row r="400">
          <cell r="A400" t="str">
            <v>109-002-002-1121</v>
          </cell>
          <cell r="B400" t="str">
            <v>M/S Fiaz Steel Works I.Tax</v>
          </cell>
          <cell r="C400">
            <v>4</v>
          </cell>
          <cell r="D400">
            <v>0</v>
          </cell>
        </row>
        <row r="401">
          <cell r="A401" t="str">
            <v>109-002-002-1122</v>
          </cell>
          <cell r="B401" t="str">
            <v>M/S Abdul Rehman I.Tax</v>
          </cell>
          <cell r="C401">
            <v>4</v>
          </cell>
          <cell r="D401">
            <v>0</v>
          </cell>
        </row>
        <row r="402">
          <cell r="A402" t="str">
            <v>109-002-002-1123</v>
          </cell>
          <cell r="B402" t="str">
            <v>M/S G.J AutoMobile I.Tax</v>
          </cell>
          <cell r="C402">
            <v>4</v>
          </cell>
          <cell r="D402">
            <v>0</v>
          </cell>
        </row>
        <row r="403">
          <cell r="A403" t="str">
            <v>109-002-002-1124</v>
          </cell>
          <cell r="B403" t="str">
            <v>M/S Al-Syed Crane &amp; Carriage I.Tax</v>
          </cell>
          <cell r="C403">
            <v>4</v>
          </cell>
          <cell r="D403">
            <v>0</v>
          </cell>
        </row>
        <row r="404">
          <cell r="A404" t="str">
            <v>109-002-002-1125</v>
          </cell>
          <cell r="B404" t="str">
            <v>M/S Rehmat Lawn Movers I.Tax</v>
          </cell>
          <cell r="C404">
            <v>4</v>
          </cell>
          <cell r="D404">
            <v>0</v>
          </cell>
        </row>
        <row r="405">
          <cell r="A405" t="str">
            <v>109-002-002-1126</v>
          </cell>
          <cell r="B405" t="str">
            <v>M/S Haji Azeem Bors &amp; Carriage I.Tax</v>
          </cell>
          <cell r="C405">
            <v>4</v>
          </cell>
          <cell r="D405">
            <v>0</v>
          </cell>
        </row>
        <row r="406">
          <cell r="A406" t="str">
            <v>109-002-002-1127</v>
          </cell>
          <cell r="B406" t="str">
            <v>M/S Dara Autos</v>
          </cell>
          <cell r="C406">
            <v>4</v>
          </cell>
          <cell r="D406">
            <v>0</v>
          </cell>
        </row>
        <row r="407">
          <cell r="A407" t="str">
            <v>109-002-002-1128</v>
          </cell>
          <cell r="B407" t="str">
            <v>Afridi &amp; Bangash I.Tax</v>
          </cell>
          <cell r="C407">
            <v>4</v>
          </cell>
          <cell r="D407">
            <v>0</v>
          </cell>
        </row>
        <row r="408">
          <cell r="A408" t="str">
            <v>109-002-002-1129</v>
          </cell>
          <cell r="B408" t="str">
            <v>Fazal Painter &amp; Artist I.Tax</v>
          </cell>
          <cell r="C408">
            <v>4</v>
          </cell>
          <cell r="D408">
            <v>0</v>
          </cell>
        </row>
        <row r="409">
          <cell r="A409" t="str">
            <v>109-002-002-1130</v>
          </cell>
          <cell r="B409" t="str">
            <v>M/S Imran Tarpal House I.Tax</v>
          </cell>
          <cell r="C409">
            <v>4</v>
          </cell>
          <cell r="D409">
            <v>0</v>
          </cell>
        </row>
        <row r="410">
          <cell r="A410" t="str">
            <v>109-002-002-1131</v>
          </cell>
          <cell r="B410" t="str">
            <v>M/S Abbas Khan Contractors I.Tax</v>
          </cell>
          <cell r="C410">
            <v>4</v>
          </cell>
          <cell r="D410">
            <v>0</v>
          </cell>
        </row>
        <row r="411">
          <cell r="A411" t="str">
            <v>109-002-002-1132</v>
          </cell>
          <cell r="B411" t="str">
            <v>M/S Shad Khan &amp; Sons I.Tax ( Const Mat)</v>
          </cell>
          <cell r="C411">
            <v>4</v>
          </cell>
          <cell r="D411">
            <v>0</v>
          </cell>
        </row>
        <row r="412">
          <cell r="A412" t="str">
            <v>109-002-002-1133</v>
          </cell>
          <cell r="B412" t="str">
            <v>M/S Friends Mobile Systems I.Tax</v>
          </cell>
          <cell r="C412">
            <v>4</v>
          </cell>
          <cell r="D412">
            <v>0</v>
          </cell>
        </row>
        <row r="413">
          <cell r="A413" t="str">
            <v>109-002-002-1134</v>
          </cell>
          <cell r="B413" t="str">
            <v>M/S H.B Sayeed (Pvt) Ltd I.Tax</v>
          </cell>
          <cell r="C413">
            <v>4</v>
          </cell>
          <cell r="D413">
            <v>0</v>
          </cell>
        </row>
        <row r="414">
          <cell r="A414" t="str">
            <v>109-002-002-1135</v>
          </cell>
          <cell r="B414" t="str">
            <v>M/S Malik Traders I.Tax</v>
          </cell>
          <cell r="C414">
            <v>4</v>
          </cell>
          <cell r="D414">
            <v>0</v>
          </cell>
        </row>
        <row r="415">
          <cell r="A415" t="str">
            <v>109-002-002-1136</v>
          </cell>
          <cell r="B415" t="str">
            <v>M/S Guerrino Pivato SpA I.Tax</v>
          </cell>
          <cell r="C415">
            <v>4</v>
          </cell>
          <cell r="D415">
            <v>0</v>
          </cell>
        </row>
        <row r="416">
          <cell r="A416" t="str">
            <v>109-002-002-1137</v>
          </cell>
          <cell r="B416" t="str">
            <v>M/S Product &amp; Service I.Tax</v>
          </cell>
          <cell r="C416">
            <v>4</v>
          </cell>
          <cell r="D416">
            <v>0</v>
          </cell>
        </row>
        <row r="417">
          <cell r="A417" t="str">
            <v>109-002-002-1138</v>
          </cell>
          <cell r="B417" t="str">
            <v>M/S Attock Cargo Service I.Tax</v>
          </cell>
          <cell r="C417">
            <v>4</v>
          </cell>
          <cell r="D417">
            <v>0</v>
          </cell>
        </row>
        <row r="418">
          <cell r="A418" t="str">
            <v>109-002-002-1139</v>
          </cell>
          <cell r="B418" t="str">
            <v>M/S Wise Tech I.Tax</v>
          </cell>
          <cell r="C418">
            <v>4</v>
          </cell>
          <cell r="D418">
            <v>0</v>
          </cell>
        </row>
        <row r="419">
          <cell r="A419" t="str">
            <v>109-002-002-1140</v>
          </cell>
          <cell r="B419" t="str">
            <v>M/S New National Traders I.Tax</v>
          </cell>
          <cell r="C419">
            <v>4</v>
          </cell>
          <cell r="D419">
            <v>0</v>
          </cell>
        </row>
        <row r="420">
          <cell r="A420" t="str">
            <v>109-002-002-1141</v>
          </cell>
          <cell r="B420" t="str">
            <v>M/S Malik Abid I.Tax</v>
          </cell>
          <cell r="C420">
            <v>4</v>
          </cell>
          <cell r="D420">
            <v>0</v>
          </cell>
        </row>
        <row r="421">
          <cell r="A421" t="str">
            <v>109-002-002-1142</v>
          </cell>
          <cell r="B421" t="str">
            <v>M/S Hammed Auto Electrician I.Tax</v>
          </cell>
          <cell r="C421">
            <v>4</v>
          </cell>
          <cell r="D421">
            <v>0</v>
          </cell>
        </row>
        <row r="422">
          <cell r="A422" t="str">
            <v>109-002-002-1143</v>
          </cell>
          <cell r="B422" t="str">
            <v>M/S Sufi Khalid Bhatti I.Tax</v>
          </cell>
          <cell r="C422">
            <v>4</v>
          </cell>
          <cell r="D422">
            <v>0</v>
          </cell>
        </row>
        <row r="423">
          <cell r="A423" t="str">
            <v>109-002-002-1144</v>
          </cell>
          <cell r="B423" t="str">
            <v>M/S Darya kHan I.Tax</v>
          </cell>
          <cell r="C423">
            <v>4</v>
          </cell>
          <cell r="D423">
            <v>0</v>
          </cell>
        </row>
        <row r="424">
          <cell r="A424" t="str">
            <v>109-002-002-1145</v>
          </cell>
          <cell r="B424" t="str">
            <v>M/S Mobile Mkt I.Tax</v>
          </cell>
          <cell r="C424">
            <v>4</v>
          </cell>
          <cell r="D424">
            <v>0</v>
          </cell>
        </row>
        <row r="425">
          <cell r="A425" t="str">
            <v>109-002-002-1146</v>
          </cell>
          <cell r="B425" t="str">
            <v>M/S Cool Corner</v>
          </cell>
          <cell r="C425">
            <v>4</v>
          </cell>
          <cell r="D425">
            <v>0</v>
          </cell>
        </row>
        <row r="426">
          <cell r="A426" t="str">
            <v>109-002-002-1147</v>
          </cell>
          <cell r="B426" t="str">
            <v>M/S Corner Tyres I.Tax</v>
          </cell>
          <cell r="C426">
            <v>4</v>
          </cell>
          <cell r="D426">
            <v>0</v>
          </cell>
        </row>
        <row r="427">
          <cell r="A427" t="str">
            <v>109-002-002-1148</v>
          </cell>
          <cell r="B427" t="str">
            <v>M/S Premier Automobile Wkshp I.Tax</v>
          </cell>
          <cell r="C427">
            <v>4</v>
          </cell>
          <cell r="D427">
            <v>0</v>
          </cell>
        </row>
        <row r="428">
          <cell r="A428" t="str">
            <v>109-002-002-1149</v>
          </cell>
          <cell r="B428" t="str">
            <v>M/S Shah Wali Khan</v>
          </cell>
          <cell r="C428">
            <v>4</v>
          </cell>
          <cell r="D428">
            <v>0</v>
          </cell>
        </row>
        <row r="429">
          <cell r="A429" t="str">
            <v>109-002-003-0000</v>
          </cell>
          <cell r="B429" t="str">
            <v>Creditores for Services Income Tax Payable</v>
          </cell>
          <cell r="C429">
            <v>3</v>
          </cell>
          <cell r="D429">
            <v>0</v>
          </cell>
        </row>
        <row r="430">
          <cell r="A430" t="str">
            <v>109-002-011-0000</v>
          </cell>
          <cell r="B430" t="str">
            <v>Employees Income Tax Payable</v>
          </cell>
          <cell r="C430">
            <v>3</v>
          </cell>
          <cell r="D430">
            <v>0</v>
          </cell>
        </row>
        <row r="431">
          <cell r="A431" t="str">
            <v>109-002-011-0001</v>
          </cell>
          <cell r="B431" t="str">
            <v>Army Officers Control Income Tax Payable</v>
          </cell>
          <cell r="C431">
            <v>4</v>
          </cell>
          <cell r="D431">
            <v>0</v>
          </cell>
        </row>
        <row r="432">
          <cell r="A432" t="str">
            <v>109-002-011-0002</v>
          </cell>
          <cell r="B432" t="str">
            <v>Civilian Staff Control Income Tax Payable</v>
          </cell>
          <cell r="C432">
            <v>4</v>
          </cell>
          <cell r="D432">
            <v>0</v>
          </cell>
        </row>
        <row r="433">
          <cell r="A433" t="str">
            <v>109-002-011-0003</v>
          </cell>
          <cell r="B433" t="str">
            <v>JCO's Control Income Tax Payable</v>
          </cell>
          <cell r="C433">
            <v>4</v>
          </cell>
          <cell r="D433">
            <v>0</v>
          </cell>
        </row>
        <row r="434">
          <cell r="A434" t="str">
            <v>109-003-000-0000</v>
          </cell>
          <cell r="B434" t="str">
            <v>D.S.O.P. Fund Payable</v>
          </cell>
          <cell r="C434">
            <v>2</v>
          </cell>
          <cell r="D434">
            <v>0</v>
          </cell>
        </row>
        <row r="435">
          <cell r="A435" t="str">
            <v>109-003-001-0000</v>
          </cell>
          <cell r="B435" t="str">
            <v>Army Officeres D.S.O.P. Fund Payable</v>
          </cell>
          <cell r="C435">
            <v>3</v>
          </cell>
          <cell r="D435">
            <v>0</v>
          </cell>
        </row>
        <row r="436">
          <cell r="A436" t="str">
            <v>109-003-001-0001</v>
          </cell>
          <cell r="B436" t="str">
            <v>Control Army Officers D.S.O.P. Fund Payable</v>
          </cell>
          <cell r="C436">
            <v>4</v>
          </cell>
          <cell r="D436">
            <v>0</v>
          </cell>
        </row>
        <row r="437">
          <cell r="A437" t="str">
            <v>109-003-002-0000</v>
          </cell>
          <cell r="B437" t="str">
            <v>JCOs' Staff D.S.O.P. Fund Payable</v>
          </cell>
          <cell r="C437">
            <v>3</v>
          </cell>
          <cell r="D437">
            <v>0</v>
          </cell>
        </row>
        <row r="438">
          <cell r="A438" t="str">
            <v>109-003-002-0001</v>
          </cell>
          <cell r="B438" t="str">
            <v>Control JCOs' Staff D.S.O.P. Fund Payable</v>
          </cell>
          <cell r="C438">
            <v>4</v>
          </cell>
          <cell r="D438">
            <v>0</v>
          </cell>
        </row>
        <row r="439">
          <cell r="A439" t="str">
            <v>109-004-000-0000</v>
          </cell>
          <cell r="B439" t="str">
            <v>Benevelovent Fund Payable</v>
          </cell>
          <cell r="C439">
            <v>2</v>
          </cell>
          <cell r="D439">
            <v>0</v>
          </cell>
        </row>
        <row r="440">
          <cell r="A440" t="str">
            <v>109-004-001-0000</v>
          </cell>
          <cell r="B440" t="str">
            <v>Army Officers Benevelovent Fund Payable</v>
          </cell>
          <cell r="C440">
            <v>3</v>
          </cell>
          <cell r="D440">
            <v>0</v>
          </cell>
        </row>
        <row r="441">
          <cell r="A441" t="str">
            <v>109-004-001-0001</v>
          </cell>
          <cell r="B441" t="str">
            <v>Control Army Officers Benevelovent Fund Payable</v>
          </cell>
          <cell r="C441">
            <v>4</v>
          </cell>
          <cell r="D441">
            <v>0</v>
          </cell>
        </row>
        <row r="442">
          <cell r="A442" t="str">
            <v>109-004-002-0000</v>
          </cell>
          <cell r="B442" t="str">
            <v>Civilian Staff Benevelovent Fund Payable</v>
          </cell>
          <cell r="C442">
            <v>3</v>
          </cell>
          <cell r="D442">
            <v>0</v>
          </cell>
        </row>
        <row r="443">
          <cell r="A443" t="str">
            <v>109-004-002-0001</v>
          </cell>
          <cell r="B443" t="str">
            <v>Control Civilian Staff Benevelovent Fund Payable</v>
          </cell>
          <cell r="C443">
            <v>4</v>
          </cell>
          <cell r="D443">
            <v>0</v>
          </cell>
        </row>
        <row r="444">
          <cell r="A444" t="str">
            <v>109-004-003-0000</v>
          </cell>
          <cell r="B444" t="str">
            <v>JCO's Staff Benevelovent Fund Payable</v>
          </cell>
          <cell r="C444">
            <v>3</v>
          </cell>
          <cell r="D444">
            <v>0</v>
          </cell>
        </row>
        <row r="445">
          <cell r="A445" t="str">
            <v>109-004-003-0001</v>
          </cell>
          <cell r="B445" t="str">
            <v>Control JCOs' Staff Benevelovent Fund Payable</v>
          </cell>
          <cell r="C445">
            <v>4</v>
          </cell>
          <cell r="D445">
            <v>0</v>
          </cell>
        </row>
        <row r="446">
          <cell r="A446" t="str">
            <v>109-005-000-0000</v>
          </cell>
          <cell r="B446" t="str">
            <v>Accured Charges</v>
          </cell>
          <cell r="C446">
            <v>2</v>
          </cell>
          <cell r="D446">
            <v>-52307</v>
          </cell>
        </row>
        <row r="447">
          <cell r="A447" t="str">
            <v>109-005-001-0000</v>
          </cell>
          <cell r="B447" t="str">
            <v>Muster Rolls Payable</v>
          </cell>
          <cell r="C447">
            <v>3</v>
          </cell>
          <cell r="D447">
            <v>-9567</v>
          </cell>
        </row>
        <row r="448">
          <cell r="A448" t="str">
            <v>109-005-001-0001</v>
          </cell>
          <cell r="B448" t="str">
            <v>Muster Rolls Payable</v>
          </cell>
          <cell r="C448">
            <v>4</v>
          </cell>
          <cell r="D448">
            <v>-9567</v>
          </cell>
        </row>
        <row r="449">
          <cell r="A449" t="str">
            <v>109-005-002-0000</v>
          </cell>
          <cell r="B449" t="str">
            <v>Army Officers Salaries Payable</v>
          </cell>
          <cell r="C449">
            <v>3</v>
          </cell>
          <cell r="D449">
            <v>0</v>
          </cell>
        </row>
        <row r="450">
          <cell r="A450" t="str">
            <v>109-005-002-0001</v>
          </cell>
          <cell r="B450" t="str">
            <v>Army Officers Salaries Payable</v>
          </cell>
          <cell r="C450">
            <v>4</v>
          </cell>
          <cell r="D450">
            <v>0</v>
          </cell>
        </row>
        <row r="451">
          <cell r="A451" t="str">
            <v>109-005-003-0000</v>
          </cell>
          <cell r="B451" t="str">
            <v>Civilian Staff Salaries Payable</v>
          </cell>
          <cell r="C451">
            <v>3</v>
          </cell>
          <cell r="D451">
            <v>-34000</v>
          </cell>
        </row>
        <row r="452">
          <cell r="A452" t="str">
            <v>109-005-003-0001</v>
          </cell>
          <cell r="B452" t="str">
            <v>Civilian Staff Salaries Payable</v>
          </cell>
          <cell r="C452">
            <v>4</v>
          </cell>
          <cell r="D452">
            <v>-34000</v>
          </cell>
        </row>
        <row r="453">
          <cell r="A453" t="str">
            <v>109-005-004-0000</v>
          </cell>
          <cell r="B453" t="str">
            <v>JCO's Staff Salaries Payable</v>
          </cell>
          <cell r="C453">
            <v>3</v>
          </cell>
          <cell r="D453">
            <v>0</v>
          </cell>
        </row>
        <row r="454">
          <cell r="A454" t="str">
            <v>109-005-004-0001</v>
          </cell>
          <cell r="B454" t="str">
            <v>JCO's Staff Salaries Payable</v>
          </cell>
          <cell r="C454">
            <v>4</v>
          </cell>
          <cell r="D454">
            <v>0</v>
          </cell>
        </row>
        <row r="455">
          <cell r="A455" t="str">
            <v>109-005-005-0000</v>
          </cell>
          <cell r="B455" t="str">
            <v>Electricity Payable</v>
          </cell>
          <cell r="C455">
            <v>3</v>
          </cell>
          <cell r="D455">
            <v>0</v>
          </cell>
        </row>
        <row r="456">
          <cell r="A456" t="str">
            <v>109-005-005-0001</v>
          </cell>
          <cell r="B456" t="str">
            <v>Electricity Charges Bill #  Payable</v>
          </cell>
          <cell r="C456">
            <v>4</v>
          </cell>
          <cell r="D456">
            <v>0</v>
          </cell>
        </row>
        <row r="457">
          <cell r="A457" t="str">
            <v>109-005-006-0000</v>
          </cell>
          <cell r="B457" t="str">
            <v>Water charges Payable</v>
          </cell>
          <cell r="C457">
            <v>3</v>
          </cell>
          <cell r="D457">
            <v>0</v>
          </cell>
        </row>
        <row r="458">
          <cell r="A458" t="str">
            <v>109-005-006-0001</v>
          </cell>
          <cell r="B458" t="str">
            <v>Water Charges Bill #  Payable</v>
          </cell>
          <cell r="C458">
            <v>4</v>
          </cell>
          <cell r="D458">
            <v>0</v>
          </cell>
        </row>
        <row r="459">
          <cell r="A459" t="str">
            <v>109-005-007-0000</v>
          </cell>
          <cell r="B459" t="str">
            <v>Gas charges Payable</v>
          </cell>
          <cell r="C459">
            <v>3</v>
          </cell>
          <cell r="D459">
            <v>0</v>
          </cell>
        </row>
        <row r="460">
          <cell r="A460" t="str">
            <v>109-005-007-0001</v>
          </cell>
          <cell r="B460" t="str">
            <v>Sui Gas Charges Bill #  Payable</v>
          </cell>
          <cell r="C460">
            <v>4</v>
          </cell>
          <cell r="D460">
            <v>0</v>
          </cell>
        </row>
        <row r="461">
          <cell r="A461" t="str">
            <v>109-005-008-0000</v>
          </cell>
          <cell r="B461" t="str">
            <v>Telephone charges Payable</v>
          </cell>
          <cell r="C461">
            <v>3</v>
          </cell>
          <cell r="D461">
            <v>0</v>
          </cell>
        </row>
        <row r="462">
          <cell r="A462" t="str">
            <v>109-005-008-0001</v>
          </cell>
          <cell r="B462" t="str">
            <v>Telephone Bill #  Payable</v>
          </cell>
          <cell r="C462">
            <v>4</v>
          </cell>
          <cell r="D462">
            <v>0</v>
          </cell>
        </row>
        <row r="463">
          <cell r="A463" t="str">
            <v>109-005-009-0000</v>
          </cell>
          <cell r="B463" t="str">
            <v>Mobile Phone Charges Payable</v>
          </cell>
          <cell r="C463">
            <v>3</v>
          </cell>
          <cell r="D463">
            <v>-3667</v>
          </cell>
        </row>
        <row r="464">
          <cell r="A464" t="str">
            <v>109-005-009-0001</v>
          </cell>
          <cell r="B464" t="str">
            <v>Mobile Phone Bill # Payable</v>
          </cell>
          <cell r="C464">
            <v>4</v>
          </cell>
          <cell r="D464">
            <v>-3667</v>
          </cell>
        </row>
        <row r="465">
          <cell r="A465" t="str">
            <v>109-005-010-0000</v>
          </cell>
          <cell r="B465" t="str">
            <v>Vehicle Running Expenses Payable</v>
          </cell>
          <cell r="C465">
            <v>3</v>
          </cell>
          <cell r="D465">
            <v>-5073</v>
          </cell>
        </row>
        <row r="466">
          <cell r="A466" t="str">
            <v>109-005-010-0001</v>
          </cell>
          <cell r="B466" t="str">
            <v>Vehicle Running Expenses Payable</v>
          </cell>
          <cell r="C466">
            <v>4</v>
          </cell>
          <cell r="D466">
            <v>-5073</v>
          </cell>
        </row>
        <row r="467">
          <cell r="A467" t="str">
            <v>109-005-011-0000</v>
          </cell>
          <cell r="B467" t="str">
            <v>Repair and Maintainance Payable</v>
          </cell>
          <cell r="C467">
            <v>3</v>
          </cell>
          <cell r="D467">
            <v>0</v>
          </cell>
        </row>
        <row r="468">
          <cell r="A468" t="str">
            <v>109-005-011-0001</v>
          </cell>
          <cell r="B468" t="str">
            <v>Repair and Maintainance Payable</v>
          </cell>
          <cell r="C468">
            <v>4</v>
          </cell>
          <cell r="D468">
            <v>0</v>
          </cell>
        </row>
        <row r="469">
          <cell r="A469" t="str">
            <v>109-005-012-0000</v>
          </cell>
          <cell r="B469" t="str">
            <v>Travelling and Conveyance Payable</v>
          </cell>
          <cell r="C469">
            <v>3</v>
          </cell>
          <cell r="D469">
            <v>0</v>
          </cell>
        </row>
        <row r="470">
          <cell r="A470" t="str">
            <v>109-005-012-0001</v>
          </cell>
          <cell r="B470" t="str">
            <v>Travelling and Conveyance Payable</v>
          </cell>
          <cell r="C470">
            <v>4</v>
          </cell>
          <cell r="D470">
            <v>0</v>
          </cell>
        </row>
        <row r="471">
          <cell r="A471" t="str">
            <v>109-005-013-0000</v>
          </cell>
          <cell r="B471" t="str">
            <v>Printing and Stationery Payable</v>
          </cell>
          <cell r="C471">
            <v>3</v>
          </cell>
          <cell r="D471">
            <v>0</v>
          </cell>
        </row>
        <row r="472">
          <cell r="A472" t="str">
            <v>109-005-013-0001</v>
          </cell>
          <cell r="B472" t="str">
            <v>Printing and Stationery Payable</v>
          </cell>
          <cell r="C472">
            <v>4</v>
          </cell>
          <cell r="D472">
            <v>0</v>
          </cell>
        </row>
        <row r="473">
          <cell r="A473" t="str">
            <v>109-005-014-0000</v>
          </cell>
          <cell r="B473" t="str">
            <v>Entertainment expenses payable</v>
          </cell>
          <cell r="C473">
            <v>3</v>
          </cell>
          <cell r="D473">
            <v>0</v>
          </cell>
        </row>
        <row r="474">
          <cell r="A474" t="str">
            <v>109-005-014-0001</v>
          </cell>
          <cell r="B474" t="str">
            <v>Entertainemnt expenses payable</v>
          </cell>
          <cell r="C474">
            <v>4</v>
          </cell>
          <cell r="D474">
            <v>0</v>
          </cell>
        </row>
        <row r="475">
          <cell r="A475" t="str">
            <v>109-005-015-0000</v>
          </cell>
          <cell r="B475" t="str">
            <v>Newspaper and Periodicals Payable</v>
          </cell>
          <cell r="C475">
            <v>3</v>
          </cell>
          <cell r="D475">
            <v>0</v>
          </cell>
        </row>
        <row r="476">
          <cell r="A476" t="str">
            <v>109-005-015-0001</v>
          </cell>
          <cell r="B476" t="str">
            <v>Newspaper and Periodicals Payable</v>
          </cell>
          <cell r="C476">
            <v>4</v>
          </cell>
          <cell r="D476">
            <v>0</v>
          </cell>
        </row>
        <row r="477">
          <cell r="A477" t="str">
            <v>109-005-016-0000</v>
          </cell>
          <cell r="B477" t="str">
            <v>Lease Rent Payable</v>
          </cell>
          <cell r="C477">
            <v>3</v>
          </cell>
          <cell r="D477">
            <v>0</v>
          </cell>
        </row>
        <row r="478">
          <cell r="A478" t="str">
            <v>109-005-016-0001</v>
          </cell>
          <cell r="B478" t="str">
            <v>Land Lease Rent Charges Payable</v>
          </cell>
          <cell r="C478">
            <v>4</v>
          </cell>
          <cell r="D478">
            <v>0</v>
          </cell>
        </row>
        <row r="479">
          <cell r="A479" t="str">
            <v>109-005-017-0000</v>
          </cell>
          <cell r="B479" t="str">
            <v>Miscellaneous Expenses Payable</v>
          </cell>
          <cell r="C479">
            <v>3</v>
          </cell>
          <cell r="D479">
            <v>0</v>
          </cell>
        </row>
        <row r="480">
          <cell r="A480" t="str">
            <v>109-005-017-0001</v>
          </cell>
          <cell r="B480" t="str">
            <v>Miscellaneous Expenses Payable</v>
          </cell>
          <cell r="C480">
            <v>4</v>
          </cell>
          <cell r="D480">
            <v>0</v>
          </cell>
        </row>
        <row r="481">
          <cell r="A481" t="str">
            <v>109-005-018-0000</v>
          </cell>
          <cell r="B481" t="str">
            <v>legal &amp; Professional Charges payable</v>
          </cell>
          <cell r="C481">
            <v>3</v>
          </cell>
          <cell r="D481">
            <v>0</v>
          </cell>
        </row>
        <row r="482">
          <cell r="A482" t="str">
            <v>109-005-018-0001</v>
          </cell>
          <cell r="B482" t="str">
            <v>legal &amp; Professional Charges payable</v>
          </cell>
          <cell r="C482">
            <v>4</v>
          </cell>
          <cell r="D482">
            <v>0</v>
          </cell>
        </row>
        <row r="483">
          <cell r="A483" t="str">
            <v>109-005-018-0002</v>
          </cell>
          <cell r="B483" t="str">
            <v>Interest on liabilities under finance lease Payabl</v>
          </cell>
          <cell r="C483">
            <v>4</v>
          </cell>
          <cell r="D483">
            <v>0</v>
          </cell>
        </row>
        <row r="484">
          <cell r="A484" t="str">
            <v>109-005-018-0003</v>
          </cell>
          <cell r="B484" t="str">
            <v>Interest on short term running finance Payable</v>
          </cell>
          <cell r="C484">
            <v>4</v>
          </cell>
          <cell r="D484">
            <v>0</v>
          </cell>
        </row>
        <row r="485">
          <cell r="A485" t="str">
            <v>109-005-018-0004</v>
          </cell>
          <cell r="B485" t="str">
            <v>Bank Guarantee Commission Payable</v>
          </cell>
          <cell r="C485">
            <v>4</v>
          </cell>
          <cell r="D485">
            <v>0</v>
          </cell>
        </row>
        <row r="486">
          <cell r="A486" t="str">
            <v>109-005-019-0000</v>
          </cell>
          <cell r="B486" t="str">
            <v>Excise Duty On PLS Bank Accounts Payable</v>
          </cell>
          <cell r="C486">
            <v>3</v>
          </cell>
          <cell r="D486">
            <v>0</v>
          </cell>
        </row>
        <row r="487">
          <cell r="A487" t="str">
            <v>109-005-024-0000</v>
          </cell>
          <cell r="B487" t="str">
            <v>Bank Charges Of Saving Bank Accounts Payable</v>
          </cell>
          <cell r="C487">
            <v>3</v>
          </cell>
          <cell r="D487">
            <v>0</v>
          </cell>
        </row>
        <row r="488">
          <cell r="A488" t="str">
            <v>109-005-025-0000</v>
          </cell>
          <cell r="B488" t="str">
            <v>Bank Charges Of Current Bank Accounts Payable</v>
          </cell>
          <cell r="C488">
            <v>3</v>
          </cell>
          <cell r="D488">
            <v>0</v>
          </cell>
        </row>
        <row r="489">
          <cell r="A489" t="str">
            <v>109-005-026-0000</v>
          </cell>
          <cell r="B489" t="str">
            <v>Bank Charges Of Term Deposit Accounts Payable</v>
          </cell>
          <cell r="C489">
            <v>3</v>
          </cell>
          <cell r="D489">
            <v>0</v>
          </cell>
        </row>
        <row r="490">
          <cell r="A490" t="str">
            <v>109-006-000-0000</v>
          </cell>
          <cell r="B490" t="str">
            <v>Other Liabilties</v>
          </cell>
          <cell r="C490">
            <v>2</v>
          </cell>
          <cell r="D490">
            <v>-240000</v>
          </cell>
        </row>
        <row r="491">
          <cell r="A491" t="str">
            <v>109-006-001-0000</v>
          </cell>
          <cell r="B491" t="str">
            <v>Other Liabilties</v>
          </cell>
          <cell r="C491">
            <v>3</v>
          </cell>
          <cell r="D491">
            <v>0</v>
          </cell>
        </row>
        <row r="492">
          <cell r="A492" t="str">
            <v>109-006-001-0001</v>
          </cell>
          <cell r="B492" t="str">
            <v>Other Liabilties</v>
          </cell>
          <cell r="C492">
            <v>4</v>
          </cell>
          <cell r="D492">
            <v>0</v>
          </cell>
        </row>
        <row r="493">
          <cell r="A493" t="str">
            <v>109-006-001-0002</v>
          </cell>
          <cell r="B493" t="str">
            <v>Hiring Charges Payable CMP</v>
          </cell>
          <cell r="C493">
            <v>4</v>
          </cell>
          <cell r="D493">
            <v>0</v>
          </cell>
        </row>
        <row r="494">
          <cell r="A494" t="str">
            <v>109-006-001-0003</v>
          </cell>
          <cell r="B494" t="str">
            <v>KRAC Hiring Charges Payable</v>
          </cell>
          <cell r="C494">
            <v>4</v>
          </cell>
          <cell r="D494">
            <v>0</v>
          </cell>
        </row>
        <row r="495">
          <cell r="A495" t="str">
            <v>109-006-001-0004</v>
          </cell>
          <cell r="B495" t="str">
            <v>Tractor Hiring charges</v>
          </cell>
          <cell r="C495">
            <v>4</v>
          </cell>
          <cell r="D495">
            <v>0</v>
          </cell>
        </row>
        <row r="496">
          <cell r="A496" t="str">
            <v>109-006-002-0000</v>
          </cell>
          <cell r="B496" t="str">
            <v>Funds Account</v>
          </cell>
          <cell r="C496">
            <v>3</v>
          </cell>
          <cell r="D496">
            <v>-240000</v>
          </cell>
        </row>
        <row r="497">
          <cell r="A497" t="str">
            <v>109-006-002-0001</v>
          </cell>
          <cell r="B497" t="str">
            <v>Provision for Overheads</v>
          </cell>
          <cell r="C497">
            <v>4</v>
          </cell>
          <cell r="D497">
            <v>0</v>
          </cell>
        </row>
        <row r="498">
          <cell r="A498" t="str">
            <v>109-006-002-0002</v>
          </cell>
          <cell r="B498" t="str">
            <v>Provision for Maintainance Cost Fund</v>
          </cell>
          <cell r="C498">
            <v>4</v>
          </cell>
          <cell r="D498">
            <v>-240000</v>
          </cell>
        </row>
        <row r="499">
          <cell r="A499" t="str">
            <v>109-006-003-0000</v>
          </cell>
          <cell r="B499" t="str">
            <v>Mobilization Advance</v>
          </cell>
          <cell r="C499">
            <v>3</v>
          </cell>
          <cell r="D499">
            <v>0</v>
          </cell>
        </row>
        <row r="500">
          <cell r="A500" t="str">
            <v>109-007-000-0000</v>
          </cell>
          <cell r="B500" t="str">
            <v>Provision for Taxation</v>
          </cell>
          <cell r="C500">
            <v>2</v>
          </cell>
          <cell r="D500">
            <v>0</v>
          </cell>
        </row>
        <row r="501">
          <cell r="A501" t="str">
            <v>109-007-001-0000</v>
          </cell>
          <cell r="B501" t="str">
            <v>Provision for Taxation</v>
          </cell>
          <cell r="C501">
            <v>3</v>
          </cell>
          <cell r="D501">
            <v>0</v>
          </cell>
        </row>
        <row r="502">
          <cell r="A502" t="str">
            <v>109-007-001-0001</v>
          </cell>
          <cell r="B502" t="str">
            <v>Provision for Taxation</v>
          </cell>
          <cell r="C502">
            <v>4</v>
          </cell>
          <cell r="D502">
            <v>0</v>
          </cell>
        </row>
        <row r="503">
          <cell r="A503" t="str">
            <v>201-000-000-0000</v>
          </cell>
          <cell r="B503" t="str">
            <v>Operating Fixed Assets</v>
          </cell>
          <cell r="C503">
            <v>1</v>
          </cell>
          <cell r="D503">
            <v>680000</v>
          </cell>
        </row>
        <row r="504">
          <cell r="A504" t="str">
            <v>201-001-000-0000</v>
          </cell>
          <cell r="B504" t="str">
            <v>Land</v>
          </cell>
          <cell r="C504">
            <v>2</v>
          </cell>
          <cell r="D504">
            <v>0</v>
          </cell>
        </row>
        <row r="505">
          <cell r="A505" t="str">
            <v>201-001-001-0000</v>
          </cell>
          <cell r="B505" t="str">
            <v>Land</v>
          </cell>
          <cell r="C505">
            <v>3</v>
          </cell>
          <cell r="D505">
            <v>0</v>
          </cell>
        </row>
        <row r="506">
          <cell r="A506" t="str">
            <v>201-001-001-0001</v>
          </cell>
          <cell r="B506" t="str">
            <v>Land</v>
          </cell>
          <cell r="C506">
            <v>4</v>
          </cell>
          <cell r="D506">
            <v>0</v>
          </cell>
        </row>
        <row r="507">
          <cell r="A507" t="str">
            <v>201-002-000-0000</v>
          </cell>
          <cell r="B507" t="str">
            <v>Building</v>
          </cell>
          <cell r="C507">
            <v>2</v>
          </cell>
          <cell r="D507">
            <v>0</v>
          </cell>
        </row>
        <row r="508">
          <cell r="A508" t="str">
            <v>201-002-001-0000</v>
          </cell>
          <cell r="B508" t="str">
            <v>Building</v>
          </cell>
          <cell r="C508">
            <v>3</v>
          </cell>
          <cell r="D508">
            <v>0</v>
          </cell>
        </row>
        <row r="509">
          <cell r="A509" t="str">
            <v>201-002-001-0001</v>
          </cell>
          <cell r="B509" t="str">
            <v>Building</v>
          </cell>
          <cell r="C509">
            <v>4</v>
          </cell>
          <cell r="D509">
            <v>0</v>
          </cell>
        </row>
        <row r="510">
          <cell r="A510" t="str">
            <v>201-003-000-0000</v>
          </cell>
          <cell r="B510" t="str">
            <v>Plant and Machinery</v>
          </cell>
          <cell r="C510">
            <v>2</v>
          </cell>
          <cell r="D510">
            <v>0</v>
          </cell>
        </row>
        <row r="511">
          <cell r="A511" t="str">
            <v>201-003-001-0000</v>
          </cell>
          <cell r="B511" t="str">
            <v>Plant and Machinery</v>
          </cell>
          <cell r="C511">
            <v>3</v>
          </cell>
          <cell r="D511">
            <v>0</v>
          </cell>
        </row>
        <row r="512">
          <cell r="A512" t="str">
            <v>201-003-001-0001</v>
          </cell>
          <cell r="B512" t="str">
            <v>Bitumen Transfer Pump</v>
          </cell>
          <cell r="C512">
            <v>4</v>
          </cell>
          <cell r="D512">
            <v>0</v>
          </cell>
        </row>
        <row r="513">
          <cell r="A513" t="str">
            <v>201-003-001-0002</v>
          </cell>
          <cell r="B513" t="str">
            <v>Pipe Machine 15" to 18" Dia</v>
          </cell>
          <cell r="C513">
            <v>4</v>
          </cell>
          <cell r="D513">
            <v>0</v>
          </cell>
        </row>
        <row r="514">
          <cell r="A514" t="str">
            <v>201-003-001-0003</v>
          </cell>
          <cell r="B514" t="str">
            <v>Broomer</v>
          </cell>
          <cell r="C514">
            <v>4</v>
          </cell>
          <cell r="D514">
            <v>0</v>
          </cell>
        </row>
        <row r="515">
          <cell r="A515" t="str">
            <v>201-003-001-0004</v>
          </cell>
          <cell r="B515" t="str">
            <v>Core Drill Machine</v>
          </cell>
          <cell r="C515">
            <v>4</v>
          </cell>
          <cell r="D515">
            <v>0</v>
          </cell>
        </row>
        <row r="516">
          <cell r="A516" t="str">
            <v>201-003-001-0005</v>
          </cell>
          <cell r="B516" t="str">
            <v>Asphalt Cutter</v>
          </cell>
          <cell r="C516">
            <v>4</v>
          </cell>
          <cell r="D516">
            <v>0</v>
          </cell>
        </row>
        <row r="517">
          <cell r="A517" t="str">
            <v>201-003-001-0006</v>
          </cell>
          <cell r="B517" t="str">
            <v>Generator</v>
          </cell>
          <cell r="C517">
            <v>4</v>
          </cell>
          <cell r="D517">
            <v>0</v>
          </cell>
        </row>
        <row r="518">
          <cell r="A518" t="str">
            <v>201-003-001-0007</v>
          </cell>
          <cell r="B518" t="str">
            <v>Oil/Water Tanker</v>
          </cell>
          <cell r="C518">
            <v>4</v>
          </cell>
          <cell r="D518">
            <v>0</v>
          </cell>
        </row>
        <row r="519">
          <cell r="A519" t="str">
            <v>201-003-001-0008</v>
          </cell>
          <cell r="B519" t="str">
            <v>Renault Dump Truck</v>
          </cell>
          <cell r="C519">
            <v>4</v>
          </cell>
          <cell r="D519">
            <v>0</v>
          </cell>
        </row>
        <row r="520">
          <cell r="A520" t="str">
            <v>201-004-000-0000</v>
          </cell>
          <cell r="B520" t="str">
            <v>Furniture and Fixture</v>
          </cell>
          <cell r="C520">
            <v>2</v>
          </cell>
          <cell r="D520">
            <v>0</v>
          </cell>
        </row>
        <row r="521">
          <cell r="A521" t="str">
            <v>201-004-001-0000</v>
          </cell>
          <cell r="B521" t="str">
            <v>Furniture and Fixture</v>
          </cell>
          <cell r="C521">
            <v>3</v>
          </cell>
          <cell r="D521">
            <v>0</v>
          </cell>
        </row>
        <row r="522">
          <cell r="A522" t="str">
            <v>201-004-001-0001</v>
          </cell>
          <cell r="B522" t="str">
            <v>Tables</v>
          </cell>
          <cell r="C522">
            <v>4</v>
          </cell>
          <cell r="D522">
            <v>0</v>
          </cell>
        </row>
        <row r="523">
          <cell r="A523" t="str">
            <v>201-004-001-0002</v>
          </cell>
          <cell r="B523" t="str">
            <v>Charpayees  (Beds)</v>
          </cell>
          <cell r="C523">
            <v>4</v>
          </cell>
          <cell r="D523">
            <v>0</v>
          </cell>
        </row>
        <row r="524">
          <cell r="A524" t="str">
            <v>201-004-001-0003</v>
          </cell>
          <cell r="B524" t="str">
            <v>Sofa Chairs and Chairs</v>
          </cell>
          <cell r="C524">
            <v>4</v>
          </cell>
          <cell r="D524">
            <v>0</v>
          </cell>
        </row>
        <row r="525">
          <cell r="A525" t="str">
            <v>201-004-001-0004</v>
          </cell>
          <cell r="B525" t="str">
            <v>Almirah</v>
          </cell>
          <cell r="C525">
            <v>4</v>
          </cell>
          <cell r="D525">
            <v>0</v>
          </cell>
        </row>
        <row r="526">
          <cell r="A526" t="str">
            <v>201-004-001-0005</v>
          </cell>
          <cell r="B526" t="str">
            <v>Wooden Cabinet Draz</v>
          </cell>
          <cell r="C526">
            <v>4</v>
          </cell>
          <cell r="D526">
            <v>0</v>
          </cell>
        </row>
        <row r="527">
          <cell r="A527" t="str">
            <v>201-004-001-0006</v>
          </cell>
          <cell r="B527" t="str">
            <v>Stools</v>
          </cell>
          <cell r="C527">
            <v>4</v>
          </cell>
          <cell r="D527">
            <v>0</v>
          </cell>
        </row>
        <row r="528">
          <cell r="A528" t="str">
            <v>201-004-001-0007</v>
          </cell>
          <cell r="B528" t="str">
            <v>Partition</v>
          </cell>
          <cell r="C528">
            <v>4</v>
          </cell>
          <cell r="D528">
            <v>0</v>
          </cell>
        </row>
        <row r="529">
          <cell r="A529" t="str">
            <v>201-004-001-0008</v>
          </cell>
          <cell r="B529" t="str">
            <v>Carpets</v>
          </cell>
          <cell r="C529">
            <v>4</v>
          </cell>
          <cell r="D529">
            <v>0</v>
          </cell>
        </row>
        <row r="530">
          <cell r="A530" t="str">
            <v>201-004-001-0009</v>
          </cell>
          <cell r="B530" t="str">
            <v>Portable Site Office Cabin</v>
          </cell>
          <cell r="C530">
            <v>4</v>
          </cell>
          <cell r="D530">
            <v>0</v>
          </cell>
        </row>
        <row r="531">
          <cell r="A531" t="str">
            <v>201-004-001-0010</v>
          </cell>
          <cell r="B531" t="str">
            <v>Matress</v>
          </cell>
          <cell r="C531">
            <v>4</v>
          </cell>
          <cell r="D531">
            <v>0</v>
          </cell>
        </row>
        <row r="532">
          <cell r="A532" t="str">
            <v>201-004-001-0011</v>
          </cell>
          <cell r="B532" t="str">
            <v>Tarpal</v>
          </cell>
          <cell r="C532">
            <v>4</v>
          </cell>
          <cell r="D532">
            <v>0</v>
          </cell>
        </row>
        <row r="533">
          <cell r="A533" t="str">
            <v>201-004-001-0012</v>
          </cell>
          <cell r="B533" t="str">
            <v>Steel Door</v>
          </cell>
          <cell r="C533">
            <v>4</v>
          </cell>
          <cell r="D533">
            <v>0</v>
          </cell>
        </row>
        <row r="534">
          <cell r="A534" t="str">
            <v>201-004-001-0013</v>
          </cell>
          <cell r="B534" t="str">
            <v>Bricks</v>
          </cell>
          <cell r="C534">
            <v>4</v>
          </cell>
          <cell r="D534">
            <v>0</v>
          </cell>
        </row>
        <row r="535">
          <cell r="A535" t="str">
            <v>201-005-000-0000</v>
          </cell>
          <cell r="B535" t="str">
            <v>Vehicles</v>
          </cell>
          <cell r="C535">
            <v>2</v>
          </cell>
          <cell r="D535">
            <v>680000</v>
          </cell>
        </row>
        <row r="536">
          <cell r="A536" t="str">
            <v>201-005-001-0000</v>
          </cell>
          <cell r="B536" t="str">
            <v>Heavy  Vehicle</v>
          </cell>
          <cell r="C536">
            <v>3</v>
          </cell>
          <cell r="D536">
            <v>680000</v>
          </cell>
        </row>
        <row r="537">
          <cell r="A537" t="str">
            <v>201-005-002-0000</v>
          </cell>
          <cell r="B537" t="str">
            <v>Light Vehicle</v>
          </cell>
          <cell r="C537">
            <v>3</v>
          </cell>
          <cell r="D537">
            <v>0</v>
          </cell>
        </row>
        <row r="538">
          <cell r="A538" t="str">
            <v>201-005-002-0001</v>
          </cell>
          <cell r="B538" t="str">
            <v>Suzuki Cultus</v>
          </cell>
          <cell r="C538">
            <v>4</v>
          </cell>
          <cell r="D538">
            <v>680000</v>
          </cell>
        </row>
        <row r="539">
          <cell r="A539" t="str">
            <v>201-006-000-0000</v>
          </cell>
          <cell r="B539" t="str">
            <v>Office Equipments</v>
          </cell>
          <cell r="C539">
            <v>2</v>
          </cell>
          <cell r="D539">
            <v>0</v>
          </cell>
        </row>
        <row r="540">
          <cell r="A540" t="str">
            <v>201-006-001-0000</v>
          </cell>
          <cell r="B540" t="str">
            <v>Office Equipments</v>
          </cell>
          <cell r="C540">
            <v>3</v>
          </cell>
          <cell r="D540">
            <v>0</v>
          </cell>
        </row>
        <row r="541">
          <cell r="A541" t="str">
            <v>201-006-001-0001</v>
          </cell>
          <cell r="B541" t="str">
            <v>Telephones and Telephone Exchange</v>
          </cell>
          <cell r="C541">
            <v>4</v>
          </cell>
          <cell r="D541">
            <v>0</v>
          </cell>
        </row>
        <row r="542">
          <cell r="A542" t="str">
            <v>201-006-001-0002</v>
          </cell>
          <cell r="B542" t="str">
            <v>Fax Machine</v>
          </cell>
          <cell r="C542">
            <v>4</v>
          </cell>
          <cell r="D542">
            <v>0</v>
          </cell>
        </row>
        <row r="543">
          <cell r="A543" t="str">
            <v>201-006-001-0003</v>
          </cell>
          <cell r="B543" t="str">
            <v>Pagers</v>
          </cell>
          <cell r="C543">
            <v>4</v>
          </cell>
          <cell r="D543">
            <v>0</v>
          </cell>
        </row>
        <row r="544">
          <cell r="A544" t="str">
            <v>201-006-001-0004</v>
          </cell>
          <cell r="B544" t="str">
            <v>Mobile Phone Sets</v>
          </cell>
          <cell r="C544">
            <v>4</v>
          </cell>
          <cell r="D544">
            <v>0</v>
          </cell>
        </row>
        <row r="545">
          <cell r="A545" t="str">
            <v>201-006-001-0005</v>
          </cell>
          <cell r="B545" t="str">
            <v>Type Writer</v>
          </cell>
          <cell r="C545">
            <v>4</v>
          </cell>
          <cell r="D545">
            <v>0</v>
          </cell>
        </row>
        <row r="546">
          <cell r="A546" t="str">
            <v>201-006-001-0006</v>
          </cell>
          <cell r="B546" t="str">
            <v>Calculators</v>
          </cell>
          <cell r="C546">
            <v>4</v>
          </cell>
          <cell r="D546">
            <v>0</v>
          </cell>
        </row>
        <row r="547">
          <cell r="A547" t="str">
            <v>201-006-001-0007</v>
          </cell>
          <cell r="B547" t="str">
            <v>Clocks</v>
          </cell>
          <cell r="C547">
            <v>4</v>
          </cell>
          <cell r="D547">
            <v>0</v>
          </cell>
        </row>
        <row r="548">
          <cell r="A548" t="str">
            <v>201-006-001-0008</v>
          </cell>
          <cell r="B548" t="str">
            <v>Projector</v>
          </cell>
          <cell r="C548">
            <v>4</v>
          </cell>
          <cell r="D548">
            <v>0</v>
          </cell>
        </row>
        <row r="549">
          <cell r="A549" t="str">
            <v>201-006-001-0009</v>
          </cell>
          <cell r="B549" t="str">
            <v>Fire Fighting Equipments</v>
          </cell>
          <cell r="C549">
            <v>4</v>
          </cell>
          <cell r="D549">
            <v>0</v>
          </cell>
        </row>
        <row r="550">
          <cell r="A550" t="str">
            <v>201-006-001-0010</v>
          </cell>
          <cell r="B550" t="str">
            <v>Cameras (Still)</v>
          </cell>
          <cell r="C550">
            <v>4</v>
          </cell>
          <cell r="D550">
            <v>0</v>
          </cell>
        </row>
        <row r="551">
          <cell r="A551" t="str">
            <v>201-007-000-0000</v>
          </cell>
          <cell r="B551" t="str">
            <v>Electric Equipments and Installations</v>
          </cell>
          <cell r="C551">
            <v>2</v>
          </cell>
          <cell r="D551">
            <v>0</v>
          </cell>
        </row>
        <row r="552">
          <cell r="A552" t="str">
            <v>201-007-001-0000</v>
          </cell>
          <cell r="B552" t="str">
            <v>Electric Equipments and Installations</v>
          </cell>
          <cell r="C552">
            <v>3</v>
          </cell>
          <cell r="D552">
            <v>0</v>
          </cell>
        </row>
        <row r="553">
          <cell r="A553" t="str">
            <v>201-007-001-0001</v>
          </cell>
          <cell r="B553" t="str">
            <v>Air conditioners</v>
          </cell>
          <cell r="C553">
            <v>4</v>
          </cell>
          <cell r="D553">
            <v>0</v>
          </cell>
        </row>
        <row r="554">
          <cell r="A554" t="str">
            <v>201-007-001-0002</v>
          </cell>
          <cell r="B554" t="str">
            <v>Hot / cool Water cooler</v>
          </cell>
          <cell r="C554">
            <v>4</v>
          </cell>
          <cell r="D554">
            <v>0</v>
          </cell>
        </row>
        <row r="555">
          <cell r="A555" t="str">
            <v>201-007-001-0003</v>
          </cell>
          <cell r="B555" t="str">
            <v>Fans</v>
          </cell>
          <cell r="C555">
            <v>4</v>
          </cell>
          <cell r="D555">
            <v>0</v>
          </cell>
        </row>
        <row r="556">
          <cell r="A556" t="str">
            <v>201-007-001-0004</v>
          </cell>
          <cell r="B556" t="str">
            <v>Exhaust Fans</v>
          </cell>
          <cell r="C556">
            <v>4</v>
          </cell>
          <cell r="D556">
            <v>0</v>
          </cell>
        </row>
        <row r="557">
          <cell r="A557" t="str">
            <v>201-007-001-0005</v>
          </cell>
          <cell r="B557" t="str">
            <v>Water Pumps</v>
          </cell>
          <cell r="C557">
            <v>4</v>
          </cell>
          <cell r="D557">
            <v>0</v>
          </cell>
        </row>
        <row r="558">
          <cell r="A558" t="str">
            <v>201-007-001-0006</v>
          </cell>
          <cell r="B558" t="str">
            <v>T.V</v>
          </cell>
          <cell r="C558">
            <v>4</v>
          </cell>
          <cell r="D558">
            <v>0</v>
          </cell>
        </row>
        <row r="559">
          <cell r="A559" t="str">
            <v>201-007-001-0007</v>
          </cell>
          <cell r="B559" t="str">
            <v>VCR</v>
          </cell>
          <cell r="C559">
            <v>4</v>
          </cell>
          <cell r="D559">
            <v>0</v>
          </cell>
        </row>
        <row r="560">
          <cell r="A560" t="str">
            <v>201-007-001-0008</v>
          </cell>
          <cell r="B560" t="str">
            <v>Gas Appliances</v>
          </cell>
          <cell r="C560">
            <v>4</v>
          </cell>
          <cell r="D560">
            <v>0</v>
          </cell>
        </row>
        <row r="561">
          <cell r="A561" t="str">
            <v>201-007-001-0009</v>
          </cell>
          <cell r="B561" t="str">
            <v>Refrigerators</v>
          </cell>
          <cell r="C561">
            <v>4</v>
          </cell>
          <cell r="D561">
            <v>0</v>
          </cell>
        </row>
        <row r="562">
          <cell r="A562" t="str">
            <v>201-007-001-0010</v>
          </cell>
          <cell r="B562" t="str">
            <v>Water Filter</v>
          </cell>
          <cell r="C562">
            <v>4</v>
          </cell>
          <cell r="D562">
            <v>0</v>
          </cell>
        </row>
        <row r="563">
          <cell r="A563" t="str">
            <v>201-007-001-0011</v>
          </cell>
          <cell r="B563" t="str">
            <v>400 KVA Transformer</v>
          </cell>
          <cell r="C563">
            <v>4</v>
          </cell>
          <cell r="D563">
            <v>0</v>
          </cell>
        </row>
        <row r="564">
          <cell r="A564" t="str">
            <v>201-007-001-0012</v>
          </cell>
          <cell r="B564" t="str">
            <v>Vaccum Pump</v>
          </cell>
          <cell r="C564">
            <v>4</v>
          </cell>
          <cell r="D564">
            <v>0</v>
          </cell>
        </row>
        <row r="565">
          <cell r="A565" t="str">
            <v>201-007-001-0013</v>
          </cell>
          <cell r="B565" t="str">
            <v>Office Bell</v>
          </cell>
          <cell r="C565">
            <v>4</v>
          </cell>
          <cell r="D565">
            <v>0</v>
          </cell>
        </row>
        <row r="566">
          <cell r="A566" t="str">
            <v>201-007-001-0014</v>
          </cell>
          <cell r="B566" t="str">
            <v>Room AIR Cooler</v>
          </cell>
          <cell r="C566">
            <v>4</v>
          </cell>
          <cell r="D566">
            <v>0</v>
          </cell>
        </row>
        <row r="567">
          <cell r="A567" t="str">
            <v>201-008-000-0000</v>
          </cell>
          <cell r="B567" t="str">
            <v>Wireless Equipments</v>
          </cell>
          <cell r="C567">
            <v>2</v>
          </cell>
          <cell r="D567">
            <v>0</v>
          </cell>
        </row>
        <row r="568">
          <cell r="A568" t="str">
            <v>201-008-001-0000</v>
          </cell>
          <cell r="B568" t="str">
            <v>Wireless Equipments</v>
          </cell>
          <cell r="C568">
            <v>3</v>
          </cell>
          <cell r="D568">
            <v>0</v>
          </cell>
        </row>
        <row r="569">
          <cell r="A569" t="str">
            <v>201-008-001-0001</v>
          </cell>
          <cell r="B569" t="str">
            <v>Wireless Equipments</v>
          </cell>
          <cell r="C569">
            <v>4</v>
          </cell>
          <cell r="D569">
            <v>0</v>
          </cell>
        </row>
        <row r="570">
          <cell r="A570" t="str">
            <v>201-009-000-0000</v>
          </cell>
          <cell r="B570" t="str">
            <v>Laboratory Equipments</v>
          </cell>
          <cell r="C570">
            <v>2</v>
          </cell>
          <cell r="D570">
            <v>0</v>
          </cell>
        </row>
        <row r="571">
          <cell r="A571" t="str">
            <v>201-009-001-0000</v>
          </cell>
          <cell r="B571" t="str">
            <v>Laboratory Equipments</v>
          </cell>
          <cell r="C571">
            <v>3</v>
          </cell>
          <cell r="D571">
            <v>0</v>
          </cell>
        </row>
        <row r="572">
          <cell r="A572" t="str">
            <v>201-009-001-0001</v>
          </cell>
          <cell r="B572" t="str">
            <v>Laboratory Equipments</v>
          </cell>
          <cell r="C572">
            <v>4</v>
          </cell>
          <cell r="D572">
            <v>0</v>
          </cell>
        </row>
        <row r="573">
          <cell r="A573" t="str">
            <v>201-010-000-0000</v>
          </cell>
          <cell r="B573" t="str">
            <v>Survey Equipments</v>
          </cell>
          <cell r="C573">
            <v>2</v>
          </cell>
          <cell r="D573">
            <v>0</v>
          </cell>
        </row>
        <row r="574">
          <cell r="A574" t="str">
            <v>201-010-001-0000</v>
          </cell>
          <cell r="B574" t="str">
            <v>Survey Equipments</v>
          </cell>
          <cell r="C574">
            <v>3</v>
          </cell>
          <cell r="D574">
            <v>0</v>
          </cell>
        </row>
        <row r="575">
          <cell r="A575" t="str">
            <v>201-010-001-0001</v>
          </cell>
          <cell r="B575" t="str">
            <v>Survey Equipments</v>
          </cell>
          <cell r="C575">
            <v>4</v>
          </cell>
          <cell r="D575">
            <v>0</v>
          </cell>
        </row>
        <row r="576">
          <cell r="A576" t="str">
            <v>201-011-000-0000</v>
          </cell>
          <cell r="B576" t="str">
            <v>Computers</v>
          </cell>
          <cell r="C576">
            <v>2</v>
          </cell>
          <cell r="D576">
            <v>0</v>
          </cell>
        </row>
        <row r="577">
          <cell r="A577" t="str">
            <v>201-011-001-0000</v>
          </cell>
          <cell r="B577" t="str">
            <v>Computers</v>
          </cell>
          <cell r="C577">
            <v>3</v>
          </cell>
          <cell r="D577">
            <v>0</v>
          </cell>
        </row>
        <row r="578">
          <cell r="A578" t="str">
            <v>201-011-001-0001</v>
          </cell>
          <cell r="B578" t="str">
            <v>CPU + Monitors+Key Board+Mouse</v>
          </cell>
          <cell r="C578">
            <v>4</v>
          </cell>
          <cell r="D578">
            <v>0</v>
          </cell>
        </row>
        <row r="579">
          <cell r="A579" t="str">
            <v>201-011-001-0002</v>
          </cell>
          <cell r="B579" t="str">
            <v>Printers</v>
          </cell>
          <cell r="C579">
            <v>4</v>
          </cell>
          <cell r="D579">
            <v>0</v>
          </cell>
        </row>
        <row r="580">
          <cell r="A580" t="str">
            <v>201-011-001-0003</v>
          </cell>
          <cell r="B580" t="str">
            <v>UPS</v>
          </cell>
          <cell r="C580">
            <v>4</v>
          </cell>
          <cell r="D580">
            <v>0</v>
          </cell>
        </row>
        <row r="581">
          <cell r="A581" t="str">
            <v>201-011-001-0004</v>
          </cell>
          <cell r="B581" t="str">
            <v>Stablizers</v>
          </cell>
          <cell r="C581">
            <v>4</v>
          </cell>
          <cell r="D581">
            <v>0</v>
          </cell>
        </row>
        <row r="582">
          <cell r="A582" t="str">
            <v>202-000-000-0000</v>
          </cell>
          <cell r="B582" t="str">
            <v>Accumulated Depriciation of Operating Fixed Assets</v>
          </cell>
          <cell r="C582">
            <v>1</v>
          </cell>
          <cell r="D582">
            <v>-68000</v>
          </cell>
        </row>
        <row r="583">
          <cell r="A583" t="str">
            <v>202-001-000-0000</v>
          </cell>
          <cell r="B583" t="str">
            <v>Accumulated Depriciation of Operating Fixed Assets</v>
          </cell>
          <cell r="C583">
            <v>2</v>
          </cell>
          <cell r="D583">
            <v>-68000</v>
          </cell>
        </row>
        <row r="584">
          <cell r="A584" t="str">
            <v>202-001-001-0000</v>
          </cell>
          <cell r="B584" t="str">
            <v>Accumulated Depriciation of Operating Fixed Assets</v>
          </cell>
          <cell r="C584">
            <v>3</v>
          </cell>
          <cell r="D584">
            <v>-68000</v>
          </cell>
        </row>
        <row r="585">
          <cell r="A585" t="str">
            <v>202-001-001-0001</v>
          </cell>
          <cell r="B585" t="str">
            <v>Accumulated Depriciation of Operating Fixed Assets</v>
          </cell>
          <cell r="C585">
            <v>4</v>
          </cell>
          <cell r="D585">
            <v>-68000</v>
          </cell>
        </row>
        <row r="586">
          <cell r="A586" t="str">
            <v>203-000-000-0000</v>
          </cell>
          <cell r="B586" t="str">
            <v>Assets Subject to Finance Lease</v>
          </cell>
          <cell r="C586">
            <v>1</v>
          </cell>
          <cell r="D586">
            <v>0</v>
          </cell>
        </row>
        <row r="587">
          <cell r="A587" t="str">
            <v>203-001-000-0000</v>
          </cell>
          <cell r="B587" t="str">
            <v>Assets Subject to Finance Lease</v>
          </cell>
          <cell r="C587">
            <v>2</v>
          </cell>
          <cell r="D587">
            <v>0</v>
          </cell>
        </row>
        <row r="588">
          <cell r="A588" t="str">
            <v>203-001-001-0000</v>
          </cell>
          <cell r="B588" t="str">
            <v>Assets Subject to Finance Lease</v>
          </cell>
          <cell r="C588">
            <v>3</v>
          </cell>
          <cell r="D588">
            <v>0</v>
          </cell>
        </row>
        <row r="589">
          <cell r="A589" t="str">
            <v>203-001-001-0001</v>
          </cell>
          <cell r="B589" t="str">
            <v>Assets Subject to Finance Lease</v>
          </cell>
          <cell r="C589">
            <v>4</v>
          </cell>
          <cell r="D589">
            <v>0</v>
          </cell>
        </row>
        <row r="590">
          <cell r="A590" t="str">
            <v>204-000-000-0000</v>
          </cell>
          <cell r="B590" t="str">
            <v>Accumulated Amortisation of Assets Subect to Finan</v>
          </cell>
          <cell r="C590">
            <v>1</v>
          </cell>
          <cell r="D590">
            <v>0</v>
          </cell>
        </row>
        <row r="591">
          <cell r="A591" t="str">
            <v>204-001-000-0000</v>
          </cell>
          <cell r="B591" t="str">
            <v>Accumulated Amortisation of Assets Subect to Finan</v>
          </cell>
          <cell r="C591">
            <v>2</v>
          </cell>
          <cell r="D591">
            <v>0</v>
          </cell>
        </row>
        <row r="592">
          <cell r="A592" t="str">
            <v>204-001-001-0000</v>
          </cell>
          <cell r="B592" t="str">
            <v>Accumulated Amortisation of Assets Subect to Finan</v>
          </cell>
          <cell r="C592">
            <v>3</v>
          </cell>
          <cell r="D592">
            <v>0</v>
          </cell>
        </row>
        <row r="593">
          <cell r="A593" t="str">
            <v>204-001-001-0001</v>
          </cell>
          <cell r="B593" t="str">
            <v>Accumulated Amortisation of Assets Subect to Finan</v>
          </cell>
          <cell r="C593">
            <v>4</v>
          </cell>
          <cell r="D593">
            <v>0</v>
          </cell>
        </row>
        <row r="594">
          <cell r="A594" t="str">
            <v>205-000-000-0000</v>
          </cell>
          <cell r="B594" t="str">
            <v>Capital Work in Progress</v>
          </cell>
          <cell r="C594">
            <v>1</v>
          </cell>
          <cell r="D594">
            <v>0</v>
          </cell>
        </row>
        <row r="595">
          <cell r="A595" t="str">
            <v>205-001-000-0000</v>
          </cell>
          <cell r="B595" t="str">
            <v>Capital Work in Progress</v>
          </cell>
          <cell r="C595">
            <v>2</v>
          </cell>
          <cell r="D595">
            <v>0</v>
          </cell>
        </row>
        <row r="596">
          <cell r="A596" t="str">
            <v>205-001-001-0000</v>
          </cell>
          <cell r="B596" t="str">
            <v>Capital Work in Progress</v>
          </cell>
          <cell r="C596">
            <v>3</v>
          </cell>
          <cell r="D596">
            <v>0</v>
          </cell>
        </row>
        <row r="597">
          <cell r="A597" t="str">
            <v>205-001-001-0001</v>
          </cell>
          <cell r="B597" t="str">
            <v>Capital Work in Progress</v>
          </cell>
          <cell r="C597">
            <v>4</v>
          </cell>
          <cell r="D597">
            <v>0</v>
          </cell>
        </row>
        <row r="598">
          <cell r="A598" t="str">
            <v>206-000-000-0000</v>
          </cell>
          <cell r="B598" t="str">
            <v>Long Term Investments</v>
          </cell>
          <cell r="C598">
            <v>1</v>
          </cell>
          <cell r="D598">
            <v>0</v>
          </cell>
        </row>
        <row r="599">
          <cell r="A599" t="str">
            <v>206-001-000-0000</v>
          </cell>
          <cell r="B599" t="str">
            <v>Long Term Investments</v>
          </cell>
          <cell r="C599">
            <v>2</v>
          </cell>
          <cell r="D599">
            <v>0</v>
          </cell>
        </row>
        <row r="600">
          <cell r="A600" t="str">
            <v>206-001-001-0000</v>
          </cell>
          <cell r="B600" t="str">
            <v>Long Term Investments</v>
          </cell>
          <cell r="C600">
            <v>3</v>
          </cell>
          <cell r="D600">
            <v>0</v>
          </cell>
        </row>
        <row r="601">
          <cell r="A601" t="str">
            <v>206-001-001-0001</v>
          </cell>
          <cell r="B601" t="str">
            <v>Long Term Investments</v>
          </cell>
          <cell r="C601">
            <v>4</v>
          </cell>
          <cell r="D601">
            <v>0</v>
          </cell>
        </row>
        <row r="602">
          <cell r="A602" t="str">
            <v>207-000-000-0000</v>
          </cell>
          <cell r="B602" t="str">
            <v>Long Term Loans, Deposits and Deferred Cost</v>
          </cell>
          <cell r="C602">
            <v>1</v>
          </cell>
          <cell r="D602">
            <v>0</v>
          </cell>
        </row>
        <row r="603">
          <cell r="A603" t="str">
            <v>207-001-000-0000</v>
          </cell>
          <cell r="B603" t="str">
            <v>Long Term Loans, Deposits and Deferred Cost</v>
          </cell>
          <cell r="C603">
            <v>2</v>
          </cell>
          <cell r="D603">
            <v>0</v>
          </cell>
        </row>
        <row r="604">
          <cell r="A604" t="str">
            <v>207-001-001-0000</v>
          </cell>
          <cell r="B604" t="str">
            <v>Long Term Loans</v>
          </cell>
          <cell r="C604">
            <v>3</v>
          </cell>
          <cell r="D604">
            <v>0</v>
          </cell>
        </row>
        <row r="605">
          <cell r="A605" t="str">
            <v>207-001-001-0001</v>
          </cell>
          <cell r="B605" t="str">
            <v>Loan</v>
          </cell>
          <cell r="C605">
            <v>4</v>
          </cell>
          <cell r="D605">
            <v>0</v>
          </cell>
        </row>
        <row r="606">
          <cell r="A606" t="str">
            <v>207-001-002-0000</v>
          </cell>
          <cell r="B606" t="str">
            <v>Long Term Deposits</v>
          </cell>
          <cell r="C606">
            <v>3</v>
          </cell>
          <cell r="D606">
            <v>0</v>
          </cell>
        </row>
        <row r="607">
          <cell r="A607" t="str">
            <v>207-001-002-0001</v>
          </cell>
          <cell r="B607" t="str">
            <v>Deposits</v>
          </cell>
          <cell r="C607">
            <v>4</v>
          </cell>
          <cell r="D607">
            <v>0</v>
          </cell>
        </row>
        <row r="608">
          <cell r="A608" t="str">
            <v>207-001-003-0000</v>
          </cell>
          <cell r="B608" t="str">
            <v>Deferred  Cost</v>
          </cell>
          <cell r="C608">
            <v>3</v>
          </cell>
          <cell r="D608">
            <v>0</v>
          </cell>
        </row>
        <row r="609">
          <cell r="A609" t="str">
            <v>207-001-003-0001</v>
          </cell>
          <cell r="B609" t="str">
            <v>Deferred  Cost</v>
          </cell>
          <cell r="C609">
            <v>4</v>
          </cell>
          <cell r="D609">
            <v>0</v>
          </cell>
        </row>
        <row r="610">
          <cell r="A610" t="str">
            <v>208-000-000-0000</v>
          </cell>
          <cell r="B610" t="str">
            <v>Stores, Spares and Losse Tools</v>
          </cell>
          <cell r="C610">
            <v>1</v>
          </cell>
          <cell r="D610">
            <v>0</v>
          </cell>
        </row>
        <row r="611">
          <cell r="A611" t="str">
            <v>208-001-000-0000</v>
          </cell>
          <cell r="B611" t="str">
            <v>Stores, Spares and Losse Tools</v>
          </cell>
          <cell r="C611">
            <v>2</v>
          </cell>
          <cell r="D611">
            <v>0</v>
          </cell>
        </row>
        <row r="612">
          <cell r="A612" t="str">
            <v>208-001-001-0000</v>
          </cell>
          <cell r="B612" t="str">
            <v>Stores, Spares and Losse Tools</v>
          </cell>
          <cell r="C612">
            <v>3</v>
          </cell>
          <cell r="D612">
            <v>0</v>
          </cell>
        </row>
        <row r="613">
          <cell r="A613" t="str">
            <v>208-001-001-0001</v>
          </cell>
          <cell r="B613" t="str">
            <v>Stores</v>
          </cell>
          <cell r="C613">
            <v>4</v>
          </cell>
          <cell r="D613">
            <v>0</v>
          </cell>
        </row>
        <row r="614">
          <cell r="A614" t="str">
            <v>208-001-001-0002</v>
          </cell>
          <cell r="B614" t="str">
            <v>Spares</v>
          </cell>
          <cell r="C614">
            <v>4</v>
          </cell>
          <cell r="D614">
            <v>0</v>
          </cell>
        </row>
        <row r="615">
          <cell r="A615" t="str">
            <v>208-001-001-0003</v>
          </cell>
          <cell r="B615" t="str">
            <v>Loose Tools</v>
          </cell>
          <cell r="C615">
            <v>4</v>
          </cell>
          <cell r="D615">
            <v>0</v>
          </cell>
        </row>
        <row r="616">
          <cell r="A616" t="str">
            <v>209-000-000-0000</v>
          </cell>
          <cell r="B616" t="str">
            <v>Stock in Trade</v>
          </cell>
          <cell r="C616">
            <v>1</v>
          </cell>
          <cell r="D616">
            <v>0</v>
          </cell>
        </row>
        <row r="617">
          <cell r="A617" t="str">
            <v>209-001-000-0000</v>
          </cell>
          <cell r="B617" t="str">
            <v>Stock in Trade</v>
          </cell>
          <cell r="C617">
            <v>2</v>
          </cell>
          <cell r="D617">
            <v>0</v>
          </cell>
        </row>
        <row r="618">
          <cell r="A618" t="str">
            <v>209-001-001-0000</v>
          </cell>
          <cell r="B618" t="str">
            <v>Stock in Trade</v>
          </cell>
          <cell r="C618">
            <v>3</v>
          </cell>
          <cell r="D618">
            <v>0</v>
          </cell>
        </row>
        <row r="619">
          <cell r="A619" t="str">
            <v>209-001-001-0001</v>
          </cell>
          <cell r="B619" t="str">
            <v>Raw material</v>
          </cell>
          <cell r="C619">
            <v>4</v>
          </cell>
          <cell r="D619">
            <v>0</v>
          </cell>
        </row>
        <row r="620">
          <cell r="A620" t="str">
            <v>209-001-001-0002</v>
          </cell>
          <cell r="B620" t="str">
            <v>Construction material</v>
          </cell>
          <cell r="C620">
            <v>4</v>
          </cell>
          <cell r="D620">
            <v>0</v>
          </cell>
        </row>
        <row r="621">
          <cell r="A621" t="str">
            <v>209-001-001-0003</v>
          </cell>
          <cell r="B621" t="str">
            <v>Precasting factory material</v>
          </cell>
          <cell r="C621">
            <v>4</v>
          </cell>
          <cell r="D621">
            <v>0</v>
          </cell>
        </row>
        <row r="622">
          <cell r="A622" t="str">
            <v>209-001-001-0004</v>
          </cell>
          <cell r="B622" t="str">
            <v>Work in Process</v>
          </cell>
          <cell r="C622">
            <v>4</v>
          </cell>
          <cell r="D622">
            <v>0</v>
          </cell>
        </row>
        <row r="623">
          <cell r="A623" t="str">
            <v>209-001-001-0005</v>
          </cell>
          <cell r="B623" t="str">
            <v>Finished Goods</v>
          </cell>
          <cell r="C623">
            <v>4</v>
          </cell>
          <cell r="D623">
            <v>0</v>
          </cell>
        </row>
        <row r="624">
          <cell r="A624" t="str">
            <v>210-000-000-0000</v>
          </cell>
          <cell r="B624" t="str">
            <v>Work in progress</v>
          </cell>
          <cell r="C624">
            <v>1</v>
          </cell>
          <cell r="D624">
            <v>0</v>
          </cell>
        </row>
        <row r="625">
          <cell r="A625" t="str">
            <v>210-001-000-0000</v>
          </cell>
          <cell r="B625" t="str">
            <v>Work in progress</v>
          </cell>
          <cell r="C625">
            <v>2</v>
          </cell>
          <cell r="D625">
            <v>0</v>
          </cell>
        </row>
        <row r="626">
          <cell r="A626" t="str">
            <v>210-001-001-0000</v>
          </cell>
          <cell r="B626" t="str">
            <v>Work in progress</v>
          </cell>
          <cell r="C626">
            <v>3</v>
          </cell>
          <cell r="D626">
            <v>0</v>
          </cell>
        </row>
        <row r="627">
          <cell r="A627" t="str">
            <v>210-001-001-0001</v>
          </cell>
          <cell r="B627" t="str">
            <v>Work in progress</v>
          </cell>
          <cell r="C627">
            <v>4</v>
          </cell>
          <cell r="D627">
            <v>0</v>
          </cell>
        </row>
        <row r="628">
          <cell r="A628" t="str">
            <v>211-000-000-0000</v>
          </cell>
          <cell r="B628" t="str">
            <v>Contract Receivable/Trade Debts</v>
          </cell>
          <cell r="C628">
            <v>1</v>
          </cell>
          <cell r="D628">
            <v>13124222</v>
          </cell>
        </row>
        <row r="629">
          <cell r="A629" t="str">
            <v>211-001-000-0000</v>
          </cell>
          <cell r="B629" t="str">
            <v>Contract Receivable/Trade Debts</v>
          </cell>
          <cell r="C629">
            <v>2</v>
          </cell>
          <cell r="D629">
            <v>13124222</v>
          </cell>
        </row>
        <row r="630">
          <cell r="A630" t="str">
            <v>211-001-001-0000</v>
          </cell>
          <cell r="B630" t="str">
            <v>Contract Receivable/Trade Debts</v>
          </cell>
          <cell r="C630">
            <v>3</v>
          </cell>
          <cell r="D630">
            <v>13124222</v>
          </cell>
        </row>
        <row r="631">
          <cell r="A631" t="str">
            <v>211-001-001-0001</v>
          </cell>
          <cell r="B631" t="str">
            <v>Contract Receivable from NHA Account RUADP</v>
          </cell>
          <cell r="C631">
            <v>4</v>
          </cell>
          <cell r="D631">
            <v>0</v>
          </cell>
        </row>
        <row r="632">
          <cell r="A632" t="str">
            <v>211-001-001-0002</v>
          </cell>
          <cell r="B632" t="str">
            <v>Contract Receivable from NHA PTCL</v>
          </cell>
          <cell r="C632">
            <v>4</v>
          </cell>
          <cell r="D632">
            <v>0</v>
          </cell>
        </row>
        <row r="633">
          <cell r="A633" t="str">
            <v>211-001-001-0003</v>
          </cell>
          <cell r="B633" t="str">
            <v>Contract Receivable from NHA Cantt Board Project</v>
          </cell>
          <cell r="C633">
            <v>4</v>
          </cell>
          <cell r="D633">
            <v>0</v>
          </cell>
        </row>
        <row r="634">
          <cell r="A634" t="str">
            <v>211-001-001-0004</v>
          </cell>
          <cell r="B634" t="str">
            <v>Contract Receivable from NHA Service Road M-2</v>
          </cell>
          <cell r="C634">
            <v>4</v>
          </cell>
          <cell r="D634">
            <v>0</v>
          </cell>
        </row>
        <row r="635">
          <cell r="A635" t="str">
            <v>211-001-001-0005</v>
          </cell>
          <cell r="B635" t="str">
            <v>Contract Receivable from NHA Cantt Board Prj (FAA)</v>
          </cell>
          <cell r="C635">
            <v>4</v>
          </cell>
          <cell r="D635">
            <v>0</v>
          </cell>
        </row>
        <row r="636">
          <cell r="A636" t="str">
            <v>211-001-001-0006</v>
          </cell>
          <cell r="B636" t="str">
            <v>Contract Receivable from Dina Driving School</v>
          </cell>
          <cell r="C636">
            <v>4</v>
          </cell>
          <cell r="D636">
            <v>0</v>
          </cell>
        </row>
        <row r="637">
          <cell r="A637" t="str">
            <v>211-001-001-0007</v>
          </cell>
          <cell r="B637" t="str">
            <v>Contract Receivable from OTC CMH</v>
          </cell>
          <cell r="C637">
            <v>4</v>
          </cell>
          <cell r="D637">
            <v>13124222</v>
          </cell>
        </row>
        <row r="638">
          <cell r="A638" t="str">
            <v>212-000-000-0000</v>
          </cell>
          <cell r="B638" t="str">
            <v>Loans, Advances, Deposits, Prepayments and other R</v>
          </cell>
          <cell r="C638">
            <v>1</v>
          </cell>
          <cell r="D638">
            <v>2932381</v>
          </cell>
        </row>
        <row r="639">
          <cell r="A639" t="str">
            <v>212-001-000-0000</v>
          </cell>
          <cell r="B639" t="str">
            <v>Loans</v>
          </cell>
          <cell r="C639">
            <v>2</v>
          </cell>
          <cell r="D639">
            <v>0</v>
          </cell>
        </row>
        <row r="640">
          <cell r="A640" t="str">
            <v>212-001-001-0000</v>
          </cell>
          <cell r="B640" t="str">
            <v>Loans to Associated Projects</v>
          </cell>
          <cell r="C640">
            <v>3</v>
          </cell>
          <cell r="D640">
            <v>0</v>
          </cell>
        </row>
        <row r="641">
          <cell r="A641" t="str">
            <v>212-001-001-0001</v>
          </cell>
          <cell r="B641" t="str">
            <v>Local Loans RUADP</v>
          </cell>
          <cell r="C641">
            <v>4</v>
          </cell>
          <cell r="D641">
            <v>0</v>
          </cell>
        </row>
        <row r="642">
          <cell r="A642" t="str">
            <v>212-001-001-0002</v>
          </cell>
          <cell r="B642" t="str">
            <v>Local Loans PTCL Project</v>
          </cell>
          <cell r="C642">
            <v>4</v>
          </cell>
          <cell r="D642">
            <v>0</v>
          </cell>
        </row>
        <row r="643">
          <cell r="A643" t="str">
            <v>212-001-001-0003</v>
          </cell>
          <cell r="B643" t="str">
            <v>Local Loan Cantt Board Projects</v>
          </cell>
          <cell r="C643">
            <v>4</v>
          </cell>
          <cell r="D643">
            <v>0</v>
          </cell>
        </row>
        <row r="644">
          <cell r="A644" t="str">
            <v>212-001-001-0004</v>
          </cell>
          <cell r="B644" t="str">
            <v>Local Loan Service Road M-2</v>
          </cell>
          <cell r="C644">
            <v>4</v>
          </cell>
          <cell r="D644">
            <v>0</v>
          </cell>
        </row>
        <row r="645">
          <cell r="A645" t="str">
            <v>212-001-001-0005</v>
          </cell>
          <cell r="B645" t="str">
            <v>Local Loan Cantt Board Projects (FAA)</v>
          </cell>
          <cell r="C645">
            <v>4</v>
          </cell>
          <cell r="D645">
            <v>0</v>
          </cell>
        </row>
        <row r="646">
          <cell r="A646" t="str">
            <v>212-001-001-0006</v>
          </cell>
          <cell r="B646" t="str">
            <v>Local Loan to Proj Con KRAC</v>
          </cell>
          <cell r="C646">
            <v>4</v>
          </cell>
          <cell r="D646">
            <v>0</v>
          </cell>
        </row>
        <row r="647">
          <cell r="A647" t="str">
            <v>212-001-001-0007</v>
          </cell>
          <cell r="B647" t="str">
            <v>Local Loan to Proj Con MDA(AK)</v>
          </cell>
          <cell r="C647">
            <v>4</v>
          </cell>
          <cell r="D647">
            <v>0</v>
          </cell>
        </row>
        <row r="648">
          <cell r="A648" t="str">
            <v>212-001-001-0008</v>
          </cell>
          <cell r="B648" t="str">
            <v>Local Loan to Proj Con Driving Trac Dina NLC</v>
          </cell>
          <cell r="C648">
            <v>4</v>
          </cell>
          <cell r="D648">
            <v>0</v>
          </cell>
        </row>
        <row r="649">
          <cell r="A649" t="str">
            <v>212-001-001-9001</v>
          </cell>
          <cell r="B649" t="str">
            <v>Sawan camp</v>
          </cell>
          <cell r="C649">
            <v>4</v>
          </cell>
          <cell r="D649">
            <v>0</v>
          </cell>
        </row>
        <row r="650">
          <cell r="A650" t="str">
            <v>212-001-002-0000</v>
          </cell>
          <cell r="B650" t="str">
            <v>Loan To Army Officers</v>
          </cell>
          <cell r="C650">
            <v>3</v>
          </cell>
          <cell r="D650">
            <v>0</v>
          </cell>
        </row>
        <row r="651">
          <cell r="A651" t="str">
            <v>212-001-002-0001</v>
          </cell>
          <cell r="B651" t="str">
            <v>Loan To Army Officers</v>
          </cell>
          <cell r="C651">
            <v>4</v>
          </cell>
          <cell r="D651">
            <v>0</v>
          </cell>
        </row>
        <row r="652">
          <cell r="A652" t="str">
            <v>212-001-003-0000</v>
          </cell>
          <cell r="B652" t="str">
            <v>Loan to Civil Staff</v>
          </cell>
          <cell r="C652">
            <v>3</v>
          </cell>
          <cell r="D652">
            <v>0</v>
          </cell>
        </row>
        <row r="653">
          <cell r="A653" t="str">
            <v>212-001-003-0001</v>
          </cell>
          <cell r="B653" t="str">
            <v>Civilian Staff</v>
          </cell>
          <cell r="C653">
            <v>4</v>
          </cell>
          <cell r="D653">
            <v>0</v>
          </cell>
        </row>
        <row r="654">
          <cell r="A654" t="str">
            <v>212-001-004-0000</v>
          </cell>
          <cell r="B654" t="str">
            <v>Loan to JCOs' staff</v>
          </cell>
          <cell r="C654">
            <v>3</v>
          </cell>
          <cell r="D654">
            <v>0</v>
          </cell>
        </row>
        <row r="655">
          <cell r="A655" t="str">
            <v>212-001-004-0001</v>
          </cell>
          <cell r="B655" t="str">
            <v>Loan To JCO's Staff</v>
          </cell>
          <cell r="C655">
            <v>4</v>
          </cell>
          <cell r="D655">
            <v>0</v>
          </cell>
        </row>
        <row r="656">
          <cell r="A656" t="str">
            <v>212-002-000-0000</v>
          </cell>
          <cell r="B656" t="str">
            <v>Advance to Employees against Salaries</v>
          </cell>
          <cell r="C656">
            <v>2</v>
          </cell>
          <cell r="D656">
            <v>0</v>
          </cell>
        </row>
        <row r="657">
          <cell r="A657" t="str">
            <v>212-002-001-0000</v>
          </cell>
          <cell r="B657" t="str">
            <v>Advance to Army Officers</v>
          </cell>
          <cell r="C657">
            <v>3</v>
          </cell>
          <cell r="D657">
            <v>0</v>
          </cell>
        </row>
        <row r="658">
          <cell r="A658" t="str">
            <v>212-002-001-0001</v>
          </cell>
          <cell r="B658" t="str">
            <v>Army Officers</v>
          </cell>
          <cell r="C658">
            <v>4</v>
          </cell>
          <cell r="D658">
            <v>0</v>
          </cell>
        </row>
        <row r="659">
          <cell r="A659" t="str">
            <v>212-002-002-0000</v>
          </cell>
          <cell r="B659" t="str">
            <v>Advance to Civil staff</v>
          </cell>
          <cell r="C659">
            <v>3</v>
          </cell>
          <cell r="D659">
            <v>0</v>
          </cell>
        </row>
        <row r="660">
          <cell r="A660" t="str">
            <v>212-002-002-0001</v>
          </cell>
          <cell r="B660" t="str">
            <v>Civil staff</v>
          </cell>
          <cell r="C660">
            <v>4</v>
          </cell>
          <cell r="D660">
            <v>0</v>
          </cell>
        </row>
        <row r="661">
          <cell r="A661" t="str">
            <v>212-002-003-0000</v>
          </cell>
          <cell r="B661" t="str">
            <v>Advance to JCOs' Staff</v>
          </cell>
          <cell r="C661">
            <v>3</v>
          </cell>
          <cell r="D661">
            <v>0</v>
          </cell>
        </row>
        <row r="662">
          <cell r="A662" t="str">
            <v>212-003-000-0000</v>
          </cell>
          <cell r="B662" t="str">
            <v>Advance to Employees against Expenses</v>
          </cell>
          <cell r="C662">
            <v>2</v>
          </cell>
          <cell r="D662">
            <v>0</v>
          </cell>
        </row>
        <row r="663">
          <cell r="A663" t="str">
            <v>212-003-001-0000</v>
          </cell>
          <cell r="B663" t="str">
            <v>Advance to Army Officers</v>
          </cell>
          <cell r="C663">
            <v>3</v>
          </cell>
          <cell r="D663">
            <v>0</v>
          </cell>
        </row>
        <row r="664">
          <cell r="A664" t="str">
            <v>212-003-001-0001</v>
          </cell>
          <cell r="B664" t="str">
            <v>Advance To Army Officers</v>
          </cell>
          <cell r="C664">
            <v>4</v>
          </cell>
          <cell r="D664">
            <v>0</v>
          </cell>
        </row>
        <row r="665">
          <cell r="A665" t="str">
            <v>212-003-002-0000</v>
          </cell>
          <cell r="B665" t="str">
            <v>Advance to Civil staff</v>
          </cell>
          <cell r="C665">
            <v>3</v>
          </cell>
          <cell r="D665">
            <v>0</v>
          </cell>
        </row>
        <row r="666">
          <cell r="A666" t="str">
            <v>212-003-003-0000</v>
          </cell>
          <cell r="B666" t="str">
            <v>Advance to JCOs' Staff</v>
          </cell>
          <cell r="C666">
            <v>3</v>
          </cell>
          <cell r="D666">
            <v>0</v>
          </cell>
        </row>
        <row r="667">
          <cell r="A667" t="str">
            <v>212-004-000-0000</v>
          </cell>
          <cell r="B667" t="str">
            <v>Advance to Associated Projects</v>
          </cell>
          <cell r="C667">
            <v>2</v>
          </cell>
          <cell r="D667">
            <v>0</v>
          </cell>
        </row>
        <row r="668">
          <cell r="A668" t="str">
            <v>212-004-001-0000</v>
          </cell>
          <cell r="B668" t="str">
            <v>Advance to Associated Projects</v>
          </cell>
          <cell r="C668">
            <v>3</v>
          </cell>
          <cell r="D668">
            <v>0</v>
          </cell>
        </row>
        <row r="669">
          <cell r="A669" t="str">
            <v>212-005-000-0000</v>
          </cell>
          <cell r="B669" t="str">
            <v>Advance to Contractors</v>
          </cell>
          <cell r="C669">
            <v>2</v>
          </cell>
          <cell r="D669">
            <v>0</v>
          </cell>
        </row>
        <row r="670">
          <cell r="A670" t="str">
            <v>212-005-001-0000</v>
          </cell>
          <cell r="B670" t="str">
            <v>Advance to Contractors</v>
          </cell>
          <cell r="C670">
            <v>3</v>
          </cell>
          <cell r="D670">
            <v>0</v>
          </cell>
        </row>
        <row r="671">
          <cell r="A671" t="str">
            <v>212-005-001-0001</v>
          </cell>
          <cell r="B671" t="str">
            <v>Advance to Contractors</v>
          </cell>
          <cell r="C671">
            <v>4</v>
          </cell>
          <cell r="D671">
            <v>0</v>
          </cell>
        </row>
        <row r="672">
          <cell r="A672" t="str">
            <v>212-006-000-0000</v>
          </cell>
          <cell r="B672" t="str">
            <v>Moblization Advances</v>
          </cell>
          <cell r="C672">
            <v>2</v>
          </cell>
          <cell r="D672">
            <v>0</v>
          </cell>
        </row>
        <row r="673">
          <cell r="A673" t="str">
            <v>212-006-001-0000</v>
          </cell>
          <cell r="B673" t="str">
            <v>Moblization Advances</v>
          </cell>
          <cell r="C673">
            <v>3</v>
          </cell>
          <cell r="D673">
            <v>0</v>
          </cell>
        </row>
        <row r="674">
          <cell r="A674" t="str">
            <v>212-006-001-0001</v>
          </cell>
          <cell r="B674" t="str">
            <v>Moblization Advances NHA</v>
          </cell>
          <cell r="C674">
            <v>4</v>
          </cell>
          <cell r="D674">
            <v>0</v>
          </cell>
        </row>
        <row r="675">
          <cell r="A675" t="str">
            <v>212-006-001-0002</v>
          </cell>
          <cell r="B675" t="str">
            <v>Moblization Advances GHQ</v>
          </cell>
          <cell r="C675">
            <v>4</v>
          </cell>
          <cell r="D675">
            <v>0</v>
          </cell>
        </row>
        <row r="676">
          <cell r="A676" t="str">
            <v>212-006-002-0000</v>
          </cell>
          <cell r="B676" t="str">
            <v>Advance for Legal Charges</v>
          </cell>
          <cell r="C676">
            <v>3</v>
          </cell>
          <cell r="D676">
            <v>0</v>
          </cell>
        </row>
        <row r="677">
          <cell r="A677" t="str">
            <v>212-006-002-0001</v>
          </cell>
          <cell r="B677" t="str">
            <v>Advance for Legal Charges</v>
          </cell>
          <cell r="C677">
            <v>4</v>
          </cell>
          <cell r="D677">
            <v>0</v>
          </cell>
        </row>
        <row r="678">
          <cell r="A678" t="str">
            <v>212-007-000-0000</v>
          </cell>
          <cell r="B678" t="str">
            <v>Deposits</v>
          </cell>
          <cell r="C678">
            <v>2</v>
          </cell>
          <cell r="D678">
            <v>0</v>
          </cell>
        </row>
        <row r="679">
          <cell r="A679" t="str">
            <v>212-007-001-0000</v>
          </cell>
          <cell r="B679" t="str">
            <v>Deposits - Utilities</v>
          </cell>
          <cell r="C679">
            <v>3</v>
          </cell>
          <cell r="D679">
            <v>0</v>
          </cell>
        </row>
        <row r="680">
          <cell r="A680" t="str">
            <v>212-007-001-0001</v>
          </cell>
          <cell r="B680" t="str">
            <v>Telephone Security Deposits</v>
          </cell>
          <cell r="C680">
            <v>4</v>
          </cell>
          <cell r="D680">
            <v>0</v>
          </cell>
        </row>
        <row r="681">
          <cell r="A681" t="str">
            <v>212-007-001-0002</v>
          </cell>
          <cell r="B681" t="str">
            <v>Electricity Security Deposits</v>
          </cell>
          <cell r="C681">
            <v>4</v>
          </cell>
          <cell r="D681">
            <v>0</v>
          </cell>
        </row>
        <row r="682">
          <cell r="A682" t="str">
            <v>212-007-001-0003</v>
          </cell>
          <cell r="B682" t="str">
            <v>Mobilephone Security Deposits</v>
          </cell>
          <cell r="C682">
            <v>4</v>
          </cell>
          <cell r="D682">
            <v>0</v>
          </cell>
        </row>
        <row r="683">
          <cell r="A683" t="str">
            <v>212-007-001-0004</v>
          </cell>
          <cell r="B683" t="str">
            <v>Sui Gas Security Deposits</v>
          </cell>
          <cell r="C683">
            <v>4</v>
          </cell>
          <cell r="D683">
            <v>0</v>
          </cell>
        </row>
        <row r="684">
          <cell r="A684" t="str">
            <v>212-007-002-0000</v>
          </cell>
          <cell r="B684" t="str">
            <v>Security Deposit to Clints</v>
          </cell>
          <cell r="C684">
            <v>3</v>
          </cell>
          <cell r="D684">
            <v>0</v>
          </cell>
        </row>
        <row r="685">
          <cell r="A685" t="str">
            <v>212-008-000-0000</v>
          </cell>
          <cell r="B685" t="str">
            <v>Prepayments</v>
          </cell>
          <cell r="C685">
            <v>2</v>
          </cell>
          <cell r="D685">
            <v>1881000</v>
          </cell>
        </row>
        <row r="686">
          <cell r="A686" t="str">
            <v>212-008-001-0000</v>
          </cell>
          <cell r="B686" t="str">
            <v>Income Tax Deducted at Soruce</v>
          </cell>
          <cell r="C686">
            <v>3</v>
          </cell>
          <cell r="D686">
            <v>0</v>
          </cell>
        </row>
        <row r="687">
          <cell r="A687" t="str">
            <v>212-008-002-0000</v>
          </cell>
          <cell r="B687" t="str">
            <v>Letter of Credits</v>
          </cell>
          <cell r="C687">
            <v>3</v>
          </cell>
          <cell r="D687">
            <v>0</v>
          </cell>
        </row>
        <row r="688">
          <cell r="A688" t="str">
            <v>212-008-003-0000</v>
          </cell>
          <cell r="B688" t="str">
            <v>Bank Guarantee</v>
          </cell>
          <cell r="C688">
            <v>3</v>
          </cell>
          <cell r="D688">
            <v>0</v>
          </cell>
        </row>
        <row r="689">
          <cell r="A689" t="str">
            <v>212-008-004-0000</v>
          </cell>
          <cell r="B689" t="str">
            <v>Retention Money Receivable</v>
          </cell>
          <cell r="C689">
            <v>3</v>
          </cell>
          <cell r="D689">
            <v>1881000</v>
          </cell>
        </row>
        <row r="690">
          <cell r="A690" t="str">
            <v>212-008-004-0001</v>
          </cell>
          <cell r="B690" t="str">
            <v>Retention Money with NHA</v>
          </cell>
          <cell r="C690">
            <v>4</v>
          </cell>
          <cell r="D690">
            <v>0</v>
          </cell>
        </row>
        <row r="691">
          <cell r="A691" t="str">
            <v>212-008-004-0002</v>
          </cell>
          <cell r="B691" t="str">
            <v>Retention Money with PTCL</v>
          </cell>
          <cell r="C691">
            <v>4</v>
          </cell>
          <cell r="D691">
            <v>0</v>
          </cell>
        </row>
        <row r="692">
          <cell r="A692" t="str">
            <v>212-008-004-0003</v>
          </cell>
          <cell r="B692" t="str">
            <v>Retention Money with CBR</v>
          </cell>
          <cell r="C692">
            <v>4</v>
          </cell>
          <cell r="D692">
            <v>0</v>
          </cell>
        </row>
        <row r="693">
          <cell r="A693" t="str">
            <v>212-008-004-0004</v>
          </cell>
          <cell r="B693" t="str">
            <v>Retention Money with SVC Rd M-2</v>
          </cell>
          <cell r="C693">
            <v>4</v>
          </cell>
          <cell r="D693">
            <v>0</v>
          </cell>
        </row>
        <row r="694">
          <cell r="A694" t="str">
            <v>212-008-004-0005</v>
          </cell>
          <cell r="B694" t="str">
            <v>Retention Money with CBR ( FAA )</v>
          </cell>
          <cell r="C694">
            <v>4</v>
          </cell>
          <cell r="D694">
            <v>0</v>
          </cell>
        </row>
        <row r="695">
          <cell r="A695" t="str">
            <v>212-008-004-0007</v>
          </cell>
          <cell r="B695" t="str">
            <v>Retention Money with OTC CMH</v>
          </cell>
          <cell r="C695">
            <v>4</v>
          </cell>
          <cell r="D695">
            <v>1881000</v>
          </cell>
        </row>
        <row r="696">
          <cell r="A696" t="str">
            <v>212-009-000-0000</v>
          </cell>
          <cell r="B696" t="str">
            <v>Other Receivables</v>
          </cell>
          <cell r="C696">
            <v>2</v>
          </cell>
          <cell r="D696">
            <v>0</v>
          </cell>
        </row>
        <row r="697">
          <cell r="A697" t="str">
            <v>212-009-001-0000</v>
          </cell>
          <cell r="B697" t="str">
            <v>Other Receivables</v>
          </cell>
          <cell r="C697">
            <v>3</v>
          </cell>
          <cell r="D697">
            <v>0</v>
          </cell>
        </row>
        <row r="698">
          <cell r="A698" t="str">
            <v>212-009-001-0001</v>
          </cell>
          <cell r="B698" t="str">
            <v>Other Receivables</v>
          </cell>
          <cell r="C698">
            <v>4</v>
          </cell>
          <cell r="D698">
            <v>0</v>
          </cell>
        </row>
        <row r="699">
          <cell r="A699" t="str">
            <v>212-009-001-0002</v>
          </cell>
          <cell r="B699" t="str">
            <v>Profit from Bank Receivable</v>
          </cell>
          <cell r="C699">
            <v>4</v>
          </cell>
          <cell r="D699">
            <v>0</v>
          </cell>
        </row>
        <row r="700">
          <cell r="A700" t="str">
            <v>212-009-001-0003</v>
          </cell>
          <cell r="B700" t="str">
            <v>Hiring Receipts Receivable</v>
          </cell>
          <cell r="C700">
            <v>4</v>
          </cell>
          <cell r="D700">
            <v>0</v>
          </cell>
        </row>
        <row r="701">
          <cell r="A701" t="str">
            <v>212-010-000-0000</v>
          </cell>
          <cell r="B701" t="str">
            <v>Short Term Investment</v>
          </cell>
          <cell r="C701">
            <v>2</v>
          </cell>
          <cell r="D701">
            <v>0</v>
          </cell>
        </row>
        <row r="702">
          <cell r="A702" t="str">
            <v>212-010-001-0000</v>
          </cell>
          <cell r="B702" t="str">
            <v>Short Term Investment</v>
          </cell>
          <cell r="C702">
            <v>3</v>
          </cell>
          <cell r="D702">
            <v>0</v>
          </cell>
        </row>
        <row r="703">
          <cell r="A703" t="str">
            <v>212-011-000-0000</v>
          </cell>
          <cell r="B703" t="str">
            <v>Cash and Bank Balances</v>
          </cell>
          <cell r="C703">
            <v>2</v>
          </cell>
          <cell r="D703">
            <v>1051381</v>
          </cell>
        </row>
        <row r="704">
          <cell r="A704" t="str">
            <v>212-011-001-0000</v>
          </cell>
          <cell r="B704" t="str">
            <v>Cash at Bank in PLS Accounts</v>
          </cell>
          <cell r="C704">
            <v>3</v>
          </cell>
          <cell r="D704">
            <v>1051381</v>
          </cell>
        </row>
        <row r="705">
          <cell r="A705" t="str">
            <v>212-011-001-1001</v>
          </cell>
          <cell r="B705" t="str">
            <v>National Bank of Pakistan RUADP</v>
          </cell>
          <cell r="C705">
            <v>4</v>
          </cell>
          <cell r="D705">
            <v>0</v>
          </cell>
        </row>
        <row r="706">
          <cell r="A706" t="str">
            <v>212-011-001-1002</v>
          </cell>
          <cell r="B706" t="str">
            <v>NBP#005797-5 PTCL Project</v>
          </cell>
          <cell r="C706">
            <v>4</v>
          </cell>
          <cell r="D706">
            <v>0</v>
          </cell>
        </row>
        <row r="707">
          <cell r="A707" t="str">
            <v>212-011-001-1003</v>
          </cell>
          <cell r="B707" t="str">
            <v>National Bank of Pakistan Cantt Board Rds</v>
          </cell>
          <cell r="C707">
            <v>4</v>
          </cell>
          <cell r="D707">
            <v>0</v>
          </cell>
        </row>
        <row r="708">
          <cell r="A708" t="str">
            <v>212-011-001-1004</v>
          </cell>
          <cell r="B708" t="str">
            <v>National Bank of Pakistan Svc Rd M-2</v>
          </cell>
          <cell r="C708">
            <v>4</v>
          </cell>
          <cell r="D708">
            <v>0</v>
          </cell>
        </row>
        <row r="709">
          <cell r="A709" t="str">
            <v>212-011-001-1005</v>
          </cell>
          <cell r="B709" t="str">
            <v>National Bank of Pakistan Cantt Board (FAA)</v>
          </cell>
          <cell r="C709">
            <v>4</v>
          </cell>
          <cell r="D709">
            <v>0</v>
          </cell>
        </row>
        <row r="710">
          <cell r="A710" t="str">
            <v>212-011-001-1006</v>
          </cell>
          <cell r="B710" t="str">
            <v>National Bank of Pakistan Dina Track</v>
          </cell>
          <cell r="C710">
            <v>4</v>
          </cell>
          <cell r="D710">
            <v>0</v>
          </cell>
        </row>
        <row r="711">
          <cell r="A711" t="str">
            <v>212-011-001-1007</v>
          </cell>
          <cell r="B711" t="str">
            <v>National Bank of Pakistan OT Complex</v>
          </cell>
          <cell r="C711">
            <v>4</v>
          </cell>
          <cell r="D711">
            <v>1051381</v>
          </cell>
        </row>
        <row r="712">
          <cell r="A712" t="str">
            <v>212-011-002-0000</v>
          </cell>
          <cell r="B712" t="str">
            <v>Cash at bank in saving accounts 1</v>
          </cell>
          <cell r="C712">
            <v>3</v>
          </cell>
          <cell r="D712">
            <v>0</v>
          </cell>
        </row>
        <row r="713">
          <cell r="A713" t="str">
            <v>212-011-002-1001</v>
          </cell>
          <cell r="B713" t="str">
            <v>Askari Commercial Bank RUADP</v>
          </cell>
          <cell r="C713">
            <v>4</v>
          </cell>
          <cell r="D713">
            <v>0</v>
          </cell>
        </row>
        <row r="714">
          <cell r="A714" t="str">
            <v>212-011-002-1002</v>
          </cell>
          <cell r="B714" t="str">
            <v>Askari Commercial Bank PTCL</v>
          </cell>
          <cell r="C714">
            <v>4</v>
          </cell>
          <cell r="D714">
            <v>0</v>
          </cell>
        </row>
        <row r="715">
          <cell r="A715" t="str">
            <v>212-011-002-1003</v>
          </cell>
          <cell r="B715" t="str">
            <v>Askari Commercial Bank CBR Project</v>
          </cell>
          <cell r="C715">
            <v>4</v>
          </cell>
          <cell r="D715">
            <v>0</v>
          </cell>
        </row>
        <row r="716">
          <cell r="A716" t="str">
            <v>212-011-002-1004</v>
          </cell>
          <cell r="B716" t="str">
            <v>Askari Commercial Bank SVC RD M-2</v>
          </cell>
          <cell r="C716">
            <v>4</v>
          </cell>
          <cell r="D716">
            <v>0</v>
          </cell>
        </row>
        <row r="717">
          <cell r="A717" t="str">
            <v>212-011-002-1005</v>
          </cell>
          <cell r="B717" t="str">
            <v>Askari Commercial Bank CBR (FAA)</v>
          </cell>
          <cell r="C717">
            <v>4</v>
          </cell>
          <cell r="D717">
            <v>0</v>
          </cell>
        </row>
        <row r="718">
          <cell r="A718" t="str">
            <v>212-011-002-1006</v>
          </cell>
          <cell r="B718" t="str">
            <v>Askari Commercial Bank ARMR</v>
          </cell>
          <cell r="C718">
            <v>4</v>
          </cell>
          <cell r="D718">
            <v>0</v>
          </cell>
        </row>
        <row r="719">
          <cell r="A719" t="str">
            <v>212-011-003-0000</v>
          </cell>
          <cell r="B719" t="str">
            <v>Cash at bank in saving accounts 2</v>
          </cell>
          <cell r="C719">
            <v>3</v>
          </cell>
          <cell r="D719">
            <v>0</v>
          </cell>
        </row>
        <row r="720">
          <cell r="A720" t="str">
            <v>212-011-003-1001</v>
          </cell>
          <cell r="B720" t="str">
            <v>United bank Ltd RUADP</v>
          </cell>
          <cell r="C720">
            <v>4</v>
          </cell>
          <cell r="D720">
            <v>0</v>
          </cell>
        </row>
        <row r="721">
          <cell r="A721" t="str">
            <v>212-011-003-1002</v>
          </cell>
          <cell r="B721" t="str">
            <v>United bank Ltd PTCL Project</v>
          </cell>
          <cell r="C721">
            <v>4</v>
          </cell>
          <cell r="D721">
            <v>0</v>
          </cell>
        </row>
        <row r="722">
          <cell r="A722" t="str">
            <v>212-011-003-1003</v>
          </cell>
          <cell r="B722" t="str">
            <v>United bank Ltd Cantt Board Rds Project</v>
          </cell>
          <cell r="C722">
            <v>4</v>
          </cell>
          <cell r="D722">
            <v>0</v>
          </cell>
        </row>
        <row r="723">
          <cell r="A723" t="str">
            <v>212-011-003-1004</v>
          </cell>
          <cell r="B723" t="str">
            <v>United bank Ltd Service Road M-2</v>
          </cell>
          <cell r="C723">
            <v>4</v>
          </cell>
          <cell r="D723">
            <v>0</v>
          </cell>
        </row>
        <row r="724">
          <cell r="A724" t="str">
            <v>212-011-004-0000</v>
          </cell>
          <cell r="B724" t="str">
            <v>Cash at bank in term deposits accounts</v>
          </cell>
          <cell r="C724">
            <v>3</v>
          </cell>
          <cell r="D724">
            <v>0</v>
          </cell>
        </row>
        <row r="725">
          <cell r="A725" t="str">
            <v>212-012-000-0000</v>
          </cell>
          <cell r="B725" t="str">
            <v>Cash in hand</v>
          </cell>
          <cell r="C725">
            <v>2</v>
          </cell>
          <cell r="D725">
            <v>0</v>
          </cell>
        </row>
        <row r="726">
          <cell r="A726" t="str">
            <v>212-012-001-0000</v>
          </cell>
          <cell r="B726" t="str">
            <v>Cash Account (PLS)</v>
          </cell>
          <cell r="C726">
            <v>3</v>
          </cell>
          <cell r="D726">
            <v>0</v>
          </cell>
        </row>
        <row r="727">
          <cell r="A727" t="str">
            <v>212-012-001-1001</v>
          </cell>
          <cell r="B727" t="str">
            <v>Cash account (NBP)RUADP</v>
          </cell>
          <cell r="C727">
            <v>4</v>
          </cell>
          <cell r="D727">
            <v>0</v>
          </cell>
        </row>
        <row r="728">
          <cell r="A728" t="str">
            <v>212-012-001-1002</v>
          </cell>
          <cell r="B728" t="str">
            <v>Cash account (NBP) PTCL Project</v>
          </cell>
          <cell r="C728">
            <v>4</v>
          </cell>
          <cell r="D728">
            <v>0</v>
          </cell>
        </row>
        <row r="729">
          <cell r="A729" t="str">
            <v>212-012-001-1003</v>
          </cell>
          <cell r="B729" t="str">
            <v>Cash account (NBP) Cantt Board Rds</v>
          </cell>
          <cell r="C729">
            <v>4</v>
          </cell>
          <cell r="D729">
            <v>0</v>
          </cell>
        </row>
        <row r="730">
          <cell r="A730" t="str">
            <v>212-012-001-1004</v>
          </cell>
          <cell r="B730" t="str">
            <v>Cash account (NBP) Svc Rd M-2</v>
          </cell>
          <cell r="C730">
            <v>4</v>
          </cell>
          <cell r="D730">
            <v>0</v>
          </cell>
        </row>
        <row r="731">
          <cell r="A731" t="str">
            <v>212-012-001-1005</v>
          </cell>
          <cell r="B731" t="str">
            <v>Cash account (NBP)Cantt Board (FAA)</v>
          </cell>
          <cell r="C731">
            <v>4</v>
          </cell>
          <cell r="D731">
            <v>0</v>
          </cell>
        </row>
        <row r="732">
          <cell r="A732" t="str">
            <v>212-012-001-1006</v>
          </cell>
          <cell r="B732" t="str">
            <v>Cash Account NBP Dina Track</v>
          </cell>
          <cell r="C732">
            <v>4</v>
          </cell>
          <cell r="D732">
            <v>0</v>
          </cell>
        </row>
        <row r="733">
          <cell r="A733" t="str">
            <v>212-012-001-1007</v>
          </cell>
          <cell r="B733" t="str">
            <v>Cash Account NBP OT Complex</v>
          </cell>
          <cell r="C733">
            <v>4</v>
          </cell>
          <cell r="D733">
            <v>0</v>
          </cell>
        </row>
        <row r="734">
          <cell r="A734" t="str">
            <v>212-012-002-1001</v>
          </cell>
          <cell r="B734" t="str">
            <v>Cash account (ACB)RUADP</v>
          </cell>
          <cell r="C734">
            <v>4</v>
          </cell>
          <cell r="D734">
            <v>0</v>
          </cell>
        </row>
        <row r="735">
          <cell r="A735" t="str">
            <v>212-012-002-1002</v>
          </cell>
          <cell r="B735" t="str">
            <v>Cash account (ACB)PTCL</v>
          </cell>
          <cell r="C735">
            <v>4</v>
          </cell>
          <cell r="D735">
            <v>0</v>
          </cell>
        </row>
        <row r="736">
          <cell r="A736" t="str">
            <v>212-012-002-1003</v>
          </cell>
          <cell r="B736" t="str">
            <v>Cash Account (ACB)CBR project</v>
          </cell>
          <cell r="C736">
            <v>4</v>
          </cell>
          <cell r="D736">
            <v>0</v>
          </cell>
        </row>
        <row r="737">
          <cell r="A737" t="str">
            <v>212-012-002-1004</v>
          </cell>
          <cell r="B737" t="str">
            <v>Cash Account (ACB) SVC RD M-2</v>
          </cell>
          <cell r="C737">
            <v>4</v>
          </cell>
          <cell r="D737">
            <v>0</v>
          </cell>
        </row>
        <row r="738">
          <cell r="A738" t="str">
            <v>212-012-002-1005</v>
          </cell>
          <cell r="B738" t="str">
            <v>Cash Account (ACB) CBR (FAA)</v>
          </cell>
          <cell r="C738">
            <v>4</v>
          </cell>
          <cell r="D738">
            <v>0</v>
          </cell>
        </row>
        <row r="739">
          <cell r="A739" t="str">
            <v>212-012-002-1006</v>
          </cell>
          <cell r="B739" t="str">
            <v>Cash Acct ACB ARMR</v>
          </cell>
          <cell r="C739">
            <v>4</v>
          </cell>
          <cell r="D739">
            <v>0</v>
          </cell>
        </row>
        <row r="740">
          <cell r="A740" t="str">
            <v>212-012-003-1001</v>
          </cell>
          <cell r="B740" t="str">
            <v>Cash account (UBL)RUADP</v>
          </cell>
          <cell r="C740">
            <v>4</v>
          </cell>
          <cell r="D740">
            <v>0</v>
          </cell>
        </row>
        <row r="741">
          <cell r="A741" t="str">
            <v>212-012-003-1002</v>
          </cell>
          <cell r="B741" t="str">
            <v>Cash account (UBL)PTCL</v>
          </cell>
          <cell r="C741">
            <v>4</v>
          </cell>
          <cell r="D741">
            <v>0</v>
          </cell>
        </row>
        <row r="742">
          <cell r="A742" t="str">
            <v>212-012-003-1003</v>
          </cell>
          <cell r="B742" t="str">
            <v>Cash account (UBL)Cantt Board Rds</v>
          </cell>
          <cell r="C742">
            <v>4</v>
          </cell>
          <cell r="D742">
            <v>0</v>
          </cell>
        </row>
        <row r="743">
          <cell r="A743" t="str">
            <v>212-012-003-1004</v>
          </cell>
          <cell r="B743" t="str">
            <v>Cash account (UBL)Service Road M-2</v>
          </cell>
          <cell r="C743">
            <v>4</v>
          </cell>
          <cell r="D743">
            <v>0</v>
          </cell>
        </row>
        <row r="744">
          <cell r="A744" t="str">
            <v>212-012-003-1005</v>
          </cell>
          <cell r="B744" t="str">
            <v>Cash account (UBL)Cantt Board (FAA)</v>
          </cell>
          <cell r="C744">
            <v>4</v>
          </cell>
          <cell r="D744">
            <v>0</v>
          </cell>
        </row>
        <row r="745">
          <cell r="A745" t="str">
            <v>212-013-000-0000</v>
          </cell>
          <cell r="B745" t="str">
            <v>Cash in Transit</v>
          </cell>
          <cell r="C745">
            <v>2</v>
          </cell>
          <cell r="D745">
            <v>0</v>
          </cell>
        </row>
        <row r="746">
          <cell r="A746" t="str">
            <v>212-013-001-0000</v>
          </cell>
          <cell r="B746" t="str">
            <v>Cash in Transit</v>
          </cell>
          <cell r="C746">
            <v>3</v>
          </cell>
          <cell r="D746">
            <v>0</v>
          </cell>
        </row>
        <row r="747">
          <cell r="A747" t="str">
            <v>212-013-001-0001</v>
          </cell>
          <cell r="B747" t="str">
            <v>Cash in Transit</v>
          </cell>
          <cell r="C747">
            <v>4</v>
          </cell>
          <cell r="D747">
            <v>0</v>
          </cell>
        </row>
        <row r="748">
          <cell r="A748" t="str">
            <v>301-000-000-0000</v>
          </cell>
          <cell r="B748" t="str">
            <v>Project Revenue</v>
          </cell>
          <cell r="C748">
            <v>1</v>
          </cell>
          <cell r="D748">
            <v>-24000000</v>
          </cell>
        </row>
        <row r="749">
          <cell r="A749" t="str">
            <v>301-001-000-0000</v>
          </cell>
          <cell r="B749" t="str">
            <v>Contract Revenue Construction Project</v>
          </cell>
          <cell r="C749">
            <v>2</v>
          </cell>
          <cell r="D749">
            <v>-24000000</v>
          </cell>
        </row>
        <row r="750">
          <cell r="A750" t="str">
            <v>301-001-001-0000</v>
          </cell>
          <cell r="B750" t="str">
            <v>Contract Revenue Construction Project</v>
          </cell>
          <cell r="C750">
            <v>3</v>
          </cell>
          <cell r="D750">
            <v>-24000000</v>
          </cell>
        </row>
        <row r="751">
          <cell r="A751" t="str">
            <v>301-001-001-0001</v>
          </cell>
          <cell r="B751" t="str">
            <v>Contract Revenue Construction Projects RUADP</v>
          </cell>
          <cell r="C751">
            <v>4</v>
          </cell>
          <cell r="D751">
            <v>0</v>
          </cell>
        </row>
        <row r="752">
          <cell r="A752" t="str">
            <v>301-001-001-0002</v>
          </cell>
          <cell r="B752" t="str">
            <v>Contract Revenue Construction Projects PTCL</v>
          </cell>
          <cell r="C752">
            <v>4</v>
          </cell>
          <cell r="D752">
            <v>0</v>
          </cell>
        </row>
        <row r="753">
          <cell r="A753" t="str">
            <v>301-001-001-0003</v>
          </cell>
          <cell r="B753" t="str">
            <v>Contract Revenue Construction Projects  CBR</v>
          </cell>
          <cell r="C753">
            <v>4</v>
          </cell>
          <cell r="D753">
            <v>0</v>
          </cell>
        </row>
        <row r="754">
          <cell r="A754" t="str">
            <v>301-001-001-0004</v>
          </cell>
          <cell r="B754" t="str">
            <v>Contract Revenue Construction Projects  SVC M-2</v>
          </cell>
          <cell r="C754">
            <v>4</v>
          </cell>
          <cell r="D754">
            <v>0</v>
          </cell>
        </row>
        <row r="755">
          <cell r="A755" t="str">
            <v>301-001-001-0005</v>
          </cell>
          <cell r="B755" t="str">
            <v>Contract Revenue Construction Projects CBR(FAA)</v>
          </cell>
          <cell r="C755">
            <v>4</v>
          </cell>
          <cell r="D755">
            <v>0</v>
          </cell>
        </row>
        <row r="756">
          <cell r="A756" t="str">
            <v>301-001-001-0006</v>
          </cell>
          <cell r="B756" t="str">
            <v>Contract Revenue  Dina Driving School</v>
          </cell>
          <cell r="C756">
            <v>4</v>
          </cell>
          <cell r="D756">
            <v>0</v>
          </cell>
        </row>
        <row r="757">
          <cell r="A757" t="str">
            <v>301-001-001-0007</v>
          </cell>
          <cell r="B757" t="str">
            <v>Contract Revenue  OTC CMH</v>
          </cell>
          <cell r="C757">
            <v>4</v>
          </cell>
          <cell r="D757">
            <v>-24000000</v>
          </cell>
        </row>
        <row r="758">
          <cell r="A758" t="str">
            <v>301-002-000-0000</v>
          </cell>
          <cell r="B758" t="str">
            <v>Toll Plaza Receipts</v>
          </cell>
          <cell r="C758">
            <v>2</v>
          </cell>
          <cell r="D758">
            <v>0</v>
          </cell>
        </row>
        <row r="759">
          <cell r="A759" t="str">
            <v>301-002-001-0000</v>
          </cell>
          <cell r="B759" t="str">
            <v>Toll Plaza Receipts</v>
          </cell>
          <cell r="C759">
            <v>3</v>
          </cell>
          <cell r="D759">
            <v>0</v>
          </cell>
        </row>
        <row r="760">
          <cell r="A760" t="str">
            <v>301-002-001-0001</v>
          </cell>
          <cell r="B760" t="str">
            <v>Toll Plaza Receipts</v>
          </cell>
          <cell r="C760">
            <v>4</v>
          </cell>
          <cell r="D760">
            <v>0</v>
          </cell>
        </row>
        <row r="761">
          <cell r="A761" t="str">
            <v>302-000-000-0000</v>
          </cell>
          <cell r="B761" t="str">
            <v>Sales</v>
          </cell>
          <cell r="C761">
            <v>1</v>
          </cell>
          <cell r="D761">
            <v>0</v>
          </cell>
        </row>
        <row r="762">
          <cell r="A762" t="str">
            <v>302-001-000-0000</v>
          </cell>
          <cell r="B762" t="str">
            <v>Sales</v>
          </cell>
          <cell r="C762">
            <v>2</v>
          </cell>
          <cell r="D762">
            <v>0</v>
          </cell>
        </row>
        <row r="763">
          <cell r="A763" t="str">
            <v>302-001-001-0000</v>
          </cell>
          <cell r="B763" t="str">
            <v>Sales of Pipes</v>
          </cell>
          <cell r="C763">
            <v>3</v>
          </cell>
          <cell r="D763">
            <v>0</v>
          </cell>
        </row>
        <row r="764">
          <cell r="A764" t="str">
            <v>302-001-002-0000</v>
          </cell>
          <cell r="B764" t="str">
            <v>Sales of Slabs</v>
          </cell>
          <cell r="C764">
            <v>3</v>
          </cell>
          <cell r="D764">
            <v>0</v>
          </cell>
        </row>
        <row r="765">
          <cell r="A765" t="str">
            <v>302-001-003-0000</v>
          </cell>
          <cell r="B765" t="str">
            <v>Sales of Kerb Stones</v>
          </cell>
          <cell r="C765">
            <v>3</v>
          </cell>
          <cell r="D765">
            <v>0</v>
          </cell>
        </row>
        <row r="766">
          <cell r="A766" t="str">
            <v>302-001-004-0000</v>
          </cell>
          <cell r="B766" t="str">
            <v>Sales of Asphalt Materials</v>
          </cell>
          <cell r="C766">
            <v>3</v>
          </cell>
          <cell r="D766">
            <v>0</v>
          </cell>
        </row>
        <row r="767">
          <cell r="A767" t="str">
            <v>303-000-000-0000</v>
          </cell>
          <cell r="B767" t="str">
            <v>Lease Hiring Receipts</v>
          </cell>
          <cell r="C767">
            <v>1</v>
          </cell>
          <cell r="D767">
            <v>0</v>
          </cell>
        </row>
        <row r="768">
          <cell r="A768" t="str">
            <v>303-001-000-0000</v>
          </cell>
          <cell r="B768" t="str">
            <v>Lease Hiring Receipts</v>
          </cell>
          <cell r="C768">
            <v>2</v>
          </cell>
          <cell r="D768">
            <v>0</v>
          </cell>
        </row>
        <row r="769">
          <cell r="A769" t="str">
            <v>303-001-001-0000</v>
          </cell>
          <cell r="B769" t="str">
            <v>Asphalt Plant Lease Hiring Receipts</v>
          </cell>
          <cell r="C769">
            <v>3</v>
          </cell>
          <cell r="D769">
            <v>0</v>
          </cell>
        </row>
        <row r="770">
          <cell r="A770" t="str">
            <v>401-000-000-0000</v>
          </cell>
          <cell r="B770" t="str">
            <v>Contract Cost</v>
          </cell>
          <cell r="C770">
            <v>1</v>
          </cell>
          <cell r="D770">
            <v>0</v>
          </cell>
        </row>
        <row r="771">
          <cell r="A771" t="str">
            <v>401-001-000-0000</v>
          </cell>
          <cell r="B771" t="str">
            <v>Opening Stock</v>
          </cell>
          <cell r="C771">
            <v>2</v>
          </cell>
          <cell r="D771">
            <v>0</v>
          </cell>
        </row>
        <row r="772">
          <cell r="A772" t="str">
            <v>401-001-001-0000</v>
          </cell>
          <cell r="B772" t="str">
            <v>Opening Stock</v>
          </cell>
          <cell r="C772">
            <v>3</v>
          </cell>
          <cell r="D772">
            <v>0</v>
          </cell>
        </row>
        <row r="773">
          <cell r="A773" t="str">
            <v>401-001-001-0001</v>
          </cell>
          <cell r="B773" t="str">
            <v>Opening Stock</v>
          </cell>
          <cell r="C773">
            <v>4</v>
          </cell>
          <cell r="D773">
            <v>0</v>
          </cell>
        </row>
        <row r="774">
          <cell r="A774" t="str">
            <v>402-000-000-0000</v>
          </cell>
          <cell r="B774" t="str">
            <v>Construction Material Purchases</v>
          </cell>
          <cell r="C774">
            <v>1</v>
          </cell>
          <cell r="D774">
            <v>0</v>
          </cell>
        </row>
        <row r="775">
          <cell r="A775" t="str">
            <v>402-001-000-0000</v>
          </cell>
          <cell r="B775" t="str">
            <v>Construction Material Purchases</v>
          </cell>
          <cell r="C775">
            <v>2</v>
          </cell>
          <cell r="D775">
            <v>0</v>
          </cell>
        </row>
        <row r="776">
          <cell r="A776" t="str">
            <v>402-001-001-0000</v>
          </cell>
          <cell r="B776" t="str">
            <v>Construction Material Purchases</v>
          </cell>
          <cell r="C776">
            <v>3</v>
          </cell>
          <cell r="D776">
            <v>0</v>
          </cell>
        </row>
        <row r="777">
          <cell r="A777" t="str">
            <v>402-001-001-0001</v>
          </cell>
          <cell r="B777" t="str">
            <v>Bricks</v>
          </cell>
          <cell r="C777">
            <v>4</v>
          </cell>
          <cell r="D777">
            <v>0</v>
          </cell>
        </row>
        <row r="778">
          <cell r="A778" t="str">
            <v>402-001-001-0002</v>
          </cell>
          <cell r="B778" t="str">
            <v>Steel Rods</v>
          </cell>
          <cell r="C778">
            <v>4</v>
          </cell>
          <cell r="D778">
            <v>0</v>
          </cell>
        </row>
        <row r="779">
          <cell r="A779" t="str">
            <v>402-001-001-0003</v>
          </cell>
          <cell r="B779" t="str">
            <v>Cement</v>
          </cell>
          <cell r="C779">
            <v>4</v>
          </cell>
          <cell r="D779">
            <v>0</v>
          </cell>
        </row>
        <row r="780">
          <cell r="A780" t="str">
            <v>402-001-001-0004</v>
          </cell>
          <cell r="B780" t="str">
            <v>Bitumen</v>
          </cell>
          <cell r="C780">
            <v>4</v>
          </cell>
          <cell r="D780">
            <v>0</v>
          </cell>
        </row>
        <row r="781">
          <cell r="A781" t="str">
            <v>402-001-001-0005</v>
          </cell>
          <cell r="B781" t="str">
            <v>Crush</v>
          </cell>
          <cell r="C781">
            <v>4</v>
          </cell>
          <cell r="D781">
            <v>0</v>
          </cell>
        </row>
        <row r="782">
          <cell r="A782" t="str">
            <v>402-001-001-0006</v>
          </cell>
          <cell r="B782" t="str">
            <v>Pipes</v>
          </cell>
          <cell r="C782">
            <v>4</v>
          </cell>
          <cell r="D782">
            <v>0</v>
          </cell>
        </row>
        <row r="783">
          <cell r="A783" t="str">
            <v>402-001-001-0007</v>
          </cell>
          <cell r="B783" t="str">
            <v>PVC Pipes and Accessories</v>
          </cell>
          <cell r="C783">
            <v>4</v>
          </cell>
          <cell r="D783">
            <v>0</v>
          </cell>
        </row>
        <row r="784">
          <cell r="A784" t="str">
            <v>402-001-001-0008</v>
          </cell>
          <cell r="B784" t="str">
            <v>Slabs</v>
          </cell>
          <cell r="C784">
            <v>4</v>
          </cell>
          <cell r="D784">
            <v>0</v>
          </cell>
        </row>
        <row r="785">
          <cell r="A785" t="str">
            <v>402-001-001-0009</v>
          </cell>
          <cell r="B785" t="str">
            <v>Sand</v>
          </cell>
          <cell r="C785">
            <v>4</v>
          </cell>
          <cell r="D785">
            <v>0</v>
          </cell>
        </row>
        <row r="786">
          <cell r="A786" t="str">
            <v>402-001-001-0010</v>
          </cell>
          <cell r="B786" t="str">
            <v>Sub base Material</v>
          </cell>
          <cell r="C786">
            <v>4</v>
          </cell>
          <cell r="D786">
            <v>0</v>
          </cell>
        </row>
        <row r="787">
          <cell r="A787" t="str">
            <v>402-001-001-0011</v>
          </cell>
          <cell r="B787" t="str">
            <v>Stone dust</v>
          </cell>
          <cell r="C787">
            <v>4</v>
          </cell>
          <cell r="D787">
            <v>0</v>
          </cell>
        </row>
        <row r="788">
          <cell r="A788" t="str">
            <v>402-001-001-0012</v>
          </cell>
          <cell r="B788" t="str">
            <v>Tuff Pavers</v>
          </cell>
          <cell r="C788">
            <v>4</v>
          </cell>
          <cell r="D788">
            <v>0</v>
          </cell>
        </row>
        <row r="789">
          <cell r="A789" t="str">
            <v>402-001-001-0013</v>
          </cell>
          <cell r="B789" t="str">
            <v>Coal</v>
          </cell>
          <cell r="C789">
            <v>4</v>
          </cell>
          <cell r="D789">
            <v>0</v>
          </cell>
        </row>
        <row r="790">
          <cell r="A790" t="str">
            <v>402-001-001-0014</v>
          </cell>
          <cell r="B790" t="str">
            <v>Asphalt Supplied</v>
          </cell>
          <cell r="C790">
            <v>4</v>
          </cell>
          <cell r="D790">
            <v>0</v>
          </cell>
        </row>
        <row r="791">
          <cell r="A791" t="str">
            <v>402-001-001-0015</v>
          </cell>
          <cell r="B791" t="str">
            <v>Oil and Lubricants</v>
          </cell>
          <cell r="C791">
            <v>4</v>
          </cell>
          <cell r="D791">
            <v>0</v>
          </cell>
        </row>
        <row r="792">
          <cell r="A792" t="str">
            <v>402-001-001-0016</v>
          </cell>
          <cell r="B792" t="str">
            <v>Stores and Spares</v>
          </cell>
          <cell r="C792">
            <v>4</v>
          </cell>
          <cell r="D792">
            <v>0</v>
          </cell>
        </row>
        <row r="793">
          <cell r="A793" t="str">
            <v>402-001-001-0017</v>
          </cell>
          <cell r="B793" t="str">
            <v>Loose Tools</v>
          </cell>
          <cell r="C793">
            <v>4</v>
          </cell>
          <cell r="D793">
            <v>0</v>
          </cell>
        </row>
        <row r="794">
          <cell r="A794" t="str">
            <v>402-001-001-0018</v>
          </cell>
          <cell r="B794" t="str">
            <v>Construction Material</v>
          </cell>
          <cell r="C794">
            <v>4</v>
          </cell>
          <cell r="D794">
            <v>0</v>
          </cell>
        </row>
        <row r="795">
          <cell r="A795" t="str">
            <v>402-001-001-0019</v>
          </cell>
          <cell r="B795" t="str">
            <v>Traffic Signals Accessories</v>
          </cell>
          <cell r="C795">
            <v>4</v>
          </cell>
          <cell r="D795">
            <v>0</v>
          </cell>
        </row>
        <row r="796">
          <cell r="A796" t="str">
            <v>402-001-001-0020</v>
          </cell>
          <cell r="B796" t="str">
            <v>Split Unit A/C</v>
          </cell>
          <cell r="C796">
            <v>4</v>
          </cell>
          <cell r="D796">
            <v>0</v>
          </cell>
        </row>
        <row r="797">
          <cell r="A797" t="str">
            <v>402-001-001-0021</v>
          </cell>
          <cell r="B797" t="str">
            <v>Gully Gratings</v>
          </cell>
          <cell r="C797">
            <v>4</v>
          </cell>
          <cell r="D797">
            <v>0</v>
          </cell>
        </row>
        <row r="798">
          <cell r="A798" t="str">
            <v>402-001-001-0022</v>
          </cell>
          <cell r="B798" t="str">
            <v>Tubelar Poles (Steel)</v>
          </cell>
          <cell r="C798">
            <v>4</v>
          </cell>
          <cell r="D798">
            <v>0</v>
          </cell>
        </row>
        <row r="799">
          <cell r="A799" t="str">
            <v>402-001-001-0023</v>
          </cell>
          <cell r="B799" t="str">
            <v>Kerb Stones</v>
          </cell>
          <cell r="C799">
            <v>4</v>
          </cell>
          <cell r="D799">
            <v>0</v>
          </cell>
        </row>
        <row r="800">
          <cell r="A800" t="str">
            <v>402-001-001-0024</v>
          </cell>
          <cell r="B800" t="str">
            <v>Street Sign Boards</v>
          </cell>
          <cell r="C800">
            <v>4</v>
          </cell>
          <cell r="D800">
            <v>0</v>
          </cell>
        </row>
        <row r="801">
          <cell r="A801" t="str">
            <v>402-001-001-0025</v>
          </cell>
          <cell r="B801" t="str">
            <v>Base Material</v>
          </cell>
          <cell r="C801">
            <v>4</v>
          </cell>
          <cell r="D801">
            <v>0</v>
          </cell>
        </row>
        <row r="802">
          <cell r="A802" t="str">
            <v>402-001-001-0026</v>
          </cell>
          <cell r="B802" t="str">
            <v>Man Hole Covers</v>
          </cell>
          <cell r="C802">
            <v>4</v>
          </cell>
          <cell r="D802">
            <v>0</v>
          </cell>
        </row>
        <row r="803">
          <cell r="A803" t="str">
            <v>402-001-001-0027</v>
          </cell>
          <cell r="B803" t="str">
            <v>Earth Filling Material</v>
          </cell>
          <cell r="C803">
            <v>4</v>
          </cell>
          <cell r="D803">
            <v>0</v>
          </cell>
        </row>
        <row r="804">
          <cell r="A804" t="str">
            <v>402-001-001-0028</v>
          </cell>
          <cell r="B804" t="str">
            <v>Fiber Glass</v>
          </cell>
          <cell r="C804">
            <v>4</v>
          </cell>
          <cell r="D804">
            <v>0</v>
          </cell>
        </row>
        <row r="805">
          <cell r="A805" t="str">
            <v>402-001-001-0029</v>
          </cell>
          <cell r="B805" t="str">
            <v>Kassu</v>
          </cell>
          <cell r="C805">
            <v>4</v>
          </cell>
          <cell r="D805">
            <v>0</v>
          </cell>
        </row>
        <row r="806">
          <cell r="A806" t="str">
            <v>402-001-001-0030</v>
          </cell>
          <cell r="B806" t="str">
            <v>Tiles</v>
          </cell>
          <cell r="C806">
            <v>4</v>
          </cell>
          <cell r="D806">
            <v>0</v>
          </cell>
        </row>
        <row r="807">
          <cell r="A807" t="str">
            <v>402-001-001-0031</v>
          </cell>
          <cell r="B807" t="str">
            <v>Medium Curing-70 (Bitumen)</v>
          </cell>
          <cell r="C807">
            <v>4</v>
          </cell>
          <cell r="D807">
            <v>0</v>
          </cell>
        </row>
        <row r="808">
          <cell r="A808" t="str">
            <v>402-001-001-0032</v>
          </cell>
          <cell r="B808" t="str">
            <v>Rapid Curing-70 (Bitumen)</v>
          </cell>
          <cell r="C808">
            <v>4</v>
          </cell>
          <cell r="D808">
            <v>0</v>
          </cell>
        </row>
        <row r="809">
          <cell r="A809" t="str">
            <v>402-001-001-0033</v>
          </cell>
          <cell r="B809" t="str">
            <v>Asphalt Pre Mixing Charges</v>
          </cell>
          <cell r="C809">
            <v>4</v>
          </cell>
          <cell r="D809">
            <v>0</v>
          </cell>
        </row>
        <row r="810">
          <cell r="A810" t="str">
            <v>402-001-001-0034</v>
          </cell>
          <cell r="B810" t="str">
            <v>Paint</v>
          </cell>
          <cell r="C810">
            <v>4</v>
          </cell>
          <cell r="D810">
            <v>0</v>
          </cell>
        </row>
        <row r="811">
          <cell r="A811" t="str">
            <v>402-001-001-0035</v>
          </cell>
          <cell r="B811" t="str">
            <v>Khaka</v>
          </cell>
          <cell r="C811">
            <v>4</v>
          </cell>
          <cell r="D811">
            <v>0</v>
          </cell>
        </row>
        <row r="812">
          <cell r="A812" t="str">
            <v>402-001-001-0036</v>
          </cell>
          <cell r="B812" t="str">
            <v>Cones</v>
          </cell>
          <cell r="C812">
            <v>4</v>
          </cell>
          <cell r="D812">
            <v>0</v>
          </cell>
        </row>
        <row r="813">
          <cell r="A813" t="str">
            <v>402-001-001-0037</v>
          </cell>
          <cell r="B813" t="str">
            <v>Electric Light Poles</v>
          </cell>
          <cell r="C813">
            <v>4</v>
          </cell>
          <cell r="D813">
            <v>0</v>
          </cell>
        </row>
        <row r="814">
          <cell r="A814" t="str">
            <v>402-001-001-0038</v>
          </cell>
          <cell r="B814" t="str">
            <v>Rail Track</v>
          </cell>
          <cell r="C814">
            <v>4</v>
          </cell>
          <cell r="D814">
            <v>0</v>
          </cell>
        </row>
        <row r="815">
          <cell r="A815" t="str">
            <v>402-001-001-0039</v>
          </cell>
          <cell r="B815" t="str">
            <v>Chain</v>
          </cell>
          <cell r="C815">
            <v>4</v>
          </cell>
          <cell r="D815">
            <v>0</v>
          </cell>
        </row>
        <row r="816">
          <cell r="A816" t="str">
            <v>402-001-001-0040</v>
          </cell>
          <cell r="B816" t="str">
            <v>Stainless Steel</v>
          </cell>
          <cell r="C816">
            <v>4</v>
          </cell>
          <cell r="D816">
            <v>0</v>
          </cell>
        </row>
        <row r="817">
          <cell r="A817" t="str">
            <v>402-001-001-0041</v>
          </cell>
          <cell r="B817" t="str">
            <v>Jerssey Barrier</v>
          </cell>
          <cell r="C817">
            <v>4</v>
          </cell>
          <cell r="D817">
            <v>0</v>
          </cell>
        </row>
        <row r="818">
          <cell r="A818" t="str">
            <v>403-000-000-0000</v>
          </cell>
          <cell r="B818" t="str">
            <v>Closing Stock</v>
          </cell>
          <cell r="C818">
            <v>1</v>
          </cell>
          <cell r="D818">
            <v>0</v>
          </cell>
        </row>
        <row r="819">
          <cell r="A819" t="str">
            <v>403-001-000-0000</v>
          </cell>
          <cell r="B819" t="str">
            <v>Closing Stock</v>
          </cell>
          <cell r="C819">
            <v>2</v>
          </cell>
          <cell r="D819">
            <v>0</v>
          </cell>
        </row>
        <row r="820">
          <cell r="A820" t="str">
            <v>403-001-001-0000</v>
          </cell>
          <cell r="B820" t="str">
            <v>Closing Stock</v>
          </cell>
          <cell r="C820">
            <v>3</v>
          </cell>
          <cell r="D820">
            <v>0</v>
          </cell>
        </row>
        <row r="821">
          <cell r="A821" t="str">
            <v>403-001-001-0001</v>
          </cell>
          <cell r="B821" t="str">
            <v>Closing Stock</v>
          </cell>
          <cell r="C821">
            <v>4</v>
          </cell>
          <cell r="D821">
            <v>0</v>
          </cell>
        </row>
        <row r="822">
          <cell r="A822" t="str">
            <v>404-000-000-0000</v>
          </cell>
          <cell r="B822" t="str">
            <v>Direct Labour</v>
          </cell>
          <cell r="C822">
            <v>1</v>
          </cell>
          <cell r="D822">
            <v>0</v>
          </cell>
        </row>
        <row r="823">
          <cell r="A823" t="str">
            <v>404-001-000-0000</v>
          </cell>
          <cell r="B823" t="str">
            <v>Muster Rolls</v>
          </cell>
          <cell r="C823">
            <v>2</v>
          </cell>
          <cell r="D823">
            <v>0</v>
          </cell>
        </row>
        <row r="824">
          <cell r="A824" t="str">
            <v>404-001-001-0000</v>
          </cell>
          <cell r="B824" t="str">
            <v>Muster Rolls</v>
          </cell>
          <cell r="C824">
            <v>3</v>
          </cell>
          <cell r="D824">
            <v>0</v>
          </cell>
        </row>
        <row r="825">
          <cell r="A825" t="str">
            <v>404-001-001-0001</v>
          </cell>
          <cell r="B825" t="str">
            <v>Muster Rolls Regular Labour</v>
          </cell>
          <cell r="C825">
            <v>4</v>
          </cell>
          <cell r="D825">
            <v>0</v>
          </cell>
        </row>
        <row r="826">
          <cell r="A826" t="str">
            <v>404-001-001-0002</v>
          </cell>
          <cell r="B826" t="str">
            <v>Muster Rolls Casual Labour</v>
          </cell>
          <cell r="C826">
            <v>4</v>
          </cell>
          <cell r="D826">
            <v>0</v>
          </cell>
        </row>
        <row r="827">
          <cell r="A827" t="str">
            <v>404-001-001-0003</v>
          </cell>
          <cell r="B827" t="str">
            <v>Muster Rolls Subcontractors</v>
          </cell>
          <cell r="C827">
            <v>4</v>
          </cell>
          <cell r="D827">
            <v>0</v>
          </cell>
        </row>
        <row r="828">
          <cell r="A828" t="str">
            <v>405-000-000-0000</v>
          </cell>
          <cell r="B828" t="str">
            <v>Overheads</v>
          </cell>
          <cell r="C828">
            <v>1</v>
          </cell>
          <cell r="D828">
            <v>491518</v>
          </cell>
        </row>
        <row r="829">
          <cell r="A829" t="str">
            <v>405-001-000-0000</v>
          </cell>
          <cell r="B829" t="str">
            <v>Salaries and Benefits</v>
          </cell>
          <cell r="C829">
            <v>2</v>
          </cell>
          <cell r="D829">
            <v>150808</v>
          </cell>
        </row>
        <row r="830">
          <cell r="A830" t="str">
            <v>405-001-001-0000</v>
          </cell>
          <cell r="B830" t="str">
            <v>Salaries and Benefits Army Officers</v>
          </cell>
          <cell r="C830">
            <v>3</v>
          </cell>
          <cell r="D830">
            <v>0</v>
          </cell>
        </row>
        <row r="831">
          <cell r="A831" t="str">
            <v>405-001-001-0001</v>
          </cell>
          <cell r="B831" t="str">
            <v>Salaries Army Officers</v>
          </cell>
          <cell r="C831">
            <v>4</v>
          </cell>
          <cell r="D831">
            <v>0</v>
          </cell>
        </row>
        <row r="832">
          <cell r="A832" t="str">
            <v>405-001-001-0002</v>
          </cell>
          <cell r="B832" t="str">
            <v>Benefits Army Officers</v>
          </cell>
          <cell r="C832">
            <v>4</v>
          </cell>
          <cell r="D832">
            <v>0</v>
          </cell>
        </row>
        <row r="833">
          <cell r="A833" t="str">
            <v>405-001-001-0003</v>
          </cell>
          <cell r="B833" t="str">
            <v>Overtime Army Officers</v>
          </cell>
          <cell r="C833">
            <v>4</v>
          </cell>
          <cell r="D833">
            <v>0</v>
          </cell>
        </row>
        <row r="834">
          <cell r="A834" t="str">
            <v>405-001-001-0004</v>
          </cell>
          <cell r="B834" t="str">
            <v>Medical Army Officers</v>
          </cell>
          <cell r="C834">
            <v>4</v>
          </cell>
          <cell r="D834">
            <v>0</v>
          </cell>
        </row>
        <row r="835">
          <cell r="A835" t="str">
            <v>405-001-002-0000</v>
          </cell>
          <cell r="B835" t="str">
            <v>Salaries and Benefits Civilian Staff</v>
          </cell>
          <cell r="C835">
            <v>3</v>
          </cell>
          <cell r="D835">
            <v>150808</v>
          </cell>
        </row>
        <row r="836">
          <cell r="A836" t="str">
            <v>405-001-002-0001</v>
          </cell>
          <cell r="B836" t="str">
            <v>Salaries Civilian Staff</v>
          </cell>
          <cell r="C836">
            <v>4</v>
          </cell>
          <cell r="D836">
            <v>146534</v>
          </cell>
        </row>
        <row r="837">
          <cell r="A837" t="str">
            <v>405-001-002-0002</v>
          </cell>
          <cell r="B837" t="str">
            <v>Benefits Civilian Staff</v>
          </cell>
          <cell r="C837">
            <v>4</v>
          </cell>
          <cell r="D837">
            <v>1000</v>
          </cell>
        </row>
        <row r="838">
          <cell r="A838" t="str">
            <v>405-001-002-0003</v>
          </cell>
          <cell r="B838" t="str">
            <v>Overtime Civilian Staff</v>
          </cell>
          <cell r="C838">
            <v>4</v>
          </cell>
          <cell r="D838">
            <v>3274</v>
          </cell>
        </row>
        <row r="839">
          <cell r="A839" t="str">
            <v>405-001-002-0004</v>
          </cell>
          <cell r="B839" t="str">
            <v>Medical Civilian Staff</v>
          </cell>
          <cell r="C839">
            <v>4</v>
          </cell>
          <cell r="D839">
            <v>0</v>
          </cell>
        </row>
        <row r="840">
          <cell r="A840" t="str">
            <v>405-001-003-0000</v>
          </cell>
          <cell r="B840" t="str">
            <v>Salaries and Benefits JCO's Staff</v>
          </cell>
          <cell r="C840">
            <v>3</v>
          </cell>
          <cell r="D840">
            <v>0</v>
          </cell>
        </row>
        <row r="841">
          <cell r="A841" t="str">
            <v>405-001-003-0001</v>
          </cell>
          <cell r="B841" t="str">
            <v>Salaries JCO's Staff</v>
          </cell>
          <cell r="C841">
            <v>4</v>
          </cell>
          <cell r="D841">
            <v>0</v>
          </cell>
        </row>
        <row r="842">
          <cell r="A842" t="str">
            <v>405-001-003-0002</v>
          </cell>
          <cell r="B842" t="str">
            <v>Benefits JCO's Staff</v>
          </cell>
          <cell r="C842">
            <v>4</v>
          </cell>
          <cell r="D842">
            <v>0</v>
          </cell>
        </row>
        <row r="843">
          <cell r="A843" t="str">
            <v>405-001-003-0003</v>
          </cell>
          <cell r="B843" t="str">
            <v>Overtime JCO's Staff</v>
          </cell>
          <cell r="C843">
            <v>4</v>
          </cell>
          <cell r="D843">
            <v>0</v>
          </cell>
        </row>
        <row r="844">
          <cell r="A844" t="str">
            <v>405-001-003-0004</v>
          </cell>
          <cell r="B844" t="str">
            <v>Medical JCO's Staff</v>
          </cell>
          <cell r="C844">
            <v>4</v>
          </cell>
          <cell r="D844">
            <v>0</v>
          </cell>
        </row>
        <row r="845">
          <cell r="A845" t="str">
            <v>405-002-000-0000</v>
          </cell>
          <cell r="B845" t="str">
            <v>Uniform to Staff</v>
          </cell>
          <cell r="C845">
            <v>2</v>
          </cell>
          <cell r="D845">
            <v>0</v>
          </cell>
        </row>
        <row r="846">
          <cell r="A846" t="str">
            <v>405-002-001-0000</v>
          </cell>
          <cell r="B846" t="str">
            <v>Uniform to Staff</v>
          </cell>
          <cell r="C846">
            <v>3</v>
          </cell>
          <cell r="D846">
            <v>0</v>
          </cell>
        </row>
        <row r="847">
          <cell r="A847" t="str">
            <v>405-002-001-0001</v>
          </cell>
          <cell r="B847" t="str">
            <v>Uniform Army Officers</v>
          </cell>
          <cell r="C847">
            <v>4</v>
          </cell>
          <cell r="D847">
            <v>0</v>
          </cell>
        </row>
        <row r="848">
          <cell r="A848" t="str">
            <v>405-002-001-0002</v>
          </cell>
          <cell r="B848" t="str">
            <v>Uniform Civilin Staff</v>
          </cell>
          <cell r="C848">
            <v>4</v>
          </cell>
          <cell r="D848">
            <v>0</v>
          </cell>
        </row>
        <row r="849">
          <cell r="A849" t="str">
            <v>405-002-001-0003</v>
          </cell>
          <cell r="B849" t="str">
            <v>Uniform JCO's Staff</v>
          </cell>
          <cell r="C849">
            <v>4</v>
          </cell>
          <cell r="D849">
            <v>0</v>
          </cell>
        </row>
        <row r="850">
          <cell r="A850" t="str">
            <v>405-003-000-0000</v>
          </cell>
          <cell r="B850" t="str">
            <v>Rent, rates and taxes</v>
          </cell>
          <cell r="C850">
            <v>2</v>
          </cell>
          <cell r="D850">
            <v>0</v>
          </cell>
        </row>
        <row r="851">
          <cell r="A851" t="str">
            <v>405-003-001-0000</v>
          </cell>
          <cell r="B851" t="str">
            <v>Rent, rates and taxes</v>
          </cell>
          <cell r="C851">
            <v>3</v>
          </cell>
          <cell r="D851">
            <v>0</v>
          </cell>
        </row>
        <row r="852">
          <cell r="A852" t="str">
            <v>405-003-001-0001</v>
          </cell>
          <cell r="B852" t="str">
            <v>Rent</v>
          </cell>
          <cell r="C852">
            <v>4</v>
          </cell>
          <cell r="D852">
            <v>0</v>
          </cell>
        </row>
        <row r="853">
          <cell r="A853" t="str">
            <v>405-003-001-0002</v>
          </cell>
          <cell r="B853" t="str">
            <v>Rates and Taxes</v>
          </cell>
          <cell r="C853">
            <v>4</v>
          </cell>
          <cell r="D853">
            <v>0</v>
          </cell>
        </row>
        <row r="854">
          <cell r="A854" t="str">
            <v>405-004-000-0000</v>
          </cell>
          <cell r="B854" t="str">
            <v>Travelling and Conveyance</v>
          </cell>
          <cell r="C854">
            <v>2</v>
          </cell>
          <cell r="D854">
            <v>0</v>
          </cell>
        </row>
        <row r="855">
          <cell r="A855" t="str">
            <v>405-004-001-0000</v>
          </cell>
          <cell r="B855" t="str">
            <v>Travelling and Conveyance</v>
          </cell>
          <cell r="C855">
            <v>3</v>
          </cell>
          <cell r="D855">
            <v>0</v>
          </cell>
        </row>
        <row r="856">
          <cell r="A856" t="str">
            <v>405-004-001-0001</v>
          </cell>
          <cell r="B856" t="str">
            <v>Travelling and Conveyance to Army Officers</v>
          </cell>
          <cell r="C856">
            <v>4</v>
          </cell>
          <cell r="D856">
            <v>0</v>
          </cell>
        </row>
        <row r="857">
          <cell r="A857" t="str">
            <v>405-004-001-0002</v>
          </cell>
          <cell r="B857" t="str">
            <v>Travelling and Conveyance to Civilin Staff</v>
          </cell>
          <cell r="C857">
            <v>4</v>
          </cell>
          <cell r="D857">
            <v>0</v>
          </cell>
        </row>
        <row r="858">
          <cell r="A858" t="str">
            <v>405-004-001-0003</v>
          </cell>
          <cell r="B858" t="str">
            <v>Travelling and Conveyance to JCO's Staff</v>
          </cell>
          <cell r="C858">
            <v>4</v>
          </cell>
          <cell r="D858">
            <v>0</v>
          </cell>
        </row>
        <row r="859">
          <cell r="A859" t="str">
            <v>405-004-001-0004</v>
          </cell>
          <cell r="B859" t="str">
            <v>Travelling and Conveyance to Associated Projects</v>
          </cell>
          <cell r="C859">
            <v>4</v>
          </cell>
          <cell r="D859">
            <v>0</v>
          </cell>
        </row>
        <row r="860">
          <cell r="A860" t="str">
            <v>405-004-001-0005</v>
          </cell>
          <cell r="B860" t="str">
            <v>Travelling and Conveyance shared with HQ</v>
          </cell>
          <cell r="C860">
            <v>4</v>
          </cell>
          <cell r="D860">
            <v>0</v>
          </cell>
        </row>
        <row r="861">
          <cell r="A861" t="str">
            <v>405-005-000-0000</v>
          </cell>
          <cell r="B861" t="str">
            <v>Vehicle Running Expenses</v>
          </cell>
          <cell r="C861">
            <v>2</v>
          </cell>
          <cell r="D861">
            <v>0</v>
          </cell>
        </row>
        <row r="862">
          <cell r="A862" t="str">
            <v>405-005-001-0000</v>
          </cell>
          <cell r="B862" t="str">
            <v>Heavy  Vehicle Running Expenses</v>
          </cell>
          <cell r="C862">
            <v>3</v>
          </cell>
          <cell r="D862">
            <v>0</v>
          </cell>
        </row>
        <row r="863">
          <cell r="A863" t="str">
            <v>405-005-001-0001</v>
          </cell>
          <cell r="B863" t="str">
            <v>Heavy  Vehicle Running Expenses</v>
          </cell>
          <cell r="C863">
            <v>4</v>
          </cell>
          <cell r="D863">
            <v>0</v>
          </cell>
        </row>
        <row r="864">
          <cell r="A864" t="str">
            <v>405-005-002-0000</v>
          </cell>
          <cell r="B864" t="str">
            <v>Light Vehicls Running Expenses</v>
          </cell>
          <cell r="C864">
            <v>3</v>
          </cell>
          <cell r="D864">
            <v>0</v>
          </cell>
        </row>
        <row r="865">
          <cell r="A865" t="str">
            <v>405-005-002-0001</v>
          </cell>
          <cell r="B865" t="str">
            <v>Light Vehicls Running Expenses</v>
          </cell>
          <cell r="C865">
            <v>4</v>
          </cell>
          <cell r="D865">
            <v>0</v>
          </cell>
        </row>
        <row r="866">
          <cell r="A866" t="str">
            <v>405-006-000-0000</v>
          </cell>
          <cell r="B866" t="str">
            <v>Repair and Maintenance</v>
          </cell>
          <cell r="C866">
            <v>2</v>
          </cell>
          <cell r="D866">
            <v>242960</v>
          </cell>
        </row>
        <row r="867">
          <cell r="A867" t="str">
            <v>405-006-001-0000</v>
          </cell>
          <cell r="B867" t="str">
            <v>Heavy Vehicles Repair and Maintainance</v>
          </cell>
          <cell r="C867">
            <v>3</v>
          </cell>
          <cell r="D867">
            <v>0</v>
          </cell>
        </row>
        <row r="868">
          <cell r="A868" t="str">
            <v>405-006-001-0001</v>
          </cell>
          <cell r="B868" t="str">
            <v>Heavy Vehicles Repair and Maintainance</v>
          </cell>
          <cell r="C868">
            <v>4</v>
          </cell>
          <cell r="D868">
            <v>0</v>
          </cell>
        </row>
        <row r="869">
          <cell r="A869" t="str">
            <v>405-006-002-0000</v>
          </cell>
          <cell r="B869" t="str">
            <v>Light Vehicles Repair and Maintainance</v>
          </cell>
          <cell r="C869">
            <v>3</v>
          </cell>
          <cell r="D869">
            <v>0</v>
          </cell>
        </row>
        <row r="870">
          <cell r="A870" t="str">
            <v>405-006-002-0001</v>
          </cell>
          <cell r="B870" t="str">
            <v>Light Vehicles Repair and Maintainance</v>
          </cell>
          <cell r="C870">
            <v>4</v>
          </cell>
          <cell r="D870">
            <v>0</v>
          </cell>
        </row>
        <row r="871">
          <cell r="A871" t="str">
            <v>405-006-003-0000</v>
          </cell>
          <cell r="B871" t="str">
            <v>Spares of Vehicles</v>
          </cell>
          <cell r="C871">
            <v>3</v>
          </cell>
          <cell r="D871">
            <v>0</v>
          </cell>
        </row>
        <row r="872">
          <cell r="A872" t="str">
            <v>405-006-003-0001</v>
          </cell>
          <cell r="B872" t="str">
            <v>Spares of Vehicles</v>
          </cell>
          <cell r="C872">
            <v>4</v>
          </cell>
          <cell r="D872">
            <v>0</v>
          </cell>
        </row>
        <row r="873">
          <cell r="A873" t="str">
            <v>405-006-004-0000</v>
          </cell>
          <cell r="B873" t="str">
            <v>Plant and Machinery Repair and Maintainance</v>
          </cell>
          <cell r="C873">
            <v>3</v>
          </cell>
          <cell r="D873">
            <v>2960</v>
          </cell>
        </row>
        <row r="874">
          <cell r="A874" t="str">
            <v>405-006-004-0001</v>
          </cell>
          <cell r="B874" t="str">
            <v>Plant and Machinery Repair and Maintainance</v>
          </cell>
          <cell r="C874">
            <v>4</v>
          </cell>
          <cell r="D874">
            <v>2960</v>
          </cell>
        </row>
        <row r="875">
          <cell r="A875" t="str">
            <v>405-006-005-0000</v>
          </cell>
          <cell r="B875" t="str">
            <v>Site Frrniture and Fixture Repair and Maintainance</v>
          </cell>
          <cell r="C875">
            <v>3</v>
          </cell>
          <cell r="D875">
            <v>0</v>
          </cell>
        </row>
        <row r="876">
          <cell r="A876" t="str">
            <v>405-006-005-0001</v>
          </cell>
          <cell r="B876" t="str">
            <v>Site Frrniture and Fixture Repair and Maintainance</v>
          </cell>
          <cell r="C876">
            <v>4</v>
          </cell>
          <cell r="D876">
            <v>0</v>
          </cell>
        </row>
        <row r="877">
          <cell r="A877" t="str">
            <v>405-006-006-0000</v>
          </cell>
          <cell r="B877" t="str">
            <v>Site Office Equipment Repair and Maintainance</v>
          </cell>
          <cell r="C877">
            <v>3</v>
          </cell>
          <cell r="D877">
            <v>0</v>
          </cell>
        </row>
        <row r="878">
          <cell r="A878" t="str">
            <v>405-006-006-0001</v>
          </cell>
          <cell r="B878" t="str">
            <v>Site Office Equipment Repair and Maintainance</v>
          </cell>
          <cell r="C878">
            <v>4</v>
          </cell>
          <cell r="D878">
            <v>0</v>
          </cell>
        </row>
        <row r="879">
          <cell r="A879" t="str">
            <v>405-006-007-0000</v>
          </cell>
          <cell r="B879" t="str">
            <v>Site Electrical Equipment Repair and Maintainance</v>
          </cell>
          <cell r="C879">
            <v>3</v>
          </cell>
          <cell r="D879">
            <v>0</v>
          </cell>
        </row>
        <row r="880">
          <cell r="A880" t="str">
            <v>405-006-007-0001</v>
          </cell>
          <cell r="B880" t="str">
            <v>Site Electrical Equipment Repair and Maintainance</v>
          </cell>
          <cell r="C880">
            <v>4</v>
          </cell>
          <cell r="D880">
            <v>0</v>
          </cell>
        </row>
        <row r="881">
          <cell r="A881" t="str">
            <v>405-006-007-0002</v>
          </cell>
          <cell r="B881" t="str">
            <v>Site misc works</v>
          </cell>
          <cell r="C881">
            <v>4</v>
          </cell>
          <cell r="D881">
            <v>0</v>
          </cell>
        </row>
        <row r="882">
          <cell r="A882" t="str">
            <v>405-006-008-0000</v>
          </cell>
          <cell r="B882" t="str">
            <v>Labortory and Survey Equipment Repair and Maintain</v>
          </cell>
          <cell r="C882">
            <v>3</v>
          </cell>
          <cell r="D882">
            <v>0</v>
          </cell>
        </row>
        <row r="883">
          <cell r="A883" t="str">
            <v>405-006-008-0001</v>
          </cell>
          <cell r="B883" t="str">
            <v>Labortory and Survey Equipment Repair and Maintain</v>
          </cell>
          <cell r="C883">
            <v>4</v>
          </cell>
          <cell r="D883">
            <v>0</v>
          </cell>
        </row>
        <row r="884">
          <cell r="A884" t="str">
            <v>405-006-009-0000</v>
          </cell>
          <cell r="B884" t="str">
            <v>Site Computers Repairs and Maintainance</v>
          </cell>
          <cell r="C884">
            <v>3</v>
          </cell>
          <cell r="D884">
            <v>0</v>
          </cell>
        </row>
        <row r="885">
          <cell r="A885" t="str">
            <v>405-006-009-0001</v>
          </cell>
          <cell r="B885" t="str">
            <v>Site Computers Repairs and Maintainance</v>
          </cell>
          <cell r="C885">
            <v>4</v>
          </cell>
          <cell r="D885">
            <v>0</v>
          </cell>
        </row>
        <row r="886">
          <cell r="A886" t="str">
            <v>405-006-009-0002</v>
          </cell>
          <cell r="B886" t="str">
            <v>Computers for NHA</v>
          </cell>
          <cell r="C886">
            <v>4</v>
          </cell>
          <cell r="D886">
            <v>0</v>
          </cell>
        </row>
        <row r="887">
          <cell r="A887" t="str">
            <v>405-006-010-0000</v>
          </cell>
          <cell r="B887" t="str">
            <v>Generators Repairs and Maintainance</v>
          </cell>
          <cell r="C887">
            <v>3</v>
          </cell>
          <cell r="D887">
            <v>0</v>
          </cell>
        </row>
        <row r="888">
          <cell r="A888" t="str">
            <v>405-006-010-0001</v>
          </cell>
          <cell r="B888" t="str">
            <v>Generators Repairs and Maintainance</v>
          </cell>
          <cell r="C888">
            <v>4</v>
          </cell>
          <cell r="D888">
            <v>0</v>
          </cell>
        </row>
        <row r="889">
          <cell r="A889" t="str">
            <v>405-006-011-0000</v>
          </cell>
          <cell r="B889" t="str">
            <v>Fax, Telephones and  Exchange Repair and Maintaina</v>
          </cell>
          <cell r="C889">
            <v>3</v>
          </cell>
          <cell r="D889">
            <v>0</v>
          </cell>
        </row>
        <row r="890">
          <cell r="A890" t="str">
            <v>405-006-011-0001</v>
          </cell>
          <cell r="B890" t="str">
            <v>Fax, Telephones and  Exchange Repair and Maintaina</v>
          </cell>
          <cell r="C890">
            <v>4</v>
          </cell>
          <cell r="D890">
            <v>0</v>
          </cell>
        </row>
        <row r="891">
          <cell r="A891" t="str">
            <v>405-006-012-0000</v>
          </cell>
          <cell r="B891" t="str">
            <v>Site Office Electric  Repair and Maintainance</v>
          </cell>
          <cell r="C891">
            <v>3</v>
          </cell>
          <cell r="D891">
            <v>0</v>
          </cell>
        </row>
        <row r="892">
          <cell r="A892" t="str">
            <v>405-006-012-0001</v>
          </cell>
          <cell r="B892" t="str">
            <v>Site Office Electric  Repair and Maintainance</v>
          </cell>
          <cell r="C892">
            <v>4</v>
          </cell>
          <cell r="D892">
            <v>0</v>
          </cell>
        </row>
        <row r="893">
          <cell r="A893" t="str">
            <v>405-006-013-0000</v>
          </cell>
          <cell r="B893" t="str">
            <v>Site Office Building Repair and Maintainance</v>
          </cell>
          <cell r="C893">
            <v>3</v>
          </cell>
          <cell r="D893">
            <v>0</v>
          </cell>
        </row>
        <row r="894">
          <cell r="A894" t="str">
            <v>405-006-013-0001</v>
          </cell>
          <cell r="B894" t="str">
            <v>Site Office Building Repair and Maintainance</v>
          </cell>
          <cell r="C894">
            <v>4</v>
          </cell>
          <cell r="D894">
            <v>0</v>
          </cell>
        </row>
        <row r="895">
          <cell r="A895" t="str">
            <v>405-006-014-0000</v>
          </cell>
          <cell r="B895" t="str">
            <v>Furniture &amp; Fixture Repair &amp; Maintenance</v>
          </cell>
          <cell r="C895">
            <v>3</v>
          </cell>
          <cell r="D895">
            <v>0</v>
          </cell>
        </row>
        <row r="896">
          <cell r="A896" t="str">
            <v>405-006-014-0001</v>
          </cell>
          <cell r="B896" t="str">
            <v>Furniture &amp; Fixture Repair &amp; Maintenance</v>
          </cell>
          <cell r="C896">
            <v>4</v>
          </cell>
          <cell r="D896">
            <v>0</v>
          </cell>
        </row>
        <row r="897">
          <cell r="A897" t="str">
            <v>405-006-015-0000</v>
          </cell>
          <cell r="B897" t="str">
            <v>Wireless Equipment Repair Charges</v>
          </cell>
          <cell r="C897">
            <v>3</v>
          </cell>
          <cell r="D897">
            <v>0</v>
          </cell>
        </row>
        <row r="898">
          <cell r="A898" t="str">
            <v>405-006-015-0001</v>
          </cell>
          <cell r="B898" t="str">
            <v>Wireless Equipment Repair Charges</v>
          </cell>
          <cell r="C898">
            <v>4</v>
          </cell>
          <cell r="D898">
            <v>0</v>
          </cell>
        </row>
        <row r="899">
          <cell r="A899" t="str">
            <v>405-006-016-0000</v>
          </cell>
          <cell r="B899" t="str">
            <v>Project Maintainance Cost</v>
          </cell>
          <cell r="C899">
            <v>3</v>
          </cell>
          <cell r="D899">
            <v>240000</v>
          </cell>
        </row>
        <row r="900">
          <cell r="A900" t="str">
            <v>405-006-016-0001</v>
          </cell>
          <cell r="B900" t="str">
            <v>Project Maintainance Cost</v>
          </cell>
          <cell r="C900">
            <v>4</v>
          </cell>
          <cell r="D900">
            <v>240000</v>
          </cell>
        </row>
        <row r="901">
          <cell r="A901" t="str">
            <v>405-007-000-0000</v>
          </cell>
          <cell r="B901" t="str">
            <v>Printing and stationery</v>
          </cell>
          <cell r="C901">
            <v>2</v>
          </cell>
          <cell r="D901">
            <v>0</v>
          </cell>
        </row>
        <row r="902">
          <cell r="A902" t="str">
            <v>405-007-001-0000</v>
          </cell>
          <cell r="B902" t="str">
            <v>Printing and stationery</v>
          </cell>
          <cell r="C902">
            <v>3</v>
          </cell>
          <cell r="D902">
            <v>0</v>
          </cell>
        </row>
        <row r="903">
          <cell r="A903" t="str">
            <v>405-007-001-0001</v>
          </cell>
          <cell r="B903" t="str">
            <v>Printing expenses</v>
          </cell>
          <cell r="C903">
            <v>4</v>
          </cell>
          <cell r="D903">
            <v>0</v>
          </cell>
        </row>
        <row r="904">
          <cell r="A904" t="str">
            <v>405-007-001-0002</v>
          </cell>
          <cell r="B904" t="str">
            <v>Stationery expenses</v>
          </cell>
          <cell r="C904">
            <v>4</v>
          </cell>
          <cell r="D904">
            <v>0</v>
          </cell>
        </row>
        <row r="905">
          <cell r="A905" t="str">
            <v>405-007-001-0003</v>
          </cell>
          <cell r="B905" t="str">
            <v>Computer stationery</v>
          </cell>
          <cell r="C905">
            <v>4</v>
          </cell>
          <cell r="D905">
            <v>0</v>
          </cell>
        </row>
        <row r="906">
          <cell r="A906" t="str">
            <v>405-007-001-0004</v>
          </cell>
          <cell r="B906" t="str">
            <v>Photocopies</v>
          </cell>
          <cell r="C906">
            <v>4</v>
          </cell>
          <cell r="D906">
            <v>0</v>
          </cell>
        </row>
        <row r="907">
          <cell r="A907" t="str">
            <v>405-008-000-0000</v>
          </cell>
          <cell r="B907" t="str">
            <v>Electric, Water and Gas Charges</v>
          </cell>
          <cell r="C907">
            <v>2</v>
          </cell>
          <cell r="D907">
            <v>0</v>
          </cell>
        </row>
        <row r="908">
          <cell r="A908" t="str">
            <v>405-008-001-0000</v>
          </cell>
          <cell r="B908" t="str">
            <v>Electricity</v>
          </cell>
          <cell r="C908">
            <v>3</v>
          </cell>
          <cell r="D908">
            <v>0</v>
          </cell>
        </row>
        <row r="909">
          <cell r="A909" t="str">
            <v>405-008-001-0001</v>
          </cell>
          <cell r="B909" t="str">
            <v>Electricity Installition Charges</v>
          </cell>
          <cell r="C909">
            <v>4</v>
          </cell>
          <cell r="D909">
            <v>0</v>
          </cell>
        </row>
        <row r="910">
          <cell r="A910" t="str">
            <v>405-008-001-0002</v>
          </cell>
          <cell r="B910" t="str">
            <v>Electricity Charges GHQ Share</v>
          </cell>
          <cell r="C910">
            <v>4</v>
          </cell>
          <cell r="D910">
            <v>0</v>
          </cell>
        </row>
        <row r="911">
          <cell r="A911" t="str">
            <v>405-008-001-0003</v>
          </cell>
          <cell r="B911" t="str">
            <v>Electricity Charges Bill #</v>
          </cell>
          <cell r="C911">
            <v>4</v>
          </cell>
          <cell r="D911">
            <v>0</v>
          </cell>
        </row>
        <row r="912">
          <cell r="A912" t="str">
            <v>405-008-001-0004</v>
          </cell>
          <cell r="B912" t="str">
            <v>Electricity Charges Bill #</v>
          </cell>
          <cell r="C912">
            <v>4</v>
          </cell>
          <cell r="D912">
            <v>0</v>
          </cell>
        </row>
        <row r="913">
          <cell r="A913" t="str">
            <v>405-008-001-0005</v>
          </cell>
          <cell r="B913" t="str">
            <v>Electricity Charges Bill #</v>
          </cell>
          <cell r="C913">
            <v>4</v>
          </cell>
          <cell r="D913">
            <v>0</v>
          </cell>
        </row>
        <row r="914">
          <cell r="A914" t="str">
            <v>405-008-002-0000</v>
          </cell>
          <cell r="B914" t="str">
            <v>Water charges</v>
          </cell>
          <cell r="C914">
            <v>3</v>
          </cell>
          <cell r="D914">
            <v>0</v>
          </cell>
        </row>
        <row r="915">
          <cell r="A915" t="str">
            <v>405-008-002-0001</v>
          </cell>
          <cell r="B915" t="str">
            <v>Water Installation Charges</v>
          </cell>
          <cell r="C915">
            <v>4</v>
          </cell>
          <cell r="D915">
            <v>0</v>
          </cell>
        </row>
        <row r="916">
          <cell r="A916" t="str">
            <v>405-008-002-0002</v>
          </cell>
          <cell r="B916" t="str">
            <v>Water Charges GHQ Share</v>
          </cell>
          <cell r="C916">
            <v>4</v>
          </cell>
          <cell r="D916">
            <v>0</v>
          </cell>
        </row>
        <row r="917">
          <cell r="A917" t="str">
            <v>405-008-002-0003</v>
          </cell>
          <cell r="B917" t="str">
            <v>Water Charges Bill #</v>
          </cell>
          <cell r="C917">
            <v>4</v>
          </cell>
          <cell r="D917">
            <v>0</v>
          </cell>
        </row>
        <row r="918">
          <cell r="A918" t="str">
            <v>405-008-003-0000</v>
          </cell>
          <cell r="B918" t="str">
            <v>Gas charges</v>
          </cell>
          <cell r="C918">
            <v>3</v>
          </cell>
          <cell r="D918">
            <v>0</v>
          </cell>
        </row>
        <row r="919">
          <cell r="A919" t="str">
            <v>405-008-003-0001</v>
          </cell>
          <cell r="B919" t="str">
            <v>Sui Gas Installation Charges</v>
          </cell>
          <cell r="C919">
            <v>4</v>
          </cell>
          <cell r="D919">
            <v>0</v>
          </cell>
        </row>
        <row r="920">
          <cell r="A920" t="str">
            <v>405-008-003-0002</v>
          </cell>
          <cell r="B920" t="str">
            <v>Sui Gas Charges Bill # GHQ Share</v>
          </cell>
          <cell r="C920">
            <v>4</v>
          </cell>
          <cell r="D920">
            <v>0</v>
          </cell>
        </row>
        <row r="921">
          <cell r="A921" t="str">
            <v>405-008-003-0003</v>
          </cell>
          <cell r="B921" t="str">
            <v>Sui Gas Charges Bill #</v>
          </cell>
          <cell r="C921">
            <v>4</v>
          </cell>
          <cell r="D921">
            <v>0</v>
          </cell>
        </row>
        <row r="922">
          <cell r="A922" t="str">
            <v>405-008-003-0004</v>
          </cell>
          <cell r="B922" t="str">
            <v>Sui Gas Cylinder</v>
          </cell>
          <cell r="C922">
            <v>4</v>
          </cell>
          <cell r="D922">
            <v>0</v>
          </cell>
        </row>
        <row r="923">
          <cell r="A923" t="str">
            <v>405-009-000-0000</v>
          </cell>
          <cell r="B923" t="str">
            <v>Communication Charges</v>
          </cell>
          <cell r="C923">
            <v>2</v>
          </cell>
          <cell r="D923">
            <v>0</v>
          </cell>
        </row>
        <row r="924">
          <cell r="A924" t="str">
            <v>405-009-001-0000</v>
          </cell>
          <cell r="B924" t="str">
            <v>Telephone charges</v>
          </cell>
          <cell r="C924">
            <v>3</v>
          </cell>
          <cell r="D924">
            <v>0</v>
          </cell>
        </row>
        <row r="925">
          <cell r="A925" t="str">
            <v>405-009-001-0001</v>
          </cell>
          <cell r="B925" t="str">
            <v>Telephone Installation Charges</v>
          </cell>
          <cell r="C925">
            <v>4</v>
          </cell>
          <cell r="D925">
            <v>0</v>
          </cell>
        </row>
        <row r="926">
          <cell r="A926" t="str">
            <v>405-009-001-0002</v>
          </cell>
          <cell r="B926" t="str">
            <v>Telephone Charges GHQ Share</v>
          </cell>
          <cell r="C926">
            <v>4</v>
          </cell>
          <cell r="D926">
            <v>0</v>
          </cell>
        </row>
        <row r="927">
          <cell r="A927" t="str">
            <v>405-009-001-0003</v>
          </cell>
          <cell r="B927" t="str">
            <v>Telephone Bill</v>
          </cell>
          <cell r="C927">
            <v>4</v>
          </cell>
          <cell r="D927">
            <v>0</v>
          </cell>
        </row>
        <row r="928">
          <cell r="A928" t="str">
            <v>405-009-002-0000</v>
          </cell>
          <cell r="B928" t="str">
            <v>Mobile Phone Charges</v>
          </cell>
          <cell r="C928">
            <v>3</v>
          </cell>
          <cell r="D928">
            <v>0</v>
          </cell>
        </row>
        <row r="929">
          <cell r="A929" t="str">
            <v>405-009-002-0001</v>
          </cell>
          <cell r="B929" t="str">
            <v>Mobile Phone Installation Charges</v>
          </cell>
          <cell r="C929">
            <v>4</v>
          </cell>
          <cell r="D929">
            <v>0</v>
          </cell>
        </row>
        <row r="930">
          <cell r="A930" t="str">
            <v>405-009-002-0002</v>
          </cell>
          <cell r="B930" t="str">
            <v>Mobile Phone  Charges GHQ Share</v>
          </cell>
          <cell r="C930">
            <v>4</v>
          </cell>
          <cell r="D930">
            <v>0</v>
          </cell>
        </row>
        <row r="931">
          <cell r="A931" t="str">
            <v>405-009-002-0003</v>
          </cell>
          <cell r="B931" t="str">
            <v>Mobile Phone  Bill ( No.7759322 )</v>
          </cell>
          <cell r="C931">
            <v>4</v>
          </cell>
          <cell r="D931">
            <v>0</v>
          </cell>
        </row>
        <row r="932">
          <cell r="A932" t="str">
            <v>405-009-003-0000</v>
          </cell>
          <cell r="B932" t="str">
            <v>Fax charges</v>
          </cell>
          <cell r="C932">
            <v>3</v>
          </cell>
          <cell r="D932">
            <v>0</v>
          </cell>
        </row>
        <row r="933">
          <cell r="A933" t="str">
            <v>405-009-003-0001</v>
          </cell>
          <cell r="B933" t="str">
            <v>Fax#</v>
          </cell>
          <cell r="C933">
            <v>4</v>
          </cell>
          <cell r="D933">
            <v>0</v>
          </cell>
        </row>
        <row r="934">
          <cell r="A934" t="str">
            <v>405-009-004-0000</v>
          </cell>
          <cell r="B934" t="str">
            <v>Telex and telegram</v>
          </cell>
          <cell r="C934">
            <v>3</v>
          </cell>
          <cell r="D934">
            <v>0</v>
          </cell>
        </row>
        <row r="935">
          <cell r="A935" t="str">
            <v>405-009-004-0001</v>
          </cell>
          <cell r="B935" t="str">
            <v>Telex and telegram</v>
          </cell>
          <cell r="C935">
            <v>4</v>
          </cell>
          <cell r="D935">
            <v>0</v>
          </cell>
        </row>
        <row r="936">
          <cell r="A936" t="str">
            <v>405-009-005-0000</v>
          </cell>
          <cell r="B936" t="str">
            <v>Postage</v>
          </cell>
          <cell r="C936">
            <v>3</v>
          </cell>
          <cell r="D936">
            <v>0</v>
          </cell>
        </row>
        <row r="937">
          <cell r="A937" t="str">
            <v>405-009-005-0001</v>
          </cell>
          <cell r="B937" t="str">
            <v>Postage</v>
          </cell>
          <cell r="C937">
            <v>4</v>
          </cell>
          <cell r="D937">
            <v>0</v>
          </cell>
        </row>
        <row r="938">
          <cell r="A938" t="str">
            <v>405-009-006-0000</v>
          </cell>
          <cell r="B938" t="str">
            <v>Pager</v>
          </cell>
          <cell r="C938">
            <v>3</v>
          </cell>
          <cell r="D938">
            <v>0</v>
          </cell>
        </row>
        <row r="939">
          <cell r="A939" t="str">
            <v>405-009-006-0001</v>
          </cell>
          <cell r="B939" t="str">
            <v>Pager</v>
          </cell>
          <cell r="C939">
            <v>4</v>
          </cell>
          <cell r="D939">
            <v>0</v>
          </cell>
        </row>
        <row r="940">
          <cell r="A940" t="str">
            <v>405-009-007-0000</v>
          </cell>
          <cell r="B940" t="str">
            <v>Internet charges</v>
          </cell>
          <cell r="C940">
            <v>3</v>
          </cell>
          <cell r="D940">
            <v>0</v>
          </cell>
        </row>
        <row r="941">
          <cell r="A941" t="str">
            <v>405-009-007-0001</v>
          </cell>
          <cell r="B941" t="str">
            <v>Internet charges</v>
          </cell>
          <cell r="C941">
            <v>4</v>
          </cell>
          <cell r="D941">
            <v>0</v>
          </cell>
        </row>
        <row r="942">
          <cell r="A942" t="str">
            <v>405-009-008-0000</v>
          </cell>
          <cell r="B942" t="str">
            <v>Wireless Charges</v>
          </cell>
          <cell r="C942">
            <v>3</v>
          </cell>
          <cell r="D942">
            <v>0</v>
          </cell>
        </row>
        <row r="943">
          <cell r="A943" t="str">
            <v>405-009-008-0001</v>
          </cell>
          <cell r="B943" t="str">
            <v>Wireless Charges</v>
          </cell>
          <cell r="C943">
            <v>4</v>
          </cell>
          <cell r="D943">
            <v>0</v>
          </cell>
        </row>
        <row r="944">
          <cell r="A944" t="str">
            <v>405-010-000-0000</v>
          </cell>
          <cell r="B944" t="str">
            <v>Entertainment</v>
          </cell>
          <cell r="C944">
            <v>2</v>
          </cell>
          <cell r="D944">
            <v>0</v>
          </cell>
        </row>
        <row r="945">
          <cell r="A945" t="str">
            <v>405-010-001-0000</v>
          </cell>
          <cell r="B945" t="str">
            <v>Entertainment</v>
          </cell>
          <cell r="C945">
            <v>3</v>
          </cell>
          <cell r="D945">
            <v>0</v>
          </cell>
        </row>
        <row r="946">
          <cell r="A946" t="str">
            <v>405-010-001-0001</v>
          </cell>
          <cell r="B946" t="str">
            <v>Project Office Entertainement</v>
          </cell>
          <cell r="C946">
            <v>4</v>
          </cell>
          <cell r="D946">
            <v>0</v>
          </cell>
        </row>
        <row r="947">
          <cell r="A947" t="str">
            <v>405-010-001-0002</v>
          </cell>
          <cell r="B947" t="str">
            <v>Field Staff Entertainment</v>
          </cell>
          <cell r="C947">
            <v>4</v>
          </cell>
          <cell r="D947">
            <v>0</v>
          </cell>
        </row>
        <row r="948">
          <cell r="A948" t="str">
            <v>405-011-000-0000</v>
          </cell>
          <cell r="B948" t="str">
            <v>Consultants Charges</v>
          </cell>
          <cell r="C948">
            <v>2</v>
          </cell>
          <cell r="D948">
            <v>8250</v>
          </cell>
        </row>
        <row r="949">
          <cell r="A949" t="str">
            <v>405-011-001-0000</v>
          </cell>
          <cell r="B949" t="str">
            <v>Consultants Charges</v>
          </cell>
          <cell r="C949">
            <v>3</v>
          </cell>
          <cell r="D949">
            <v>8250</v>
          </cell>
        </row>
        <row r="950">
          <cell r="A950" t="str">
            <v>405-011-001-0001</v>
          </cell>
          <cell r="B950" t="str">
            <v>Client Charges</v>
          </cell>
          <cell r="C950">
            <v>4</v>
          </cell>
          <cell r="D950">
            <v>8250</v>
          </cell>
        </row>
        <row r="951">
          <cell r="A951" t="str">
            <v>405-012-000-0000</v>
          </cell>
          <cell r="B951" t="str">
            <v>Auditors Remuneration</v>
          </cell>
          <cell r="C951">
            <v>2</v>
          </cell>
          <cell r="D951">
            <v>0</v>
          </cell>
        </row>
        <row r="952">
          <cell r="A952" t="str">
            <v>405-012-001-0000</v>
          </cell>
          <cell r="B952" t="str">
            <v>Auditors Remuneration</v>
          </cell>
          <cell r="C952">
            <v>3</v>
          </cell>
          <cell r="D952">
            <v>0</v>
          </cell>
        </row>
        <row r="953">
          <cell r="A953" t="str">
            <v>405-012-001-0001</v>
          </cell>
          <cell r="B953" t="str">
            <v>Auditors Remuneration</v>
          </cell>
          <cell r="C953">
            <v>4</v>
          </cell>
          <cell r="D953">
            <v>0</v>
          </cell>
        </row>
        <row r="954">
          <cell r="A954" t="str">
            <v>405-013-000-0000</v>
          </cell>
          <cell r="B954" t="str">
            <v>Fee and subscription</v>
          </cell>
          <cell r="C954">
            <v>2</v>
          </cell>
          <cell r="D954">
            <v>0</v>
          </cell>
        </row>
        <row r="955">
          <cell r="A955" t="str">
            <v>405-013-001-0000</v>
          </cell>
          <cell r="B955" t="str">
            <v>Fee and subscription</v>
          </cell>
          <cell r="C955">
            <v>3</v>
          </cell>
          <cell r="D955">
            <v>0</v>
          </cell>
        </row>
        <row r="956">
          <cell r="A956" t="str">
            <v>405-014-000-0000</v>
          </cell>
          <cell r="B956" t="str">
            <v>Insurance Expenses</v>
          </cell>
          <cell r="C956">
            <v>2</v>
          </cell>
          <cell r="D956">
            <v>0</v>
          </cell>
        </row>
        <row r="957">
          <cell r="A957" t="str">
            <v>405-014-001-0000</v>
          </cell>
          <cell r="B957" t="str">
            <v>Insurance Expenses</v>
          </cell>
          <cell r="C957">
            <v>3</v>
          </cell>
          <cell r="D957">
            <v>0</v>
          </cell>
        </row>
        <row r="958">
          <cell r="A958" t="str">
            <v>405-014-001-0001</v>
          </cell>
          <cell r="B958" t="str">
            <v>Cash Insurance Expenses</v>
          </cell>
          <cell r="C958">
            <v>4</v>
          </cell>
          <cell r="D958">
            <v>0</v>
          </cell>
        </row>
        <row r="959">
          <cell r="A959" t="str">
            <v>405-015-000-0000</v>
          </cell>
          <cell r="B959" t="str">
            <v>Professional Tax</v>
          </cell>
          <cell r="C959">
            <v>2</v>
          </cell>
          <cell r="D959">
            <v>0</v>
          </cell>
        </row>
        <row r="960">
          <cell r="A960" t="str">
            <v>405-015-001-0000</v>
          </cell>
          <cell r="B960" t="str">
            <v>Professional Tax</v>
          </cell>
          <cell r="C960">
            <v>3</v>
          </cell>
          <cell r="D960">
            <v>0</v>
          </cell>
        </row>
        <row r="961">
          <cell r="A961" t="str">
            <v>405-015-001-0001</v>
          </cell>
          <cell r="B961" t="str">
            <v>Professional Tax</v>
          </cell>
          <cell r="C961">
            <v>4</v>
          </cell>
          <cell r="D961">
            <v>0</v>
          </cell>
        </row>
        <row r="962">
          <cell r="A962" t="str">
            <v>405-016-000-0000</v>
          </cell>
          <cell r="B962" t="str">
            <v>News paper and periodicals</v>
          </cell>
          <cell r="C962">
            <v>2</v>
          </cell>
          <cell r="D962">
            <v>0</v>
          </cell>
        </row>
        <row r="963">
          <cell r="A963" t="str">
            <v>405-016-001-0000</v>
          </cell>
          <cell r="B963" t="str">
            <v>News paper and periodicals</v>
          </cell>
          <cell r="C963">
            <v>3</v>
          </cell>
          <cell r="D963">
            <v>0</v>
          </cell>
        </row>
        <row r="964">
          <cell r="A964" t="str">
            <v>405-016-001-0001</v>
          </cell>
          <cell r="B964" t="str">
            <v>Newspapers</v>
          </cell>
          <cell r="C964">
            <v>4</v>
          </cell>
          <cell r="D964">
            <v>0</v>
          </cell>
        </row>
        <row r="965">
          <cell r="A965" t="str">
            <v>405-017-000-0000</v>
          </cell>
          <cell r="B965" t="str">
            <v>Charity and donation</v>
          </cell>
          <cell r="C965">
            <v>2</v>
          </cell>
          <cell r="D965">
            <v>0</v>
          </cell>
        </row>
        <row r="966">
          <cell r="A966" t="str">
            <v>405-017-001-0000</v>
          </cell>
          <cell r="B966" t="str">
            <v>Charity and Donation</v>
          </cell>
          <cell r="C966">
            <v>3</v>
          </cell>
          <cell r="D966">
            <v>0</v>
          </cell>
        </row>
        <row r="967">
          <cell r="A967" t="str">
            <v>405-017-001-0001</v>
          </cell>
          <cell r="B967" t="str">
            <v>Charity</v>
          </cell>
          <cell r="C967">
            <v>4</v>
          </cell>
          <cell r="D967">
            <v>0</v>
          </cell>
        </row>
        <row r="968">
          <cell r="A968" t="str">
            <v>405-017-001-0002</v>
          </cell>
          <cell r="B968" t="str">
            <v>Donations</v>
          </cell>
          <cell r="C968">
            <v>4</v>
          </cell>
          <cell r="D968">
            <v>0</v>
          </cell>
        </row>
        <row r="969">
          <cell r="A969" t="str">
            <v>405-018-000-0000</v>
          </cell>
          <cell r="B969" t="str">
            <v>Advertisement expenses</v>
          </cell>
          <cell r="C969">
            <v>2</v>
          </cell>
          <cell r="D969">
            <v>0</v>
          </cell>
        </row>
        <row r="970">
          <cell r="A970" t="str">
            <v>405-018-001-0000</v>
          </cell>
          <cell r="B970" t="str">
            <v>Advertisement expenses</v>
          </cell>
          <cell r="C970">
            <v>3</v>
          </cell>
          <cell r="D970">
            <v>0</v>
          </cell>
        </row>
        <row r="971">
          <cell r="A971" t="str">
            <v>405-018-001-0001</v>
          </cell>
          <cell r="B971" t="str">
            <v>Advertisement Newspapers</v>
          </cell>
          <cell r="C971">
            <v>4</v>
          </cell>
          <cell r="D971">
            <v>0</v>
          </cell>
        </row>
        <row r="972">
          <cell r="A972" t="str">
            <v>405-019-000-0000</v>
          </cell>
          <cell r="B972" t="str">
            <v>Research, Development and Planning</v>
          </cell>
          <cell r="C972">
            <v>2</v>
          </cell>
          <cell r="D972">
            <v>21500</v>
          </cell>
        </row>
        <row r="973">
          <cell r="A973" t="str">
            <v>405-019-001-0000</v>
          </cell>
          <cell r="B973" t="str">
            <v>Research, Development and Planning</v>
          </cell>
          <cell r="C973">
            <v>3</v>
          </cell>
          <cell r="D973">
            <v>21500</v>
          </cell>
        </row>
        <row r="974">
          <cell r="A974" t="str">
            <v>405-019-001-0001</v>
          </cell>
          <cell r="B974" t="str">
            <v>Documentations Expenses</v>
          </cell>
          <cell r="C974">
            <v>4</v>
          </cell>
          <cell r="D974">
            <v>0</v>
          </cell>
        </row>
        <row r="975">
          <cell r="A975" t="str">
            <v>405-019-001-0002</v>
          </cell>
          <cell r="B975" t="str">
            <v>Photography Expenses</v>
          </cell>
          <cell r="C975">
            <v>4</v>
          </cell>
          <cell r="D975">
            <v>0</v>
          </cell>
        </row>
        <row r="976">
          <cell r="A976" t="str">
            <v>405-019-001-0003</v>
          </cell>
          <cell r="B976" t="str">
            <v>Vedio Making Expenses</v>
          </cell>
          <cell r="C976">
            <v>4</v>
          </cell>
          <cell r="D976">
            <v>0</v>
          </cell>
        </row>
        <row r="977">
          <cell r="A977" t="str">
            <v>405-019-001-0004</v>
          </cell>
          <cell r="B977" t="str">
            <v>Survey Expenses</v>
          </cell>
          <cell r="C977">
            <v>4</v>
          </cell>
          <cell r="D977">
            <v>0</v>
          </cell>
        </row>
        <row r="978">
          <cell r="A978" t="str">
            <v>405-019-001-0005</v>
          </cell>
          <cell r="B978" t="str">
            <v>Laboratory  Expenses</v>
          </cell>
          <cell r="C978">
            <v>4</v>
          </cell>
          <cell r="D978">
            <v>21500</v>
          </cell>
        </row>
        <row r="979">
          <cell r="A979" t="str">
            <v>405-019-001-0006</v>
          </cell>
          <cell r="B979" t="str">
            <v>Consultancy Charges</v>
          </cell>
          <cell r="C979">
            <v>4</v>
          </cell>
          <cell r="D979">
            <v>0</v>
          </cell>
        </row>
        <row r="980">
          <cell r="A980" t="str">
            <v>405-019-001-0007</v>
          </cell>
          <cell r="B980" t="str">
            <v>Desingning Charges</v>
          </cell>
          <cell r="C980">
            <v>4</v>
          </cell>
          <cell r="D980">
            <v>0</v>
          </cell>
        </row>
        <row r="981">
          <cell r="A981" t="str">
            <v>405-019-001-0008</v>
          </cell>
          <cell r="B981" t="str">
            <v>Site Auxiliry Work</v>
          </cell>
          <cell r="C981">
            <v>4</v>
          </cell>
          <cell r="D981">
            <v>0</v>
          </cell>
        </row>
        <row r="982">
          <cell r="A982" t="str">
            <v>405-019-001-0009</v>
          </cell>
          <cell r="B982" t="str">
            <v>Temporary Hutting</v>
          </cell>
          <cell r="C982">
            <v>4</v>
          </cell>
          <cell r="D982">
            <v>0</v>
          </cell>
        </row>
        <row r="983">
          <cell r="A983" t="str">
            <v>405-019-001-0010</v>
          </cell>
          <cell r="B983" t="str">
            <v>Consultancy Charges for Financial Documents</v>
          </cell>
          <cell r="C983">
            <v>4</v>
          </cell>
          <cell r="D983">
            <v>0</v>
          </cell>
        </row>
        <row r="984">
          <cell r="A984" t="str">
            <v>405-019-001-0011</v>
          </cell>
          <cell r="B984" t="str">
            <v>Shifting Services(Purch&amp;Laying Optical fibre cable</v>
          </cell>
          <cell r="C984">
            <v>4</v>
          </cell>
          <cell r="D984">
            <v>0</v>
          </cell>
        </row>
        <row r="985">
          <cell r="A985" t="str">
            <v>405-019-001-0012</v>
          </cell>
          <cell r="B985" t="str">
            <v>Computer Consultancy Charges</v>
          </cell>
          <cell r="C985">
            <v>4</v>
          </cell>
          <cell r="D985">
            <v>0</v>
          </cell>
        </row>
        <row r="986">
          <cell r="A986" t="str">
            <v>405-019-001-0013</v>
          </cell>
          <cell r="B986" t="str">
            <v>Computerised Billing Charges</v>
          </cell>
          <cell r="C986">
            <v>4</v>
          </cell>
          <cell r="D986">
            <v>0</v>
          </cell>
        </row>
        <row r="987">
          <cell r="A987" t="str">
            <v>405-019-001-0014</v>
          </cell>
          <cell r="B987" t="str">
            <v>Lahore Kahna Road Feasibility Report</v>
          </cell>
          <cell r="C987">
            <v>4</v>
          </cell>
          <cell r="D987">
            <v>0</v>
          </cell>
        </row>
        <row r="988">
          <cell r="A988" t="str">
            <v>405-019-001-0015</v>
          </cell>
          <cell r="B988" t="str">
            <v>Cost of Tender Project</v>
          </cell>
          <cell r="C988">
            <v>4</v>
          </cell>
          <cell r="D988">
            <v>0</v>
          </cell>
        </row>
        <row r="989">
          <cell r="A989" t="str">
            <v>405-020-000-0000</v>
          </cell>
          <cell r="B989" t="str">
            <v>Transportation, Carriage and Freight Expenses</v>
          </cell>
          <cell r="C989">
            <v>2</v>
          </cell>
          <cell r="D989">
            <v>0</v>
          </cell>
        </row>
        <row r="990">
          <cell r="A990" t="str">
            <v>405-020-001-0000</v>
          </cell>
          <cell r="B990" t="str">
            <v>Transportation, Carriage and Freight Expenses</v>
          </cell>
          <cell r="C990">
            <v>3</v>
          </cell>
          <cell r="D990">
            <v>0</v>
          </cell>
        </row>
        <row r="991">
          <cell r="A991" t="str">
            <v>405-020-001-0001</v>
          </cell>
          <cell r="B991" t="str">
            <v>Transportation Expenses</v>
          </cell>
          <cell r="C991">
            <v>4</v>
          </cell>
          <cell r="D991">
            <v>0</v>
          </cell>
        </row>
        <row r="992">
          <cell r="A992" t="str">
            <v>405-020-001-0002</v>
          </cell>
          <cell r="B992" t="str">
            <v>Carriage and Freight Expenses</v>
          </cell>
          <cell r="C992">
            <v>4</v>
          </cell>
          <cell r="D992">
            <v>0</v>
          </cell>
        </row>
        <row r="993">
          <cell r="A993" t="str">
            <v>405-020-001-0003</v>
          </cell>
          <cell r="B993" t="str">
            <v>Loading, Unloading</v>
          </cell>
          <cell r="C993">
            <v>4</v>
          </cell>
          <cell r="D993">
            <v>0</v>
          </cell>
        </row>
        <row r="994">
          <cell r="A994" t="str">
            <v>405-021-000-0000</v>
          </cell>
          <cell r="B994" t="str">
            <v>Hiring Charges</v>
          </cell>
          <cell r="C994">
            <v>2</v>
          </cell>
          <cell r="D994">
            <v>0</v>
          </cell>
        </row>
        <row r="995">
          <cell r="A995" t="str">
            <v>405-021-001-0000</v>
          </cell>
          <cell r="B995" t="str">
            <v>Heavy Vehicle Hiring charges</v>
          </cell>
          <cell r="C995">
            <v>3</v>
          </cell>
          <cell r="D995">
            <v>0</v>
          </cell>
        </row>
        <row r="996">
          <cell r="A996" t="str">
            <v>405-021-001-0001</v>
          </cell>
          <cell r="B996" t="str">
            <v>Control Heavy Vehicle Hiring charges</v>
          </cell>
          <cell r="C996">
            <v>4</v>
          </cell>
          <cell r="D996">
            <v>0</v>
          </cell>
        </row>
        <row r="997">
          <cell r="A997" t="str">
            <v>405-021-002-0000</v>
          </cell>
          <cell r="B997" t="str">
            <v>Light Vehicle Hiring charges</v>
          </cell>
          <cell r="C997">
            <v>3</v>
          </cell>
          <cell r="D997">
            <v>0</v>
          </cell>
        </row>
        <row r="998">
          <cell r="A998" t="str">
            <v>405-021-002-0001</v>
          </cell>
          <cell r="B998" t="str">
            <v>Control Light Vehicle Hiring charges</v>
          </cell>
          <cell r="C998">
            <v>4</v>
          </cell>
          <cell r="D998">
            <v>0</v>
          </cell>
        </row>
        <row r="999">
          <cell r="A999" t="str">
            <v>405-021-003-0000</v>
          </cell>
          <cell r="B999" t="str">
            <v>Plant and Machinery Hiring charges</v>
          </cell>
          <cell r="C999">
            <v>3</v>
          </cell>
          <cell r="D999">
            <v>0</v>
          </cell>
        </row>
        <row r="1000">
          <cell r="A1000" t="str">
            <v>405-021-003-0001</v>
          </cell>
          <cell r="B1000" t="str">
            <v>Plant and Machinery Hiring charges</v>
          </cell>
          <cell r="C1000">
            <v>4</v>
          </cell>
          <cell r="D1000">
            <v>0</v>
          </cell>
        </row>
        <row r="1001">
          <cell r="A1001" t="str">
            <v>405-021-004-0000</v>
          </cell>
          <cell r="B1001" t="str">
            <v>Equipment Hiring Charges</v>
          </cell>
          <cell r="C1001">
            <v>3</v>
          </cell>
          <cell r="D1001">
            <v>0</v>
          </cell>
        </row>
        <row r="1002">
          <cell r="A1002" t="str">
            <v>405-021-004-0001</v>
          </cell>
          <cell r="B1002" t="str">
            <v>Equipment Hiring Charges</v>
          </cell>
          <cell r="C1002">
            <v>4</v>
          </cell>
          <cell r="D1002">
            <v>0</v>
          </cell>
        </row>
        <row r="1003">
          <cell r="A1003" t="str">
            <v>405-021-005-0000</v>
          </cell>
          <cell r="B1003" t="str">
            <v>Machinery Hiring Charges</v>
          </cell>
          <cell r="C1003">
            <v>3</v>
          </cell>
          <cell r="D1003">
            <v>0</v>
          </cell>
        </row>
        <row r="1004">
          <cell r="A1004" t="str">
            <v>405-021-005-0001</v>
          </cell>
          <cell r="B1004" t="str">
            <v>Machinery Hiring Charges</v>
          </cell>
          <cell r="C1004">
            <v>4</v>
          </cell>
          <cell r="D1004">
            <v>0</v>
          </cell>
        </row>
        <row r="1005">
          <cell r="A1005" t="str">
            <v>405-021-006-0000</v>
          </cell>
          <cell r="B1005" t="str">
            <v>Crane Hiring Charges</v>
          </cell>
          <cell r="C1005">
            <v>3</v>
          </cell>
          <cell r="D1005">
            <v>0</v>
          </cell>
        </row>
        <row r="1006">
          <cell r="A1006" t="str">
            <v>405-021-006-0001</v>
          </cell>
          <cell r="B1006" t="str">
            <v>Crane Hiring Charges</v>
          </cell>
          <cell r="C1006">
            <v>4</v>
          </cell>
          <cell r="D1006">
            <v>0</v>
          </cell>
        </row>
        <row r="1007">
          <cell r="A1007" t="str">
            <v>405-022-000-0000</v>
          </cell>
          <cell r="B1007" t="str">
            <v>Lease Rent</v>
          </cell>
          <cell r="C1007">
            <v>2</v>
          </cell>
          <cell r="D1007">
            <v>0</v>
          </cell>
        </row>
        <row r="1008">
          <cell r="A1008" t="str">
            <v>405-022-001-0000</v>
          </cell>
          <cell r="B1008" t="str">
            <v>Lease Rent</v>
          </cell>
          <cell r="C1008">
            <v>3</v>
          </cell>
          <cell r="D1008">
            <v>0</v>
          </cell>
        </row>
        <row r="1009">
          <cell r="A1009" t="str">
            <v>405-022-001-0001</v>
          </cell>
          <cell r="B1009" t="str">
            <v>Land Lease Rent Charges</v>
          </cell>
          <cell r="C1009">
            <v>4</v>
          </cell>
          <cell r="D1009">
            <v>0</v>
          </cell>
        </row>
        <row r="1010">
          <cell r="A1010" t="str">
            <v>405-023-000-0000</v>
          </cell>
          <cell r="B1010" t="str">
            <v>Depreciation of Operating Fixed Assets</v>
          </cell>
          <cell r="C1010">
            <v>2</v>
          </cell>
          <cell r="D1010">
            <v>68000</v>
          </cell>
        </row>
        <row r="1011">
          <cell r="A1011" t="str">
            <v>405-023-001-0000</v>
          </cell>
          <cell r="B1011" t="str">
            <v>Depreciation of Operating Fixed Assets</v>
          </cell>
          <cell r="C1011">
            <v>3</v>
          </cell>
          <cell r="D1011">
            <v>68000</v>
          </cell>
        </row>
        <row r="1012">
          <cell r="A1012" t="str">
            <v>405-023-001-0001</v>
          </cell>
          <cell r="B1012" t="str">
            <v>Depreciation of Operating Fixed Assets</v>
          </cell>
          <cell r="C1012">
            <v>4</v>
          </cell>
          <cell r="D1012">
            <v>68000</v>
          </cell>
        </row>
        <row r="1013">
          <cell r="A1013" t="str">
            <v>405-024-000-0000</v>
          </cell>
          <cell r="B1013" t="str">
            <v>Amortisation of Lease Assets</v>
          </cell>
          <cell r="C1013">
            <v>2</v>
          </cell>
          <cell r="D1013">
            <v>0</v>
          </cell>
        </row>
        <row r="1014">
          <cell r="A1014" t="str">
            <v>405-024-001-0000</v>
          </cell>
          <cell r="B1014" t="str">
            <v>Amortisation of Lease Assets</v>
          </cell>
          <cell r="C1014">
            <v>3</v>
          </cell>
          <cell r="D1014">
            <v>0</v>
          </cell>
        </row>
        <row r="1015">
          <cell r="A1015" t="str">
            <v>405-024-001-0001</v>
          </cell>
          <cell r="B1015" t="str">
            <v>Amortisation of Lease Assets</v>
          </cell>
          <cell r="C1015">
            <v>4</v>
          </cell>
          <cell r="D1015">
            <v>0</v>
          </cell>
        </row>
        <row r="1016">
          <cell r="A1016" t="str">
            <v>405-025-000-0000</v>
          </cell>
          <cell r="B1016" t="str">
            <v>Amortisation of deferred cost</v>
          </cell>
          <cell r="C1016">
            <v>2</v>
          </cell>
          <cell r="D1016">
            <v>0</v>
          </cell>
        </row>
        <row r="1017">
          <cell r="A1017" t="str">
            <v>405-025-001-0000</v>
          </cell>
          <cell r="B1017" t="str">
            <v>Amortisation of deferred cost</v>
          </cell>
          <cell r="C1017">
            <v>3</v>
          </cell>
          <cell r="D1017">
            <v>0</v>
          </cell>
        </row>
        <row r="1018">
          <cell r="A1018" t="str">
            <v>405-025-001-0001</v>
          </cell>
          <cell r="B1018" t="str">
            <v>Amortisation of deferred cost</v>
          </cell>
          <cell r="C1018">
            <v>4</v>
          </cell>
          <cell r="D1018">
            <v>0</v>
          </cell>
        </row>
        <row r="1019">
          <cell r="A1019" t="str">
            <v>405-026-000-0000</v>
          </cell>
          <cell r="B1019" t="str">
            <v>Miscellaneous Expenses</v>
          </cell>
          <cell r="C1019">
            <v>2</v>
          </cell>
          <cell r="D1019">
            <v>0</v>
          </cell>
        </row>
        <row r="1020">
          <cell r="A1020" t="str">
            <v>405-026-001-0000</v>
          </cell>
          <cell r="B1020" t="str">
            <v>Miscellaneous Expenses</v>
          </cell>
          <cell r="C1020">
            <v>3</v>
          </cell>
          <cell r="D1020">
            <v>0</v>
          </cell>
        </row>
        <row r="1021">
          <cell r="A1021" t="str">
            <v>405-026-001-0001</v>
          </cell>
          <cell r="B1021" t="str">
            <v>Miscellaneous Expenses</v>
          </cell>
          <cell r="C1021">
            <v>4</v>
          </cell>
          <cell r="D1021">
            <v>0</v>
          </cell>
        </row>
        <row r="1022">
          <cell r="A1022" t="str">
            <v>406-000-000-0000</v>
          </cell>
          <cell r="B1022" t="str">
            <v>Work done subcontractors</v>
          </cell>
          <cell r="C1022">
            <v>1</v>
          </cell>
          <cell r="D1022">
            <v>29407070</v>
          </cell>
        </row>
        <row r="1023">
          <cell r="A1023" t="str">
            <v>406-001-000-0000</v>
          </cell>
          <cell r="B1023" t="str">
            <v>Work done subcontractors</v>
          </cell>
          <cell r="C1023">
            <v>2</v>
          </cell>
          <cell r="D1023">
            <v>29407070</v>
          </cell>
        </row>
        <row r="1024">
          <cell r="A1024" t="str">
            <v>406-001-001-0000</v>
          </cell>
          <cell r="B1024" t="str">
            <v>Work done subcontractors</v>
          </cell>
          <cell r="C1024">
            <v>3</v>
          </cell>
          <cell r="D1024">
            <v>29407070</v>
          </cell>
        </row>
        <row r="1025">
          <cell r="A1025" t="str">
            <v>406-001-001-1001</v>
          </cell>
          <cell r="B1025" t="str">
            <v>Aamir Builders Work Done</v>
          </cell>
          <cell r="C1025">
            <v>4</v>
          </cell>
          <cell r="D1025">
            <v>0</v>
          </cell>
        </row>
        <row r="1026">
          <cell r="A1026" t="str">
            <v>406-001-001-1002</v>
          </cell>
          <cell r="B1026" t="str">
            <v>Sadat Construction Co Work done</v>
          </cell>
          <cell r="C1026">
            <v>4</v>
          </cell>
          <cell r="D1026">
            <v>0</v>
          </cell>
        </row>
        <row r="1027">
          <cell r="A1027" t="str">
            <v>406-001-001-1003</v>
          </cell>
          <cell r="B1027" t="str">
            <v>Concrete master workdone</v>
          </cell>
          <cell r="C1027">
            <v>4</v>
          </cell>
          <cell r="D1027">
            <v>0</v>
          </cell>
        </row>
        <row r="1028">
          <cell r="A1028" t="str">
            <v>406-001-001-1004</v>
          </cell>
          <cell r="B1028" t="str">
            <v>Crescent Associates work done</v>
          </cell>
          <cell r="C1028">
            <v>4</v>
          </cell>
          <cell r="D1028">
            <v>0</v>
          </cell>
        </row>
        <row r="1029">
          <cell r="A1029" t="str">
            <v>406-001-001-1005</v>
          </cell>
          <cell r="B1029" t="str">
            <v>Dynamic enterprises work done</v>
          </cell>
          <cell r="C1029">
            <v>4</v>
          </cell>
          <cell r="D1029">
            <v>0</v>
          </cell>
        </row>
        <row r="1030">
          <cell r="A1030" t="str">
            <v>406-001-001-1006</v>
          </cell>
          <cell r="B1030" t="str">
            <v>Foar Engineering System work done</v>
          </cell>
          <cell r="C1030">
            <v>4</v>
          </cell>
          <cell r="D1030">
            <v>0</v>
          </cell>
        </row>
        <row r="1031">
          <cell r="A1031" t="str">
            <v>406-001-001-1007</v>
          </cell>
          <cell r="B1031" t="str">
            <v>FRS Associates work done</v>
          </cell>
          <cell r="C1031">
            <v>4</v>
          </cell>
          <cell r="D1031">
            <v>0</v>
          </cell>
        </row>
        <row r="1032">
          <cell r="A1032" t="str">
            <v>406-001-001-1008</v>
          </cell>
          <cell r="B1032" t="str">
            <v>Haidry Construction work done</v>
          </cell>
          <cell r="C1032">
            <v>4</v>
          </cell>
          <cell r="D1032">
            <v>0</v>
          </cell>
        </row>
        <row r="1033">
          <cell r="A1033" t="str">
            <v>406-001-001-1009</v>
          </cell>
          <cell r="B1033" t="str">
            <v>Karcon Pvt Ltd work done</v>
          </cell>
          <cell r="C1033">
            <v>4</v>
          </cell>
          <cell r="D1033">
            <v>0</v>
          </cell>
        </row>
        <row r="1034">
          <cell r="A1034" t="str">
            <v>406-001-001-1010</v>
          </cell>
          <cell r="B1034" t="str">
            <v>Massed Developers work done</v>
          </cell>
          <cell r="C1034">
            <v>4</v>
          </cell>
          <cell r="D1034">
            <v>0</v>
          </cell>
        </row>
        <row r="1035">
          <cell r="A1035" t="str">
            <v>406-001-001-1011</v>
          </cell>
          <cell r="B1035" t="str">
            <v>Malik Ijaz Amjad work done</v>
          </cell>
          <cell r="C1035">
            <v>4</v>
          </cell>
          <cell r="D1035">
            <v>0</v>
          </cell>
        </row>
        <row r="1036">
          <cell r="A1036" t="str">
            <v>406-001-001-1012</v>
          </cell>
          <cell r="B1036" t="str">
            <v>Mian Muhammad Sharif  work done</v>
          </cell>
          <cell r="C1036">
            <v>4</v>
          </cell>
          <cell r="D1036">
            <v>0</v>
          </cell>
        </row>
        <row r="1037">
          <cell r="A1037" t="str">
            <v>406-001-001-1013</v>
          </cell>
          <cell r="B1037" t="str">
            <v>Mian Nisar and Company workdone</v>
          </cell>
          <cell r="C1037">
            <v>4</v>
          </cell>
          <cell r="D1037">
            <v>0</v>
          </cell>
        </row>
        <row r="1038">
          <cell r="A1038" t="str">
            <v>406-001-001-1014</v>
          </cell>
          <cell r="B1038" t="str">
            <v>Platnium Enterprises workdone</v>
          </cell>
          <cell r="C1038">
            <v>4</v>
          </cell>
          <cell r="D1038">
            <v>0</v>
          </cell>
        </row>
        <row r="1039">
          <cell r="A1039" t="str">
            <v>406-001-001-1015</v>
          </cell>
          <cell r="B1039" t="str">
            <v>Sambu Construction workdone</v>
          </cell>
          <cell r="C1039">
            <v>4</v>
          </cell>
          <cell r="D1039">
            <v>0</v>
          </cell>
        </row>
        <row r="1040">
          <cell r="A1040" t="str">
            <v>406-001-001-1016</v>
          </cell>
          <cell r="B1040" t="str">
            <v>Signage security system work done</v>
          </cell>
          <cell r="C1040">
            <v>4</v>
          </cell>
          <cell r="D1040">
            <v>0</v>
          </cell>
        </row>
        <row r="1041">
          <cell r="A1041" t="str">
            <v>406-001-001-1017</v>
          </cell>
          <cell r="B1041" t="str">
            <v>Syed sultan saeed work done</v>
          </cell>
          <cell r="C1041">
            <v>4</v>
          </cell>
          <cell r="D1041">
            <v>0</v>
          </cell>
        </row>
        <row r="1042">
          <cell r="A1042" t="str">
            <v>406-001-001-1018</v>
          </cell>
          <cell r="B1042" t="str">
            <v>SASA  international work done</v>
          </cell>
          <cell r="C1042">
            <v>4</v>
          </cell>
          <cell r="D1042">
            <v>0</v>
          </cell>
        </row>
        <row r="1043">
          <cell r="A1043" t="str">
            <v>406-001-001-1019</v>
          </cell>
          <cell r="B1043" t="str">
            <v>Swift Services work done</v>
          </cell>
          <cell r="C1043">
            <v>4</v>
          </cell>
          <cell r="D1043">
            <v>0</v>
          </cell>
        </row>
        <row r="1044">
          <cell r="A1044" t="str">
            <v>406-001-001-1020</v>
          </cell>
          <cell r="B1044" t="str">
            <v>Tyco Integrated System work done</v>
          </cell>
          <cell r="C1044">
            <v>4</v>
          </cell>
          <cell r="D1044">
            <v>0</v>
          </cell>
        </row>
        <row r="1045">
          <cell r="A1045" t="str">
            <v>406-001-001-1021</v>
          </cell>
          <cell r="B1045" t="str">
            <v>Nadir Constrution Company work done</v>
          </cell>
          <cell r="C1045">
            <v>4</v>
          </cell>
          <cell r="D1045">
            <v>0</v>
          </cell>
        </row>
        <row r="1046">
          <cell r="A1046" t="str">
            <v>406-001-001-1022</v>
          </cell>
          <cell r="B1046" t="str">
            <v>Zahir Khan and Brothers work done</v>
          </cell>
          <cell r="C1046">
            <v>4</v>
          </cell>
          <cell r="D1046">
            <v>0</v>
          </cell>
        </row>
        <row r="1047">
          <cell r="A1047" t="str">
            <v>406-001-001-1023</v>
          </cell>
          <cell r="B1047" t="str">
            <v>Rashid Associates Work Done</v>
          </cell>
          <cell r="C1047">
            <v>4</v>
          </cell>
          <cell r="D1047">
            <v>0</v>
          </cell>
        </row>
        <row r="1048">
          <cell r="A1048" t="str">
            <v>406-001-001-1032</v>
          </cell>
          <cell r="B1048" t="str">
            <v>Xen Wapda Work Done</v>
          </cell>
          <cell r="C1048">
            <v>4</v>
          </cell>
          <cell r="D1048">
            <v>0</v>
          </cell>
        </row>
        <row r="1049">
          <cell r="A1049" t="str">
            <v>406-001-001-1033</v>
          </cell>
          <cell r="B1049" t="str">
            <v>M/S Techman Civil Engineering Work done</v>
          </cell>
          <cell r="C1049">
            <v>4</v>
          </cell>
          <cell r="D1049">
            <v>0</v>
          </cell>
        </row>
        <row r="1050">
          <cell r="A1050" t="str">
            <v>406-001-001-1034</v>
          </cell>
          <cell r="B1050" t="str">
            <v>M/S Syed Guftar Shah Work Done</v>
          </cell>
          <cell r="C1050">
            <v>4</v>
          </cell>
          <cell r="D1050">
            <v>0</v>
          </cell>
        </row>
        <row r="1051">
          <cell r="A1051" t="str">
            <v>406-001-001-1035</v>
          </cell>
          <cell r="B1051" t="str">
            <v>M/S Muhammad Hussain Work Done</v>
          </cell>
          <cell r="C1051">
            <v>4</v>
          </cell>
          <cell r="D1051">
            <v>0</v>
          </cell>
        </row>
        <row r="1052">
          <cell r="A1052" t="str">
            <v>406-001-001-1036</v>
          </cell>
          <cell r="B1052" t="str">
            <v>M/S Muhammad Aamir Khan Work Dome</v>
          </cell>
          <cell r="C1052">
            <v>4</v>
          </cell>
          <cell r="D1052">
            <v>0</v>
          </cell>
        </row>
        <row r="1053">
          <cell r="A1053" t="str">
            <v>406-001-001-1037</v>
          </cell>
          <cell r="B1053" t="str">
            <v>M/S Muhammad Zaib Work Done</v>
          </cell>
          <cell r="C1053">
            <v>4</v>
          </cell>
          <cell r="D1053">
            <v>0</v>
          </cell>
        </row>
        <row r="1054">
          <cell r="A1054" t="str">
            <v>406-001-001-1045</v>
          </cell>
          <cell r="B1054" t="str">
            <v>Highway Contractors Work done</v>
          </cell>
          <cell r="C1054">
            <v>4</v>
          </cell>
          <cell r="D1054">
            <v>0</v>
          </cell>
        </row>
        <row r="1055">
          <cell r="A1055" t="str">
            <v>406-001-001-1046</v>
          </cell>
          <cell r="B1055" t="str">
            <v>M/S Muhammad Azam</v>
          </cell>
          <cell r="C1055">
            <v>4</v>
          </cell>
          <cell r="D1055">
            <v>0</v>
          </cell>
        </row>
        <row r="1056">
          <cell r="A1056" t="str">
            <v>406-001-001-1047</v>
          </cell>
          <cell r="B1056" t="str">
            <v>M/S MRRP</v>
          </cell>
          <cell r="C1056">
            <v>4</v>
          </cell>
          <cell r="D1056">
            <v>0</v>
          </cell>
        </row>
        <row r="1057">
          <cell r="A1057" t="str">
            <v>406-001-001-1048</v>
          </cell>
          <cell r="B1057" t="str">
            <v>M/S Technoline Work Done</v>
          </cell>
          <cell r="C1057">
            <v>4</v>
          </cell>
          <cell r="D1057">
            <v>0</v>
          </cell>
        </row>
        <row r="1058">
          <cell r="A1058" t="str">
            <v>406-001-001-1049</v>
          </cell>
          <cell r="B1058" t="str">
            <v>M/S J &amp; W workdone</v>
          </cell>
          <cell r="C1058">
            <v>4</v>
          </cell>
          <cell r="D1058">
            <v>0</v>
          </cell>
        </row>
        <row r="1059">
          <cell r="A1059" t="str">
            <v>406-001-001-1050</v>
          </cell>
          <cell r="B1059" t="str">
            <v>M/S Asad Rameez Work Done</v>
          </cell>
          <cell r="C1059">
            <v>4</v>
          </cell>
          <cell r="D1059">
            <v>0</v>
          </cell>
        </row>
        <row r="1060">
          <cell r="A1060" t="str">
            <v>406-001-001-1051</v>
          </cell>
          <cell r="B1060" t="str">
            <v>M/S Saleem &amp; Brothers Work Done</v>
          </cell>
          <cell r="C1060">
            <v>4</v>
          </cell>
          <cell r="D1060">
            <v>0</v>
          </cell>
        </row>
        <row r="1061">
          <cell r="A1061" t="str">
            <v>406-001-001-1052</v>
          </cell>
          <cell r="B1061" t="str">
            <v>M/S Syed Associates Work Done</v>
          </cell>
          <cell r="C1061">
            <v>4</v>
          </cell>
          <cell r="D1061">
            <v>0</v>
          </cell>
        </row>
        <row r="1062">
          <cell r="A1062" t="str">
            <v>406-001-001-1053</v>
          </cell>
          <cell r="B1062" t="str">
            <v>M/S Ali Associates Work Done</v>
          </cell>
          <cell r="C1062">
            <v>4</v>
          </cell>
          <cell r="D1062">
            <v>0</v>
          </cell>
        </row>
        <row r="1063">
          <cell r="A1063" t="str">
            <v>406-001-001-1054</v>
          </cell>
          <cell r="B1063" t="str">
            <v>M/S Tripple M Work Done</v>
          </cell>
          <cell r="C1063">
            <v>4</v>
          </cell>
          <cell r="D1063">
            <v>0</v>
          </cell>
        </row>
        <row r="1064">
          <cell r="A1064" t="str">
            <v>406-001-001-1055</v>
          </cell>
          <cell r="B1064" t="str">
            <v>M/S Swayra Enterprise Work Done</v>
          </cell>
          <cell r="C1064">
            <v>4</v>
          </cell>
          <cell r="D1064">
            <v>0</v>
          </cell>
        </row>
        <row r="1065">
          <cell r="A1065" t="str">
            <v>406-001-001-1056</v>
          </cell>
          <cell r="B1065" t="str">
            <v>M/S (Closed) Ali Associates W.D</v>
          </cell>
          <cell r="C1065">
            <v>4</v>
          </cell>
          <cell r="D1065">
            <v>0</v>
          </cell>
        </row>
        <row r="1066">
          <cell r="A1066" t="str">
            <v>406-001-001-1057</v>
          </cell>
          <cell r="B1066" t="str">
            <v>M/S Foar Road Marking</v>
          </cell>
          <cell r="C1066">
            <v>4</v>
          </cell>
          <cell r="D1066">
            <v>0</v>
          </cell>
        </row>
        <row r="1067">
          <cell r="A1067" t="str">
            <v>406-001-001-1058</v>
          </cell>
          <cell r="B1067" t="str">
            <v>M/S Javed Mumtaz (Pvt) Ltd</v>
          </cell>
          <cell r="C1067">
            <v>4</v>
          </cell>
          <cell r="D1067">
            <v>0</v>
          </cell>
        </row>
        <row r="1068">
          <cell r="A1068" t="str">
            <v>406-001-001-1064</v>
          </cell>
          <cell r="B1068" t="str">
            <v>M/S Sajjad (Pvt) Ltd</v>
          </cell>
          <cell r="C1068">
            <v>4</v>
          </cell>
          <cell r="D1068">
            <v>0</v>
          </cell>
        </row>
        <row r="1069">
          <cell r="A1069" t="str">
            <v>406-001-001-1065</v>
          </cell>
          <cell r="B1069" t="str">
            <v>M/S Sky Engineers</v>
          </cell>
          <cell r="C1069">
            <v>4</v>
          </cell>
          <cell r="D1069">
            <v>0</v>
          </cell>
        </row>
        <row r="1070">
          <cell r="A1070" t="str">
            <v>406-001-001-1066</v>
          </cell>
          <cell r="B1070" t="str">
            <v>M/S Eastern Highway</v>
          </cell>
          <cell r="C1070">
            <v>4</v>
          </cell>
          <cell r="D1070">
            <v>0</v>
          </cell>
        </row>
        <row r="1071">
          <cell r="A1071" t="str">
            <v>406-001-001-1067</v>
          </cell>
          <cell r="B1071" t="str">
            <v>M/S Yar Muhammad Khan Khattak</v>
          </cell>
          <cell r="C1071">
            <v>4</v>
          </cell>
          <cell r="D1071">
            <v>0</v>
          </cell>
        </row>
        <row r="1072">
          <cell r="A1072" t="str">
            <v>406-001-001-1069</v>
          </cell>
          <cell r="B1072" t="str">
            <v>M/S Sadaat Enterprises</v>
          </cell>
          <cell r="C1072">
            <v>4</v>
          </cell>
          <cell r="D1072">
            <v>0</v>
          </cell>
        </row>
        <row r="1073">
          <cell r="A1073" t="str">
            <v>406-001-001-1070</v>
          </cell>
          <cell r="B1073" t="str">
            <v>M/S Shad Khan &amp; Sons</v>
          </cell>
          <cell r="C1073">
            <v>4</v>
          </cell>
          <cell r="D1073">
            <v>14284381</v>
          </cell>
        </row>
        <row r="1074">
          <cell r="A1074" t="str">
            <v>406-001-001-1071</v>
          </cell>
          <cell r="B1074" t="str">
            <v>M/S Amir Iqbal &amp; Co.</v>
          </cell>
          <cell r="C1074">
            <v>4</v>
          </cell>
          <cell r="D1074">
            <v>0</v>
          </cell>
        </row>
        <row r="1075">
          <cell r="A1075" t="str">
            <v>406-001-001-1072</v>
          </cell>
          <cell r="B1075" t="str">
            <v>M/S Ascent Associates</v>
          </cell>
          <cell r="C1075">
            <v>4</v>
          </cell>
          <cell r="D1075">
            <v>7677699</v>
          </cell>
        </row>
        <row r="1076">
          <cell r="A1076" t="str">
            <v>406-001-001-1073</v>
          </cell>
          <cell r="B1076" t="str">
            <v>M/S Omer Farooq Co.</v>
          </cell>
          <cell r="C1076">
            <v>4</v>
          </cell>
          <cell r="D1076">
            <v>7444990</v>
          </cell>
        </row>
        <row r="1077">
          <cell r="A1077" t="str">
            <v>406-001-001-9999</v>
          </cell>
          <cell r="B1077" t="str">
            <v>Final Bill Work done</v>
          </cell>
          <cell r="C1077">
            <v>4</v>
          </cell>
          <cell r="D1077">
            <v>0</v>
          </cell>
        </row>
        <row r="1078">
          <cell r="A1078" t="str">
            <v>407-000-000-0000</v>
          </cell>
          <cell r="B1078" t="str">
            <v>Work in Progress</v>
          </cell>
          <cell r="C1078">
            <v>1</v>
          </cell>
          <cell r="D1078">
            <v>0</v>
          </cell>
        </row>
        <row r="1079">
          <cell r="A1079" t="str">
            <v>407-001-000-0000</v>
          </cell>
          <cell r="B1079" t="str">
            <v>Work in Progress</v>
          </cell>
          <cell r="C1079">
            <v>2</v>
          </cell>
          <cell r="D1079">
            <v>0</v>
          </cell>
        </row>
        <row r="1080">
          <cell r="A1080" t="str">
            <v>407-001-001-0000</v>
          </cell>
          <cell r="B1080" t="str">
            <v>Work in Progress</v>
          </cell>
          <cell r="C1080">
            <v>3</v>
          </cell>
          <cell r="D1080">
            <v>0</v>
          </cell>
        </row>
        <row r="1081">
          <cell r="A1081" t="str">
            <v>407-001-001-0001</v>
          </cell>
          <cell r="B1081" t="str">
            <v>Work in Progress</v>
          </cell>
          <cell r="C1081">
            <v>4</v>
          </cell>
          <cell r="D1081">
            <v>0</v>
          </cell>
        </row>
        <row r="1082">
          <cell r="A1082" t="str">
            <v>408-000-000-0000</v>
          </cell>
          <cell r="B1082" t="str">
            <v>Work in process</v>
          </cell>
          <cell r="C1082">
            <v>1</v>
          </cell>
          <cell r="D1082">
            <v>0</v>
          </cell>
        </row>
        <row r="1083">
          <cell r="A1083" t="str">
            <v>408-001-000-0000</v>
          </cell>
          <cell r="B1083" t="str">
            <v>Work in process</v>
          </cell>
          <cell r="C1083">
            <v>2</v>
          </cell>
          <cell r="D1083">
            <v>0</v>
          </cell>
        </row>
        <row r="1084">
          <cell r="A1084" t="str">
            <v>408-001-001-0000</v>
          </cell>
          <cell r="B1084" t="str">
            <v>Work in process</v>
          </cell>
          <cell r="C1084">
            <v>3</v>
          </cell>
          <cell r="D1084">
            <v>0</v>
          </cell>
        </row>
        <row r="1085">
          <cell r="A1085" t="str">
            <v>408-001-001-0001</v>
          </cell>
          <cell r="B1085" t="str">
            <v>Work in process</v>
          </cell>
          <cell r="C1085">
            <v>4</v>
          </cell>
          <cell r="D1085">
            <v>0</v>
          </cell>
        </row>
        <row r="1086">
          <cell r="A1086" t="str">
            <v>409-000-000-0000</v>
          </cell>
          <cell r="B1086" t="str">
            <v>Finished Goods</v>
          </cell>
          <cell r="C1086">
            <v>1</v>
          </cell>
          <cell r="D1086">
            <v>0</v>
          </cell>
        </row>
        <row r="1087">
          <cell r="A1087" t="str">
            <v>409-001-000-0000</v>
          </cell>
          <cell r="B1087" t="str">
            <v>Finished Goods</v>
          </cell>
          <cell r="C1087">
            <v>2</v>
          </cell>
          <cell r="D1087">
            <v>0</v>
          </cell>
        </row>
        <row r="1088">
          <cell r="A1088" t="str">
            <v>409-001-001-0000</v>
          </cell>
          <cell r="B1088" t="str">
            <v>Finished Goods</v>
          </cell>
          <cell r="C1088">
            <v>3</v>
          </cell>
          <cell r="D1088">
            <v>0</v>
          </cell>
        </row>
        <row r="1089">
          <cell r="A1089" t="str">
            <v>409-001-001-0001</v>
          </cell>
          <cell r="B1089" t="str">
            <v>Finished Goods</v>
          </cell>
          <cell r="C1089">
            <v>4</v>
          </cell>
          <cell r="D1089">
            <v>0</v>
          </cell>
        </row>
        <row r="1090">
          <cell r="A1090" t="str">
            <v>500-000-000-0000</v>
          </cell>
          <cell r="B1090" t="str">
            <v>Administrative and General Expanses</v>
          </cell>
          <cell r="C1090">
            <v>1</v>
          </cell>
          <cell r="D1090">
            <v>136860</v>
          </cell>
        </row>
        <row r="1091">
          <cell r="A1091" t="str">
            <v>500-001-000-0000</v>
          </cell>
          <cell r="B1091" t="str">
            <v>Salaries and benefits</v>
          </cell>
          <cell r="C1091">
            <v>2</v>
          </cell>
          <cell r="D1091">
            <v>0</v>
          </cell>
        </row>
        <row r="1092">
          <cell r="A1092" t="str">
            <v>500-001-001-0000</v>
          </cell>
          <cell r="B1092" t="str">
            <v>Salaries and Benefits Army Officeres</v>
          </cell>
          <cell r="C1092">
            <v>3</v>
          </cell>
          <cell r="D1092">
            <v>0</v>
          </cell>
        </row>
        <row r="1093">
          <cell r="A1093" t="str">
            <v>500-001-001-0001</v>
          </cell>
          <cell r="B1093" t="str">
            <v>Salaries Army Officeres</v>
          </cell>
          <cell r="C1093">
            <v>4</v>
          </cell>
          <cell r="D1093">
            <v>0</v>
          </cell>
        </row>
        <row r="1094">
          <cell r="A1094" t="str">
            <v>500-001-001-0002</v>
          </cell>
          <cell r="B1094" t="str">
            <v>Benefits Army Officeres</v>
          </cell>
          <cell r="C1094">
            <v>4</v>
          </cell>
          <cell r="D1094">
            <v>0</v>
          </cell>
        </row>
        <row r="1095">
          <cell r="A1095" t="str">
            <v>500-001-001-0003</v>
          </cell>
          <cell r="B1095" t="str">
            <v>Overtime Army Officeres</v>
          </cell>
          <cell r="C1095">
            <v>4</v>
          </cell>
          <cell r="D1095">
            <v>0</v>
          </cell>
        </row>
        <row r="1096">
          <cell r="A1096" t="str">
            <v>500-001-001-0004</v>
          </cell>
          <cell r="B1096" t="str">
            <v>Medical Army Officeres</v>
          </cell>
          <cell r="C1096">
            <v>4</v>
          </cell>
          <cell r="D1096">
            <v>0</v>
          </cell>
        </row>
        <row r="1097">
          <cell r="A1097" t="str">
            <v>500-001-002-0000</v>
          </cell>
          <cell r="B1097" t="str">
            <v>Salaries and Benefits Civilian Staff</v>
          </cell>
          <cell r="C1097">
            <v>3</v>
          </cell>
          <cell r="D1097">
            <v>0</v>
          </cell>
        </row>
        <row r="1098">
          <cell r="A1098" t="str">
            <v>500-001-002-0001</v>
          </cell>
          <cell r="B1098" t="str">
            <v>Salaries Civilian Staff</v>
          </cell>
          <cell r="C1098">
            <v>4</v>
          </cell>
          <cell r="D1098">
            <v>0</v>
          </cell>
        </row>
        <row r="1099">
          <cell r="A1099" t="str">
            <v>500-001-002-0002</v>
          </cell>
          <cell r="B1099" t="str">
            <v>Benefits Civilian Staff</v>
          </cell>
          <cell r="C1099">
            <v>4</v>
          </cell>
          <cell r="D1099">
            <v>0</v>
          </cell>
        </row>
        <row r="1100">
          <cell r="A1100" t="str">
            <v>500-001-002-0003</v>
          </cell>
          <cell r="B1100" t="str">
            <v>Overtime Civilian Staff</v>
          </cell>
          <cell r="C1100">
            <v>4</v>
          </cell>
          <cell r="D1100">
            <v>0</v>
          </cell>
        </row>
        <row r="1101">
          <cell r="A1101" t="str">
            <v>500-001-002-0004</v>
          </cell>
          <cell r="B1101" t="str">
            <v>Medical Civilian Staff</v>
          </cell>
          <cell r="C1101">
            <v>4</v>
          </cell>
          <cell r="D1101">
            <v>0</v>
          </cell>
        </row>
        <row r="1102">
          <cell r="A1102" t="str">
            <v>500-001-003-0000</v>
          </cell>
          <cell r="B1102" t="str">
            <v>Salaries and Benefits JCO's Staff</v>
          </cell>
          <cell r="C1102">
            <v>3</v>
          </cell>
          <cell r="D1102">
            <v>0</v>
          </cell>
        </row>
        <row r="1103">
          <cell r="A1103" t="str">
            <v>500-001-003-0001</v>
          </cell>
          <cell r="B1103" t="str">
            <v>Salaries JCO's Staff</v>
          </cell>
          <cell r="C1103">
            <v>4</v>
          </cell>
          <cell r="D1103">
            <v>0</v>
          </cell>
        </row>
        <row r="1104">
          <cell r="A1104" t="str">
            <v>500-001-003-0002</v>
          </cell>
          <cell r="B1104" t="str">
            <v>Benefits JCO's Staff</v>
          </cell>
          <cell r="C1104">
            <v>4</v>
          </cell>
          <cell r="D1104">
            <v>0</v>
          </cell>
        </row>
        <row r="1105">
          <cell r="A1105" t="str">
            <v>500-001-003-0003</v>
          </cell>
          <cell r="B1105" t="str">
            <v>Overtime JCO's Staff</v>
          </cell>
          <cell r="C1105">
            <v>4</v>
          </cell>
          <cell r="D1105">
            <v>0</v>
          </cell>
        </row>
        <row r="1106">
          <cell r="A1106" t="str">
            <v>500-001-003-0004</v>
          </cell>
          <cell r="B1106" t="str">
            <v>Medical JCO's Staff</v>
          </cell>
          <cell r="C1106">
            <v>4</v>
          </cell>
          <cell r="D1106">
            <v>0</v>
          </cell>
        </row>
        <row r="1107">
          <cell r="A1107" t="str">
            <v>500-002-000-0000</v>
          </cell>
          <cell r="B1107" t="str">
            <v>Uniform to Staff</v>
          </cell>
          <cell r="C1107">
            <v>2</v>
          </cell>
          <cell r="D1107">
            <v>0</v>
          </cell>
        </row>
        <row r="1108">
          <cell r="A1108" t="str">
            <v>500-002-001-0000</v>
          </cell>
          <cell r="B1108" t="str">
            <v>Uniform to Staff</v>
          </cell>
          <cell r="C1108">
            <v>3</v>
          </cell>
          <cell r="D1108">
            <v>0</v>
          </cell>
        </row>
        <row r="1109">
          <cell r="A1109" t="str">
            <v>500-002-001-0001</v>
          </cell>
          <cell r="B1109" t="str">
            <v>Uniform Army Officers</v>
          </cell>
          <cell r="C1109">
            <v>4</v>
          </cell>
          <cell r="D1109">
            <v>0</v>
          </cell>
        </row>
        <row r="1110">
          <cell r="A1110" t="str">
            <v>500-002-001-0002</v>
          </cell>
          <cell r="B1110" t="str">
            <v>Uniform Civilin Staff</v>
          </cell>
          <cell r="C1110">
            <v>4</v>
          </cell>
          <cell r="D1110">
            <v>0</v>
          </cell>
        </row>
        <row r="1111">
          <cell r="A1111" t="str">
            <v>500-002-001-0003</v>
          </cell>
          <cell r="B1111" t="str">
            <v>Uniform JCO's Staff</v>
          </cell>
          <cell r="C1111">
            <v>4</v>
          </cell>
          <cell r="D1111">
            <v>0</v>
          </cell>
        </row>
        <row r="1112">
          <cell r="A1112" t="str">
            <v>500-003-000-0000</v>
          </cell>
          <cell r="B1112" t="str">
            <v>Rent, rates and taxes</v>
          </cell>
          <cell r="C1112">
            <v>2</v>
          </cell>
          <cell r="D1112">
            <v>0</v>
          </cell>
        </row>
        <row r="1113">
          <cell r="A1113" t="str">
            <v>500-003-001-0000</v>
          </cell>
          <cell r="B1113" t="str">
            <v>Rent, rates and taxes</v>
          </cell>
          <cell r="C1113">
            <v>3</v>
          </cell>
          <cell r="D1113">
            <v>0</v>
          </cell>
        </row>
        <row r="1114">
          <cell r="A1114" t="str">
            <v>500-003-001-0001</v>
          </cell>
          <cell r="B1114" t="str">
            <v>Rent</v>
          </cell>
          <cell r="C1114">
            <v>4</v>
          </cell>
          <cell r="D1114">
            <v>0</v>
          </cell>
        </row>
        <row r="1115">
          <cell r="A1115" t="str">
            <v>500-003-001-0002</v>
          </cell>
          <cell r="B1115" t="str">
            <v>Rates and Taxes</v>
          </cell>
          <cell r="C1115">
            <v>4</v>
          </cell>
          <cell r="D1115">
            <v>0</v>
          </cell>
        </row>
        <row r="1116">
          <cell r="A1116" t="str">
            <v>500-004-000-0000</v>
          </cell>
          <cell r="B1116" t="str">
            <v>Travelling and Conveyance</v>
          </cell>
          <cell r="C1116">
            <v>2</v>
          </cell>
          <cell r="D1116">
            <v>0</v>
          </cell>
        </row>
        <row r="1117">
          <cell r="A1117" t="str">
            <v>500-004-001-0000</v>
          </cell>
          <cell r="B1117" t="str">
            <v>Travelling and Conveyance</v>
          </cell>
          <cell r="C1117">
            <v>3</v>
          </cell>
          <cell r="D1117">
            <v>0</v>
          </cell>
        </row>
        <row r="1118">
          <cell r="A1118" t="str">
            <v>500-004-001-0001</v>
          </cell>
          <cell r="B1118" t="str">
            <v>Travelling and Conveyance to Army Officers</v>
          </cell>
          <cell r="C1118">
            <v>4</v>
          </cell>
          <cell r="D1118">
            <v>0</v>
          </cell>
        </row>
        <row r="1119">
          <cell r="A1119" t="str">
            <v>500-004-001-0002</v>
          </cell>
          <cell r="B1119" t="str">
            <v>Travelling and Conveyance to Civilin Staff</v>
          </cell>
          <cell r="C1119">
            <v>4</v>
          </cell>
          <cell r="D1119">
            <v>0</v>
          </cell>
        </row>
        <row r="1120">
          <cell r="A1120" t="str">
            <v>500-004-001-0003</v>
          </cell>
          <cell r="B1120" t="str">
            <v>Travelling and Conveyance to JCO's Staff</v>
          </cell>
          <cell r="C1120">
            <v>4</v>
          </cell>
          <cell r="D1120">
            <v>0</v>
          </cell>
        </row>
        <row r="1121">
          <cell r="A1121" t="str">
            <v>500-004-001-0004</v>
          </cell>
          <cell r="B1121" t="str">
            <v>Travelling and Conveyance to Associated Projects</v>
          </cell>
          <cell r="C1121">
            <v>4</v>
          </cell>
          <cell r="D1121">
            <v>0</v>
          </cell>
        </row>
        <row r="1122">
          <cell r="A1122" t="str">
            <v>500-004-001-0005</v>
          </cell>
          <cell r="B1122" t="str">
            <v>Travelling and Conveyance shared with HQ</v>
          </cell>
          <cell r="C1122">
            <v>4</v>
          </cell>
          <cell r="D1122">
            <v>0</v>
          </cell>
        </row>
        <row r="1123">
          <cell r="A1123" t="str">
            <v>500-005-000-0000</v>
          </cell>
          <cell r="B1123" t="str">
            <v>Vehicle Running Expenses</v>
          </cell>
          <cell r="C1123">
            <v>2</v>
          </cell>
          <cell r="D1123">
            <v>47682</v>
          </cell>
        </row>
        <row r="1124">
          <cell r="A1124" t="str">
            <v>500-005-001-0000</v>
          </cell>
          <cell r="B1124" t="str">
            <v>Light Vehicls Running Expenses</v>
          </cell>
          <cell r="C1124">
            <v>3</v>
          </cell>
          <cell r="D1124">
            <v>47682</v>
          </cell>
        </row>
        <row r="1125">
          <cell r="A1125" t="str">
            <v>500-005-001-0001</v>
          </cell>
          <cell r="B1125" t="str">
            <v>Light Vehicls Running Expenses</v>
          </cell>
          <cell r="C1125">
            <v>4</v>
          </cell>
          <cell r="D1125">
            <v>47682</v>
          </cell>
        </row>
        <row r="1126">
          <cell r="A1126" t="str">
            <v>500-006-000-0000</v>
          </cell>
          <cell r="B1126" t="str">
            <v>Repair and Maintainance</v>
          </cell>
          <cell r="C1126">
            <v>2</v>
          </cell>
          <cell r="D1126">
            <v>9364</v>
          </cell>
        </row>
        <row r="1127">
          <cell r="A1127" t="str">
            <v>500-006-001-0000</v>
          </cell>
          <cell r="B1127" t="str">
            <v>Repair &amp; Maintance Light Vehicle</v>
          </cell>
          <cell r="C1127">
            <v>3</v>
          </cell>
          <cell r="D1127">
            <v>2740</v>
          </cell>
        </row>
        <row r="1128">
          <cell r="A1128" t="str">
            <v>500-006-001-0001</v>
          </cell>
          <cell r="B1128" t="str">
            <v>Repair &amp; Maintance Light Vehicle</v>
          </cell>
          <cell r="C1128">
            <v>4</v>
          </cell>
          <cell r="D1128">
            <v>2740</v>
          </cell>
        </row>
        <row r="1129">
          <cell r="A1129" t="str">
            <v>500-006-002-0000</v>
          </cell>
          <cell r="B1129" t="str">
            <v>Computer Repair and Maintainance</v>
          </cell>
          <cell r="C1129">
            <v>3</v>
          </cell>
          <cell r="D1129">
            <v>0</v>
          </cell>
        </row>
        <row r="1130">
          <cell r="A1130" t="str">
            <v>500-006-002-0001</v>
          </cell>
          <cell r="B1130" t="str">
            <v>Computer Repair and Maintainance</v>
          </cell>
          <cell r="C1130">
            <v>4</v>
          </cell>
          <cell r="D1130">
            <v>0</v>
          </cell>
        </row>
        <row r="1131">
          <cell r="A1131" t="str">
            <v>500-006-002-0002</v>
          </cell>
          <cell r="B1131" t="str">
            <v>UPS Repair &amp; Maintenance</v>
          </cell>
          <cell r="C1131">
            <v>4</v>
          </cell>
          <cell r="D1131">
            <v>0</v>
          </cell>
        </row>
        <row r="1132">
          <cell r="A1132" t="str">
            <v>500-006-003-0000</v>
          </cell>
          <cell r="B1132" t="str">
            <v>Fax, Telephones and  Exchange Repair and Maintaina</v>
          </cell>
          <cell r="C1132">
            <v>3</v>
          </cell>
          <cell r="D1132">
            <v>6624</v>
          </cell>
        </row>
        <row r="1133">
          <cell r="A1133" t="str">
            <v>500-006-003-0001</v>
          </cell>
          <cell r="B1133" t="str">
            <v>Fax, Telephones and  Exchange Repair and Maintaina</v>
          </cell>
          <cell r="C1133">
            <v>4</v>
          </cell>
          <cell r="D1133">
            <v>6624</v>
          </cell>
        </row>
        <row r="1134">
          <cell r="A1134" t="str">
            <v>500-006-004-0000</v>
          </cell>
          <cell r="B1134" t="str">
            <v>Electric  Repair and Maintainance</v>
          </cell>
          <cell r="C1134">
            <v>3</v>
          </cell>
          <cell r="D1134">
            <v>0</v>
          </cell>
        </row>
        <row r="1135">
          <cell r="A1135" t="str">
            <v>500-006-004-0001</v>
          </cell>
          <cell r="B1135" t="str">
            <v>Electric  Repair and Maintainance</v>
          </cell>
          <cell r="C1135">
            <v>4</v>
          </cell>
          <cell r="D1135">
            <v>0</v>
          </cell>
        </row>
        <row r="1136">
          <cell r="A1136" t="str">
            <v>500-006-005-0000</v>
          </cell>
          <cell r="B1136" t="str">
            <v>Building Rapair and Maintenance</v>
          </cell>
          <cell r="C1136">
            <v>3</v>
          </cell>
          <cell r="D1136">
            <v>0</v>
          </cell>
        </row>
        <row r="1137">
          <cell r="A1137" t="str">
            <v>500-006-005-0001</v>
          </cell>
          <cell r="B1137" t="str">
            <v>Building Rapair and Maintenance</v>
          </cell>
          <cell r="C1137">
            <v>4</v>
          </cell>
          <cell r="D1137">
            <v>0</v>
          </cell>
        </row>
        <row r="1138">
          <cell r="A1138" t="str">
            <v>500-006-006-0000</v>
          </cell>
          <cell r="B1138" t="str">
            <v>Furniture &amp; Fixture Repair &amp; Maintenance</v>
          </cell>
          <cell r="C1138">
            <v>3</v>
          </cell>
          <cell r="D1138">
            <v>0</v>
          </cell>
        </row>
        <row r="1139">
          <cell r="A1139" t="str">
            <v>500-006-006-0001</v>
          </cell>
          <cell r="B1139" t="str">
            <v>Furniture &amp; Fixture Repair &amp; Maintenance</v>
          </cell>
          <cell r="C1139">
            <v>4</v>
          </cell>
          <cell r="D1139">
            <v>0</v>
          </cell>
        </row>
        <row r="1140">
          <cell r="A1140" t="str">
            <v>500-006-007-0000</v>
          </cell>
          <cell r="B1140" t="str">
            <v>Wireless Equipment Repair Charges</v>
          </cell>
          <cell r="C1140">
            <v>3</v>
          </cell>
          <cell r="D1140">
            <v>0</v>
          </cell>
        </row>
        <row r="1141">
          <cell r="A1141" t="str">
            <v>500-006-007-0001</v>
          </cell>
          <cell r="B1141" t="str">
            <v>Wireless Equipment Repair Charges</v>
          </cell>
          <cell r="C1141">
            <v>4</v>
          </cell>
          <cell r="D1141">
            <v>0</v>
          </cell>
        </row>
        <row r="1142">
          <cell r="A1142" t="str">
            <v>500-007-000-0000</v>
          </cell>
          <cell r="B1142" t="str">
            <v>Printing and stationery</v>
          </cell>
          <cell r="C1142">
            <v>2</v>
          </cell>
          <cell r="D1142">
            <v>15249</v>
          </cell>
        </row>
        <row r="1143">
          <cell r="A1143" t="str">
            <v>500-007-001-0000</v>
          </cell>
          <cell r="B1143" t="str">
            <v>Printing and stationery</v>
          </cell>
          <cell r="C1143">
            <v>3</v>
          </cell>
          <cell r="D1143">
            <v>15249</v>
          </cell>
        </row>
        <row r="1144">
          <cell r="A1144" t="str">
            <v>500-007-001-0001</v>
          </cell>
          <cell r="B1144" t="str">
            <v>Printing expenses</v>
          </cell>
          <cell r="C1144">
            <v>4</v>
          </cell>
          <cell r="D1144">
            <v>0</v>
          </cell>
        </row>
        <row r="1145">
          <cell r="A1145" t="str">
            <v>500-007-001-0002</v>
          </cell>
          <cell r="B1145" t="str">
            <v>Stationery expenses</v>
          </cell>
          <cell r="C1145">
            <v>4</v>
          </cell>
          <cell r="D1145">
            <v>9972</v>
          </cell>
        </row>
        <row r="1146">
          <cell r="A1146" t="str">
            <v>500-007-001-0003</v>
          </cell>
          <cell r="B1146" t="str">
            <v>Computer stationery</v>
          </cell>
          <cell r="C1146">
            <v>4</v>
          </cell>
          <cell r="D1146">
            <v>0</v>
          </cell>
        </row>
        <row r="1147">
          <cell r="A1147" t="str">
            <v>500-007-001-0004</v>
          </cell>
          <cell r="B1147" t="str">
            <v>Photocopies</v>
          </cell>
          <cell r="C1147">
            <v>4</v>
          </cell>
          <cell r="D1147">
            <v>5277</v>
          </cell>
        </row>
        <row r="1148">
          <cell r="A1148" t="str">
            <v>500-008-000-0000</v>
          </cell>
          <cell r="B1148" t="str">
            <v>Electric, Water and Gas Charges</v>
          </cell>
          <cell r="C1148">
            <v>2</v>
          </cell>
          <cell r="D1148">
            <v>19210</v>
          </cell>
        </row>
        <row r="1149">
          <cell r="A1149" t="str">
            <v>500-008-001-0000</v>
          </cell>
          <cell r="B1149" t="str">
            <v>Electricity</v>
          </cell>
          <cell r="C1149">
            <v>3</v>
          </cell>
          <cell r="D1149">
            <v>19210</v>
          </cell>
        </row>
        <row r="1150">
          <cell r="A1150" t="str">
            <v>500-008-001-0001</v>
          </cell>
          <cell r="B1150" t="str">
            <v>Electricity Installition Charges</v>
          </cell>
          <cell r="C1150">
            <v>4</v>
          </cell>
          <cell r="D1150">
            <v>0</v>
          </cell>
        </row>
        <row r="1151">
          <cell r="A1151" t="str">
            <v>500-008-001-0002</v>
          </cell>
          <cell r="B1151" t="str">
            <v>Electricity Charges GHQ Share</v>
          </cell>
          <cell r="C1151">
            <v>4</v>
          </cell>
          <cell r="D1151">
            <v>0</v>
          </cell>
        </row>
        <row r="1152">
          <cell r="A1152" t="str">
            <v>500-008-001-0003</v>
          </cell>
          <cell r="B1152" t="str">
            <v>Electricity Charges Bill #</v>
          </cell>
          <cell r="C1152">
            <v>4</v>
          </cell>
          <cell r="D1152">
            <v>19210</v>
          </cell>
        </row>
        <row r="1153">
          <cell r="A1153" t="str">
            <v>500-008-002-0000</v>
          </cell>
          <cell r="B1153" t="str">
            <v>Water charges</v>
          </cell>
          <cell r="C1153">
            <v>3</v>
          </cell>
          <cell r="D1153">
            <v>0</v>
          </cell>
        </row>
        <row r="1154">
          <cell r="A1154" t="str">
            <v>500-008-002-0001</v>
          </cell>
          <cell r="B1154" t="str">
            <v>Water Installition Charges</v>
          </cell>
          <cell r="C1154">
            <v>4</v>
          </cell>
          <cell r="D1154">
            <v>0</v>
          </cell>
        </row>
        <row r="1155">
          <cell r="A1155" t="str">
            <v>500-008-002-0002</v>
          </cell>
          <cell r="B1155" t="str">
            <v>Water Charges GHQ Share</v>
          </cell>
          <cell r="C1155">
            <v>4</v>
          </cell>
          <cell r="D1155">
            <v>0</v>
          </cell>
        </row>
        <row r="1156">
          <cell r="A1156" t="str">
            <v>500-008-002-0003</v>
          </cell>
          <cell r="B1156" t="str">
            <v>Water Charges Bill #</v>
          </cell>
          <cell r="C1156">
            <v>4</v>
          </cell>
          <cell r="D1156">
            <v>0</v>
          </cell>
        </row>
        <row r="1157">
          <cell r="A1157" t="str">
            <v>500-008-003-0000</v>
          </cell>
          <cell r="B1157" t="str">
            <v>Gas charges</v>
          </cell>
          <cell r="C1157">
            <v>3</v>
          </cell>
          <cell r="D1157">
            <v>0</v>
          </cell>
        </row>
        <row r="1158">
          <cell r="A1158" t="str">
            <v>500-008-003-0001</v>
          </cell>
          <cell r="B1158" t="str">
            <v>Sui Gas Installation Charges</v>
          </cell>
          <cell r="C1158">
            <v>4</v>
          </cell>
          <cell r="D1158">
            <v>0</v>
          </cell>
        </row>
        <row r="1159">
          <cell r="A1159" t="str">
            <v>500-008-003-0002</v>
          </cell>
          <cell r="B1159" t="str">
            <v>Sui Gas Charges Bill # GHQ Share</v>
          </cell>
          <cell r="C1159">
            <v>4</v>
          </cell>
          <cell r="D1159">
            <v>0</v>
          </cell>
        </row>
        <row r="1160">
          <cell r="A1160" t="str">
            <v>500-008-003-0003</v>
          </cell>
          <cell r="B1160" t="str">
            <v>Sui Gas Charges Bill #</v>
          </cell>
          <cell r="C1160">
            <v>4</v>
          </cell>
          <cell r="D1160">
            <v>0</v>
          </cell>
        </row>
        <row r="1161">
          <cell r="A1161" t="str">
            <v>500-009-000-0000</v>
          </cell>
          <cell r="B1161" t="str">
            <v>Communication Charges</v>
          </cell>
          <cell r="C1161">
            <v>2</v>
          </cell>
          <cell r="D1161">
            <v>22414</v>
          </cell>
        </row>
        <row r="1162">
          <cell r="A1162" t="str">
            <v>500-009-001-0000</v>
          </cell>
          <cell r="B1162" t="str">
            <v>Telephone charges</v>
          </cell>
          <cell r="C1162">
            <v>3</v>
          </cell>
          <cell r="D1162">
            <v>0</v>
          </cell>
        </row>
        <row r="1163">
          <cell r="A1163" t="str">
            <v>500-009-001-0001</v>
          </cell>
          <cell r="B1163" t="str">
            <v>Telephone Bill</v>
          </cell>
          <cell r="C1163">
            <v>4</v>
          </cell>
          <cell r="D1163">
            <v>0</v>
          </cell>
        </row>
        <row r="1164">
          <cell r="A1164" t="str">
            <v>500-009-001-0002</v>
          </cell>
          <cell r="B1164" t="str">
            <v>Telephone Charges GHQ Share</v>
          </cell>
          <cell r="C1164">
            <v>4</v>
          </cell>
          <cell r="D1164">
            <v>0</v>
          </cell>
        </row>
        <row r="1165">
          <cell r="A1165" t="str">
            <v>500-009-002-0000</v>
          </cell>
          <cell r="B1165" t="str">
            <v>Mobile Phone Charges</v>
          </cell>
          <cell r="C1165">
            <v>3</v>
          </cell>
          <cell r="D1165">
            <v>22414</v>
          </cell>
        </row>
        <row r="1166">
          <cell r="A1166" t="str">
            <v>500-009-002-0001</v>
          </cell>
          <cell r="B1166" t="str">
            <v>Mobile Phone Bill</v>
          </cell>
          <cell r="C1166">
            <v>4</v>
          </cell>
          <cell r="D1166">
            <v>21069</v>
          </cell>
        </row>
        <row r="1167">
          <cell r="A1167" t="str">
            <v>500-009-002-0002</v>
          </cell>
          <cell r="B1167" t="str">
            <v>Mobile Phone Connection Charges</v>
          </cell>
          <cell r="C1167">
            <v>4</v>
          </cell>
          <cell r="D1167">
            <v>1345</v>
          </cell>
        </row>
        <row r="1168">
          <cell r="A1168" t="str">
            <v>500-009-003-0000</v>
          </cell>
          <cell r="B1168" t="str">
            <v>Fax charges</v>
          </cell>
          <cell r="C1168">
            <v>3</v>
          </cell>
          <cell r="D1168">
            <v>0</v>
          </cell>
        </row>
        <row r="1169">
          <cell r="A1169" t="str">
            <v>500-009-003-0001</v>
          </cell>
          <cell r="B1169" t="str">
            <v>Fax#</v>
          </cell>
          <cell r="C1169">
            <v>4</v>
          </cell>
          <cell r="D1169">
            <v>0</v>
          </cell>
        </row>
        <row r="1170">
          <cell r="A1170" t="str">
            <v>500-009-004-0000</v>
          </cell>
          <cell r="B1170" t="str">
            <v>Telex and telegram</v>
          </cell>
          <cell r="C1170">
            <v>3</v>
          </cell>
          <cell r="D1170">
            <v>0</v>
          </cell>
        </row>
        <row r="1171">
          <cell r="A1171" t="str">
            <v>500-009-004-0001</v>
          </cell>
          <cell r="B1171" t="str">
            <v>Telex and telegram</v>
          </cell>
          <cell r="C1171">
            <v>4</v>
          </cell>
          <cell r="D1171">
            <v>0</v>
          </cell>
        </row>
        <row r="1172">
          <cell r="A1172" t="str">
            <v>500-009-005-0000</v>
          </cell>
          <cell r="B1172" t="str">
            <v>Postage</v>
          </cell>
          <cell r="C1172">
            <v>3</v>
          </cell>
          <cell r="D1172">
            <v>0</v>
          </cell>
        </row>
        <row r="1173">
          <cell r="A1173" t="str">
            <v>500-009-005-0001</v>
          </cell>
          <cell r="B1173" t="str">
            <v>Postage</v>
          </cell>
          <cell r="C1173">
            <v>4</v>
          </cell>
          <cell r="D1173">
            <v>0</v>
          </cell>
        </row>
        <row r="1174">
          <cell r="A1174" t="str">
            <v>500-009-006-0000</v>
          </cell>
          <cell r="B1174" t="str">
            <v>Pager</v>
          </cell>
          <cell r="C1174">
            <v>3</v>
          </cell>
          <cell r="D1174">
            <v>0</v>
          </cell>
        </row>
        <row r="1175">
          <cell r="A1175" t="str">
            <v>500-009-006-0001</v>
          </cell>
          <cell r="B1175" t="str">
            <v>Pager</v>
          </cell>
          <cell r="C1175">
            <v>4</v>
          </cell>
          <cell r="D1175">
            <v>0</v>
          </cell>
        </row>
        <row r="1176">
          <cell r="A1176" t="str">
            <v>500-009-007-0000</v>
          </cell>
          <cell r="B1176" t="str">
            <v>Internet charges</v>
          </cell>
          <cell r="C1176">
            <v>3</v>
          </cell>
          <cell r="D1176">
            <v>0</v>
          </cell>
        </row>
        <row r="1177">
          <cell r="A1177" t="str">
            <v>500-009-007-0001</v>
          </cell>
          <cell r="B1177" t="str">
            <v>Internet charges</v>
          </cell>
          <cell r="C1177">
            <v>4</v>
          </cell>
          <cell r="D1177">
            <v>0</v>
          </cell>
        </row>
        <row r="1178">
          <cell r="A1178" t="str">
            <v>500-009-008-0000</v>
          </cell>
          <cell r="B1178" t="str">
            <v>Wireless Charges</v>
          </cell>
          <cell r="C1178">
            <v>3</v>
          </cell>
          <cell r="D1178">
            <v>0</v>
          </cell>
        </row>
        <row r="1179">
          <cell r="A1179" t="str">
            <v>500-009-008-0001</v>
          </cell>
          <cell r="B1179" t="str">
            <v>Wireless Charges</v>
          </cell>
          <cell r="C1179">
            <v>4</v>
          </cell>
          <cell r="D1179">
            <v>0</v>
          </cell>
        </row>
        <row r="1180">
          <cell r="A1180" t="str">
            <v>500-010-000-0000</v>
          </cell>
          <cell r="B1180" t="str">
            <v>Entertainment</v>
          </cell>
          <cell r="C1180">
            <v>2</v>
          </cell>
          <cell r="D1180">
            <v>498</v>
          </cell>
        </row>
        <row r="1181">
          <cell r="A1181" t="str">
            <v>500-010-001-0000</v>
          </cell>
          <cell r="B1181" t="str">
            <v>Entertainment</v>
          </cell>
          <cell r="C1181">
            <v>3</v>
          </cell>
          <cell r="D1181">
            <v>498</v>
          </cell>
        </row>
        <row r="1182">
          <cell r="A1182" t="str">
            <v>500-010-001-0001</v>
          </cell>
          <cell r="B1182" t="str">
            <v>Office Entertainment</v>
          </cell>
          <cell r="C1182">
            <v>4</v>
          </cell>
          <cell r="D1182">
            <v>498</v>
          </cell>
        </row>
        <row r="1183">
          <cell r="A1183" t="str">
            <v>500-010-001-0002</v>
          </cell>
          <cell r="B1183" t="str">
            <v>GHQ  Entertainement Expenses</v>
          </cell>
          <cell r="C1183">
            <v>4</v>
          </cell>
          <cell r="D1183">
            <v>0</v>
          </cell>
        </row>
        <row r="1184">
          <cell r="A1184" t="str">
            <v>500-010-001-0003</v>
          </cell>
          <cell r="B1184" t="str">
            <v>Foreign Visitors Expenses</v>
          </cell>
          <cell r="C1184">
            <v>4</v>
          </cell>
          <cell r="D1184">
            <v>0</v>
          </cell>
        </row>
        <row r="1185">
          <cell r="A1185" t="str">
            <v>500-011-000-0000</v>
          </cell>
          <cell r="B1185" t="str">
            <v>Legal and professional charges</v>
          </cell>
          <cell r="C1185">
            <v>2</v>
          </cell>
          <cell r="D1185">
            <v>0</v>
          </cell>
        </row>
        <row r="1186">
          <cell r="A1186" t="str">
            <v>500-011-001-0000</v>
          </cell>
          <cell r="B1186" t="str">
            <v>Legal and professional charges</v>
          </cell>
          <cell r="C1186">
            <v>3</v>
          </cell>
          <cell r="D1186">
            <v>0</v>
          </cell>
        </row>
        <row r="1187">
          <cell r="A1187" t="str">
            <v>500-011-001-0001</v>
          </cell>
          <cell r="B1187" t="str">
            <v>Legal and professional charges</v>
          </cell>
          <cell r="C1187">
            <v>4</v>
          </cell>
          <cell r="D1187">
            <v>0</v>
          </cell>
        </row>
        <row r="1188">
          <cell r="A1188" t="str">
            <v>500-012-000-0000</v>
          </cell>
          <cell r="B1188" t="str">
            <v>Auditors Remuneration</v>
          </cell>
          <cell r="C1188">
            <v>2</v>
          </cell>
          <cell r="D1188">
            <v>0</v>
          </cell>
        </row>
        <row r="1189">
          <cell r="A1189" t="str">
            <v>500-012-001-0000</v>
          </cell>
          <cell r="B1189" t="str">
            <v>Auditors Remuneration</v>
          </cell>
          <cell r="C1189">
            <v>3</v>
          </cell>
          <cell r="D1189">
            <v>0</v>
          </cell>
        </row>
        <row r="1190">
          <cell r="A1190" t="str">
            <v>500-012-001-0001</v>
          </cell>
          <cell r="B1190" t="str">
            <v>Auditors Remuneration</v>
          </cell>
          <cell r="C1190">
            <v>4</v>
          </cell>
          <cell r="D1190">
            <v>0</v>
          </cell>
        </row>
        <row r="1191">
          <cell r="A1191" t="str">
            <v>500-013-000-0000</v>
          </cell>
          <cell r="B1191" t="str">
            <v>Fee and subscription</v>
          </cell>
          <cell r="C1191">
            <v>2</v>
          </cell>
          <cell r="D1191">
            <v>0</v>
          </cell>
        </row>
        <row r="1192">
          <cell r="A1192" t="str">
            <v>500-013-001-0000</v>
          </cell>
          <cell r="B1192" t="str">
            <v>Fee and subscription</v>
          </cell>
          <cell r="C1192">
            <v>3</v>
          </cell>
          <cell r="D1192">
            <v>0</v>
          </cell>
        </row>
        <row r="1193">
          <cell r="A1193" t="str">
            <v>500-014-000-0000</v>
          </cell>
          <cell r="B1193" t="str">
            <v>Insurance Expenses</v>
          </cell>
          <cell r="C1193">
            <v>2</v>
          </cell>
          <cell r="D1193">
            <v>0</v>
          </cell>
        </row>
        <row r="1194">
          <cell r="A1194" t="str">
            <v>500-014-001-0000</v>
          </cell>
          <cell r="B1194" t="str">
            <v>Insurance Expenses</v>
          </cell>
          <cell r="C1194">
            <v>3</v>
          </cell>
          <cell r="D1194">
            <v>0</v>
          </cell>
        </row>
        <row r="1195">
          <cell r="A1195" t="str">
            <v>500-014-001-0001</v>
          </cell>
          <cell r="B1195" t="str">
            <v>Cash Insurance Expenses</v>
          </cell>
          <cell r="C1195">
            <v>4</v>
          </cell>
          <cell r="D1195">
            <v>0</v>
          </cell>
        </row>
        <row r="1196">
          <cell r="A1196" t="str">
            <v>500-015-000-0000</v>
          </cell>
          <cell r="B1196" t="str">
            <v>Professional Tax</v>
          </cell>
          <cell r="C1196">
            <v>2</v>
          </cell>
          <cell r="D1196">
            <v>0</v>
          </cell>
        </row>
        <row r="1197">
          <cell r="A1197" t="str">
            <v>500-015-001-0000</v>
          </cell>
          <cell r="B1197" t="str">
            <v>Professional Tax</v>
          </cell>
          <cell r="C1197">
            <v>3</v>
          </cell>
          <cell r="D1197">
            <v>0</v>
          </cell>
        </row>
        <row r="1198">
          <cell r="A1198" t="str">
            <v>500-015-001-0001</v>
          </cell>
          <cell r="B1198" t="str">
            <v>Professional Tax</v>
          </cell>
          <cell r="C1198">
            <v>4</v>
          </cell>
          <cell r="D1198">
            <v>0</v>
          </cell>
        </row>
        <row r="1199">
          <cell r="A1199" t="str">
            <v>500-016-000-0000</v>
          </cell>
          <cell r="B1199" t="str">
            <v>News paper and periodicals</v>
          </cell>
          <cell r="C1199">
            <v>2</v>
          </cell>
          <cell r="D1199">
            <v>0</v>
          </cell>
        </row>
        <row r="1200">
          <cell r="A1200" t="str">
            <v>500-016-001-0000</v>
          </cell>
          <cell r="B1200" t="str">
            <v>News paper and periodicals</v>
          </cell>
          <cell r="C1200">
            <v>3</v>
          </cell>
          <cell r="D1200">
            <v>0</v>
          </cell>
        </row>
        <row r="1201">
          <cell r="A1201" t="str">
            <v>500-016-001-0001</v>
          </cell>
          <cell r="B1201" t="str">
            <v>Newspapers</v>
          </cell>
          <cell r="C1201">
            <v>4</v>
          </cell>
          <cell r="D1201">
            <v>0</v>
          </cell>
        </row>
        <row r="1202">
          <cell r="A1202" t="str">
            <v>500-016-001-0002</v>
          </cell>
          <cell r="B1202" t="str">
            <v>Periodicals</v>
          </cell>
          <cell r="C1202">
            <v>4</v>
          </cell>
          <cell r="D1202">
            <v>0</v>
          </cell>
        </row>
        <row r="1203">
          <cell r="A1203" t="str">
            <v>500-017-000-0000</v>
          </cell>
          <cell r="B1203" t="str">
            <v>Charity and donation</v>
          </cell>
          <cell r="C1203">
            <v>2</v>
          </cell>
          <cell r="D1203">
            <v>0</v>
          </cell>
        </row>
        <row r="1204">
          <cell r="A1204" t="str">
            <v>500-017-001-0000</v>
          </cell>
          <cell r="B1204" t="str">
            <v>Charity and donation</v>
          </cell>
          <cell r="C1204">
            <v>3</v>
          </cell>
          <cell r="D1204">
            <v>0</v>
          </cell>
        </row>
        <row r="1205">
          <cell r="A1205" t="str">
            <v>500-017-001-0001</v>
          </cell>
          <cell r="B1205" t="str">
            <v>Charity</v>
          </cell>
          <cell r="C1205">
            <v>4</v>
          </cell>
          <cell r="D1205">
            <v>0</v>
          </cell>
        </row>
        <row r="1206">
          <cell r="A1206" t="str">
            <v>500-017-001-0002</v>
          </cell>
          <cell r="B1206" t="str">
            <v>Donations</v>
          </cell>
          <cell r="C1206">
            <v>4</v>
          </cell>
          <cell r="D1206">
            <v>0</v>
          </cell>
        </row>
        <row r="1207">
          <cell r="A1207" t="str">
            <v>500-017-001-0003</v>
          </cell>
          <cell r="B1207" t="str">
            <v>Funeral Charges</v>
          </cell>
          <cell r="C1207">
            <v>4</v>
          </cell>
          <cell r="D1207">
            <v>0</v>
          </cell>
        </row>
        <row r="1208">
          <cell r="A1208" t="str">
            <v>500-018-000-0000</v>
          </cell>
          <cell r="B1208" t="str">
            <v>Advertisement expenses</v>
          </cell>
          <cell r="C1208">
            <v>2</v>
          </cell>
          <cell r="D1208">
            <v>0</v>
          </cell>
        </row>
        <row r="1209">
          <cell r="A1209" t="str">
            <v>500-018-001-0000</v>
          </cell>
          <cell r="B1209" t="str">
            <v>Advertisement expenses</v>
          </cell>
          <cell r="C1209">
            <v>3</v>
          </cell>
          <cell r="D1209">
            <v>0</v>
          </cell>
        </row>
        <row r="1210">
          <cell r="A1210" t="str">
            <v>500-018-001-0001</v>
          </cell>
          <cell r="B1210" t="str">
            <v>Advertisement Newspapers</v>
          </cell>
          <cell r="C1210">
            <v>4</v>
          </cell>
          <cell r="D1210">
            <v>0</v>
          </cell>
        </row>
        <row r="1211">
          <cell r="A1211" t="str">
            <v>500-018-001-0002</v>
          </cell>
          <cell r="B1211" t="str">
            <v>Advertisment for Publicity</v>
          </cell>
          <cell r="C1211">
            <v>4</v>
          </cell>
          <cell r="D1211">
            <v>0</v>
          </cell>
        </row>
        <row r="1212">
          <cell r="A1212" t="str">
            <v>500-019-000-0000</v>
          </cell>
          <cell r="B1212" t="str">
            <v>Research, Development and Planning</v>
          </cell>
          <cell r="C1212">
            <v>2</v>
          </cell>
          <cell r="D1212">
            <v>0</v>
          </cell>
        </row>
        <row r="1213">
          <cell r="A1213" t="str">
            <v>500-019-001-0000</v>
          </cell>
          <cell r="B1213" t="str">
            <v>Research, Development and Planning</v>
          </cell>
          <cell r="C1213">
            <v>3</v>
          </cell>
          <cell r="D1213">
            <v>0</v>
          </cell>
        </row>
        <row r="1214">
          <cell r="A1214" t="str">
            <v>500-019-001-0001</v>
          </cell>
          <cell r="B1214" t="str">
            <v>Documentions Expenses</v>
          </cell>
          <cell r="C1214">
            <v>4</v>
          </cell>
          <cell r="D1214">
            <v>0</v>
          </cell>
        </row>
        <row r="1215">
          <cell r="A1215" t="str">
            <v>500-020-000-0000</v>
          </cell>
          <cell r="B1215" t="str">
            <v>Transportation, Carriage and Freight Expenses</v>
          </cell>
          <cell r="C1215">
            <v>2</v>
          </cell>
          <cell r="D1215">
            <v>0</v>
          </cell>
        </row>
        <row r="1216">
          <cell r="A1216" t="str">
            <v>500-020-001-0000</v>
          </cell>
          <cell r="B1216" t="str">
            <v>Transportation, Carriage and Freight Expenses</v>
          </cell>
          <cell r="C1216">
            <v>3</v>
          </cell>
          <cell r="D1216">
            <v>0</v>
          </cell>
        </row>
        <row r="1217">
          <cell r="A1217" t="str">
            <v>500-020-001-0001</v>
          </cell>
          <cell r="B1217" t="str">
            <v>Transportation Expenses</v>
          </cell>
          <cell r="C1217">
            <v>4</v>
          </cell>
          <cell r="D1217">
            <v>0</v>
          </cell>
        </row>
        <row r="1218">
          <cell r="A1218" t="str">
            <v>500-020-001-0002</v>
          </cell>
          <cell r="B1218" t="str">
            <v>Carriage and Freight Expenses</v>
          </cell>
          <cell r="C1218">
            <v>4</v>
          </cell>
          <cell r="D1218">
            <v>0</v>
          </cell>
        </row>
        <row r="1219">
          <cell r="A1219" t="str">
            <v>500-020-001-0003</v>
          </cell>
          <cell r="B1219" t="str">
            <v>Loading, Unloading</v>
          </cell>
          <cell r="C1219">
            <v>4</v>
          </cell>
          <cell r="D1219">
            <v>0</v>
          </cell>
        </row>
        <row r="1220">
          <cell r="A1220" t="str">
            <v>500-020-001-0004</v>
          </cell>
          <cell r="B1220" t="str">
            <v>Registration charges</v>
          </cell>
          <cell r="C1220">
            <v>4</v>
          </cell>
          <cell r="D1220">
            <v>0</v>
          </cell>
        </row>
        <row r="1221">
          <cell r="A1221" t="str">
            <v>500-021-000-0000</v>
          </cell>
          <cell r="B1221" t="str">
            <v>Hiring Charges</v>
          </cell>
          <cell r="C1221">
            <v>2</v>
          </cell>
          <cell r="D1221">
            <v>0</v>
          </cell>
        </row>
        <row r="1222">
          <cell r="A1222" t="str">
            <v>500-021-001-0000</v>
          </cell>
          <cell r="B1222" t="str">
            <v>Light Vehicle Hiring charges</v>
          </cell>
          <cell r="C1222">
            <v>3</v>
          </cell>
          <cell r="D1222">
            <v>0</v>
          </cell>
        </row>
        <row r="1223">
          <cell r="A1223" t="str">
            <v>500-021-001-0001</v>
          </cell>
          <cell r="B1223" t="str">
            <v>Control Light Vehicle Hiring charges</v>
          </cell>
          <cell r="C1223">
            <v>4</v>
          </cell>
          <cell r="D1223">
            <v>0</v>
          </cell>
        </row>
        <row r="1224">
          <cell r="A1224" t="str">
            <v>500-022-000-0000</v>
          </cell>
          <cell r="B1224" t="str">
            <v>Lease Rent</v>
          </cell>
          <cell r="C1224">
            <v>2</v>
          </cell>
          <cell r="D1224">
            <v>0</v>
          </cell>
        </row>
        <row r="1225">
          <cell r="A1225" t="str">
            <v>500-022-001-0000</v>
          </cell>
          <cell r="B1225" t="str">
            <v>Lease Rent</v>
          </cell>
          <cell r="C1225">
            <v>3</v>
          </cell>
          <cell r="D1225">
            <v>0</v>
          </cell>
        </row>
        <row r="1226">
          <cell r="A1226" t="str">
            <v>500-022-001-0001</v>
          </cell>
          <cell r="B1226" t="str">
            <v>Land Lease Rent Charges</v>
          </cell>
          <cell r="C1226">
            <v>4</v>
          </cell>
          <cell r="D1226">
            <v>0</v>
          </cell>
        </row>
        <row r="1227">
          <cell r="A1227" t="str">
            <v>500-023-000-0000</v>
          </cell>
          <cell r="B1227" t="str">
            <v>Depreciation of Operating Fixed Assets</v>
          </cell>
          <cell r="C1227">
            <v>2</v>
          </cell>
          <cell r="D1227">
            <v>0</v>
          </cell>
        </row>
        <row r="1228">
          <cell r="A1228" t="str">
            <v>500-023-001-0000</v>
          </cell>
          <cell r="B1228" t="str">
            <v>Depreciation of Operating Fixed Assets</v>
          </cell>
          <cell r="C1228">
            <v>3</v>
          </cell>
          <cell r="D1228">
            <v>0</v>
          </cell>
        </row>
        <row r="1229">
          <cell r="A1229" t="str">
            <v>500-023-001-0001</v>
          </cell>
          <cell r="B1229" t="str">
            <v>Depreciation of Operating Fixed Assets</v>
          </cell>
          <cell r="C1229">
            <v>4</v>
          </cell>
          <cell r="D1229">
            <v>0</v>
          </cell>
        </row>
        <row r="1230">
          <cell r="A1230" t="str">
            <v>500-024-000-0000</v>
          </cell>
          <cell r="B1230" t="str">
            <v>Amortisation of Lease Assets</v>
          </cell>
          <cell r="C1230">
            <v>2</v>
          </cell>
          <cell r="D1230">
            <v>0</v>
          </cell>
        </row>
        <row r="1231">
          <cell r="A1231" t="str">
            <v>500-024-001-0000</v>
          </cell>
          <cell r="B1231" t="str">
            <v>Amortisation of Lease Assets</v>
          </cell>
          <cell r="C1231">
            <v>3</v>
          </cell>
          <cell r="D1231">
            <v>0</v>
          </cell>
        </row>
        <row r="1232">
          <cell r="A1232" t="str">
            <v>500-024-001-0001</v>
          </cell>
          <cell r="B1232" t="str">
            <v>Amortisation of Lease Assets</v>
          </cell>
          <cell r="C1232">
            <v>4</v>
          </cell>
          <cell r="D1232">
            <v>0</v>
          </cell>
        </row>
        <row r="1233">
          <cell r="A1233" t="str">
            <v>500-025-000-0000</v>
          </cell>
          <cell r="B1233" t="str">
            <v>Amortisation of deferred cost</v>
          </cell>
          <cell r="C1233">
            <v>2</v>
          </cell>
          <cell r="D1233">
            <v>0</v>
          </cell>
        </row>
        <row r="1234">
          <cell r="A1234" t="str">
            <v>500-025-001-0000</v>
          </cell>
          <cell r="B1234" t="str">
            <v>Amortisation of deferred cost</v>
          </cell>
          <cell r="C1234">
            <v>3</v>
          </cell>
          <cell r="D1234">
            <v>0</v>
          </cell>
        </row>
        <row r="1235">
          <cell r="A1235" t="str">
            <v>500-025-001-0001</v>
          </cell>
          <cell r="B1235" t="str">
            <v>Amortisation of deferred cost</v>
          </cell>
          <cell r="C1235">
            <v>4</v>
          </cell>
          <cell r="D1235">
            <v>0</v>
          </cell>
        </row>
        <row r="1236">
          <cell r="A1236" t="str">
            <v>500-026-000-0000</v>
          </cell>
          <cell r="B1236" t="str">
            <v>Miscellaneous Expenses</v>
          </cell>
          <cell r="C1236">
            <v>2</v>
          </cell>
          <cell r="D1236">
            <v>22443</v>
          </cell>
        </row>
        <row r="1237">
          <cell r="A1237" t="str">
            <v>500-026-001-0000</v>
          </cell>
          <cell r="B1237" t="str">
            <v>Miscellaneous Expenses</v>
          </cell>
          <cell r="C1237">
            <v>3</v>
          </cell>
          <cell r="D1237">
            <v>22443</v>
          </cell>
        </row>
        <row r="1238">
          <cell r="A1238" t="str">
            <v>500-026-001-0001</v>
          </cell>
          <cell r="B1238" t="str">
            <v>Miscellaneous Expenses</v>
          </cell>
          <cell r="C1238">
            <v>4</v>
          </cell>
          <cell r="D1238">
            <v>22443</v>
          </cell>
        </row>
        <row r="1239">
          <cell r="A1239" t="str">
            <v>500-026-001-0002</v>
          </cell>
          <cell r="B1239" t="str">
            <v>Departmental Charges Paid</v>
          </cell>
          <cell r="C1239">
            <v>4</v>
          </cell>
          <cell r="D1239">
            <v>0</v>
          </cell>
        </row>
        <row r="1240">
          <cell r="A1240" t="str">
            <v>500-026-001-0003</v>
          </cell>
          <cell r="B1240" t="str">
            <v>Handling Charges Paid</v>
          </cell>
          <cell r="C1240">
            <v>4</v>
          </cell>
          <cell r="D1240">
            <v>0</v>
          </cell>
        </row>
        <row r="1241">
          <cell r="A1241" t="str">
            <v>600-000-000-0000</v>
          </cell>
          <cell r="B1241" t="str">
            <v>Other Income</v>
          </cell>
          <cell r="C1241">
            <v>1</v>
          </cell>
          <cell r="D1241">
            <v>-6298233</v>
          </cell>
        </row>
        <row r="1242">
          <cell r="A1242" t="str">
            <v>600-001-000-0000</v>
          </cell>
          <cell r="B1242" t="str">
            <v>Application Fee</v>
          </cell>
          <cell r="C1242">
            <v>2</v>
          </cell>
          <cell r="D1242">
            <v>0</v>
          </cell>
        </row>
        <row r="1243">
          <cell r="A1243" t="str">
            <v>600-001-001-0000</v>
          </cell>
          <cell r="B1243" t="str">
            <v>Application Fee</v>
          </cell>
          <cell r="C1243">
            <v>3</v>
          </cell>
          <cell r="D1243">
            <v>0</v>
          </cell>
        </row>
        <row r="1244">
          <cell r="A1244" t="str">
            <v>600-001-001-0001</v>
          </cell>
          <cell r="B1244" t="str">
            <v>Application Fee</v>
          </cell>
          <cell r="C1244">
            <v>4</v>
          </cell>
          <cell r="D1244">
            <v>0</v>
          </cell>
        </row>
        <row r="1245">
          <cell r="A1245" t="str">
            <v>600-002-000-0000</v>
          </cell>
          <cell r="B1245" t="str">
            <v>Enlistment Fee</v>
          </cell>
          <cell r="C1245">
            <v>2</v>
          </cell>
          <cell r="D1245">
            <v>0</v>
          </cell>
        </row>
        <row r="1246">
          <cell r="A1246" t="str">
            <v>600-002-001-0000</v>
          </cell>
          <cell r="B1246" t="str">
            <v>Enlistment Fee</v>
          </cell>
          <cell r="C1246">
            <v>3</v>
          </cell>
          <cell r="D1246">
            <v>0</v>
          </cell>
        </row>
        <row r="1247">
          <cell r="A1247" t="str">
            <v>600-002-001-0001</v>
          </cell>
          <cell r="B1247" t="str">
            <v>Enlistment Fee</v>
          </cell>
          <cell r="C1247">
            <v>4</v>
          </cell>
          <cell r="D1247">
            <v>0</v>
          </cell>
        </row>
        <row r="1248">
          <cell r="A1248" t="str">
            <v>600-003-000-0000</v>
          </cell>
          <cell r="B1248" t="str">
            <v>Check Request Fee</v>
          </cell>
          <cell r="C1248">
            <v>2</v>
          </cell>
          <cell r="D1248">
            <v>0</v>
          </cell>
        </row>
        <row r="1249">
          <cell r="A1249" t="str">
            <v>600-003-001-0000</v>
          </cell>
          <cell r="B1249" t="str">
            <v>Check Request Fee</v>
          </cell>
          <cell r="C1249">
            <v>3</v>
          </cell>
          <cell r="D1249">
            <v>0</v>
          </cell>
        </row>
        <row r="1250">
          <cell r="A1250" t="str">
            <v>600-003-001-0001</v>
          </cell>
          <cell r="B1250" t="str">
            <v>Check Request Fee</v>
          </cell>
          <cell r="C1250">
            <v>4</v>
          </cell>
          <cell r="D1250">
            <v>0</v>
          </cell>
        </row>
        <row r="1251">
          <cell r="A1251" t="str">
            <v>600-004-000-0000</v>
          </cell>
          <cell r="B1251" t="str">
            <v>Labouratory Test Fee</v>
          </cell>
          <cell r="C1251">
            <v>2</v>
          </cell>
          <cell r="D1251">
            <v>0</v>
          </cell>
        </row>
        <row r="1252">
          <cell r="A1252" t="str">
            <v>600-004-001-0000</v>
          </cell>
          <cell r="B1252" t="str">
            <v>Labouratory Test Fee</v>
          </cell>
          <cell r="C1252">
            <v>3</v>
          </cell>
          <cell r="D1252">
            <v>0</v>
          </cell>
        </row>
        <row r="1253">
          <cell r="A1253" t="str">
            <v>600-004-001-0001</v>
          </cell>
          <cell r="B1253" t="str">
            <v>Labouratory Test Fee</v>
          </cell>
          <cell r="C1253">
            <v>4</v>
          </cell>
          <cell r="D1253">
            <v>0</v>
          </cell>
        </row>
        <row r="1254">
          <cell r="A1254" t="str">
            <v>600-005-000-0000</v>
          </cell>
          <cell r="B1254" t="str">
            <v>Hiring Receipts</v>
          </cell>
          <cell r="C1254">
            <v>2</v>
          </cell>
          <cell r="D1254">
            <v>0</v>
          </cell>
        </row>
        <row r="1255">
          <cell r="A1255" t="str">
            <v>600-005-001-0000</v>
          </cell>
          <cell r="B1255" t="str">
            <v>Heavy Vehicle Hiring Receipts</v>
          </cell>
          <cell r="C1255">
            <v>3</v>
          </cell>
          <cell r="D1255">
            <v>0</v>
          </cell>
        </row>
        <row r="1256">
          <cell r="A1256" t="str">
            <v>600-005-001-0001</v>
          </cell>
          <cell r="B1256" t="str">
            <v>Heavy Vehicle Hiring Receipts</v>
          </cell>
          <cell r="C1256">
            <v>4</v>
          </cell>
          <cell r="D1256">
            <v>0</v>
          </cell>
        </row>
        <row r="1257">
          <cell r="A1257" t="str">
            <v>600-005-002-0000</v>
          </cell>
          <cell r="B1257" t="str">
            <v>Light Vehicle Hiring Receipts</v>
          </cell>
          <cell r="C1257">
            <v>3</v>
          </cell>
          <cell r="D1257">
            <v>0</v>
          </cell>
        </row>
      </sheetData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x E (3)"/>
      <sheetName val="Anx E (2)"/>
      <sheetName val="Summary"/>
      <sheetName val="Anx A"/>
      <sheetName val="Anx B"/>
      <sheetName val="Anx C"/>
      <sheetName val="Anx D (2)"/>
      <sheetName val="Anx D"/>
      <sheetName val="Anx E"/>
      <sheetName val="Anx F. (2)"/>
      <sheetName val="Anx F "/>
      <sheetName val="Anx G"/>
      <sheetName val="Anx G (1)"/>
      <sheetName val="Anx H (3)"/>
      <sheetName val="Anx H (2)"/>
      <sheetName val="Anx H"/>
      <sheetName val="Anx J"/>
      <sheetName val="Anx K"/>
      <sheetName val="Anx L"/>
      <sheetName val="Anx M"/>
      <sheetName val="PL-1 Acct"/>
      <sheetName val="MCR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4">
          <cell r="E14">
            <v>277.9118594216028</v>
          </cell>
        </row>
      </sheetData>
      <sheetData sheetId="5">
        <row r="10">
          <cell r="C10" t="str">
            <v>M/s Ajj Engineers</v>
          </cell>
        </row>
        <row r="11">
          <cell r="C11" t="str">
            <v>M/s Valley Homes</v>
          </cell>
        </row>
        <row r="12">
          <cell r="C12" t="str">
            <v>M/s Shahid Builders</v>
          </cell>
        </row>
      </sheetData>
      <sheetData sheetId="6" refreshError="1"/>
      <sheetData sheetId="7" refreshError="1"/>
      <sheetData sheetId="8">
        <row r="12">
          <cell r="C12" t="str">
            <v>M/s Karim Baksh ((MCRP/12/2015/PDN/NLC)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16"/>
  <sheetViews>
    <sheetView view="pageBreakPreview" zoomScale="80" zoomScaleSheetLayoutView="80" workbookViewId="0">
      <pane xSplit="3" ySplit="5" topLeftCell="D6" activePane="bottomRight" state="frozen"/>
      <selection activeCell="D23" sqref="D23"/>
      <selection pane="topRight" activeCell="D23" sqref="D23"/>
      <selection pane="bottomLeft" activeCell="D23" sqref="D23"/>
      <selection pane="bottomRight" activeCell="K25" sqref="K25"/>
    </sheetView>
  </sheetViews>
  <sheetFormatPr defaultColWidth="9.109375" defaultRowHeight="14.4" x14ac:dyDescent="0.3"/>
  <cols>
    <col min="1" max="1" width="5.33203125" style="23" bestFit="1" customWidth="1"/>
    <col min="2" max="2" width="12.33203125" style="24" hidden="1" customWidth="1"/>
    <col min="3" max="3" width="39.44140625" style="5" bestFit="1" customWidth="1"/>
    <col min="4" max="4" width="11.5546875" style="5" customWidth="1"/>
    <col min="5" max="5" width="12.6640625" style="5" bestFit="1" customWidth="1"/>
    <col min="6" max="6" width="18.109375" style="5" bestFit="1" customWidth="1"/>
    <col min="7" max="7" width="18.109375" style="5" hidden="1" customWidth="1"/>
    <col min="8" max="8" width="12.33203125" style="5" bestFit="1" customWidth="1"/>
    <col min="9" max="9" width="19.6640625" style="5" bestFit="1" customWidth="1"/>
    <col min="10" max="10" width="15.44140625" style="5" hidden="1" customWidth="1"/>
    <col min="11" max="11" width="12.5546875" style="5" bestFit="1" customWidth="1"/>
    <col min="12" max="12" width="9.109375" style="5"/>
    <col min="13" max="13" width="10" style="5" bestFit="1" customWidth="1"/>
    <col min="14" max="16" width="9.109375" style="5"/>
    <col min="17" max="17" width="9.88671875" style="5" bestFit="1" customWidth="1"/>
    <col min="18" max="16384" width="9.109375" style="5"/>
  </cols>
  <sheetData>
    <row r="1" spans="1:17" ht="16.5" x14ac:dyDescent="0.3">
      <c r="A1" s="706" t="s">
        <v>71</v>
      </c>
      <c r="B1" s="706"/>
      <c r="C1" s="706"/>
      <c r="D1" s="706"/>
      <c r="E1" s="706"/>
      <c r="F1" s="706"/>
      <c r="G1" s="706"/>
      <c r="H1" s="706"/>
      <c r="I1" s="706"/>
      <c r="J1" s="706"/>
    </row>
    <row r="2" spans="1:17" ht="16.5" x14ac:dyDescent="0.3">
      <c r="A2" s="706" t="s">
        <v>147</v>
      </c>
      <c r="B2" s="706"/>
      <c r="C2" s="706"/>
      <c r="D2" s="706"/>
      <c r="E2" s="706"/>
      <c r="F2" s="706"/>
      <c r="G2" s="706"/>
      <c r="H2" s="706"/>
      <c r="I2" s="706"/>
      <c r="J2" s="706"/>
    </row>
    <row r="3" spans="1:17" ht="17.25" thickBot="1" x14ac:dyDescent="0.35">
      <c r="A3" s="707" t="s">
        <v>146</v>
      </c>
      <c r="B3" s="707"/>
      <c r="C3" s="707"/>
      <c r="D3" s="707"/>
      <c r="E3" s="707"/>
      <c r="F3" s="707"/>
      <c r="G3" s="707"/>
      <c r="H3" s="707"/>
      <c r="I3" s="707"/>
      <c r="J3" s="707"/>
    </row>
    <row r="4" spans="1:17" ht="18" customHeight="1" thickTop="1" thickBot="1" x14ac:dyDescent="0.35">
      <c r="A4" s="708" t="s">
        <v>41</v>
      </c>
      <c r="B4" s="708" t="s">
        <v>59</v>
      </c>
      <c r="C4" s="708" t="s">
        <v>42</v>
      </c>
      <c r="D4" s="711" t="s">
        <v>140</v>
      </c>
      <c r="E4" s="711" t="s">
        <v>141</v>
      </c>
      <c r="F4" s="713" t="s">
        <v>50</v>
      </c>
      <c r="G4" s="714"/>
      <c r="H4" s="715"/>
      <c r="I4" s="715"/>
      <c r="J4" s="716"/>
    </row>
    <row r="5" spans="1:17" ht="64.5" customHeight="1" thickTop="1" thickBot="1" x14ac:dyDescent="0.35">
      <c r="A5" s="709"/>
      <c r="B5" s="709"/>
      <c r="C5" s="710"/>
      <c r="D5" s="712"/>
      <c r="E5" s="712"/>
      <c r="F5" s="177" t="s">
        <v>60</v>
      </c>
      <c r="G5" s="268" t="s">
        <v>393</v>
      </c>
      <c r="H5" s="177" t="s">
        <v>24</v>
      </c>
      <c r="I5" s="177" t="s">
        <v>394</v>
      </c>
      <c r="J5" s="177" t="s">
        <v>392</v>
      </c>
      <c r="K5" s="261"/>
    </row>
    <row r="6" spans="1:17" ht="20.100000000000001" customHeight="1" thickTop="1" x14ac:dyDescent="0.3">
      <c r="A6" s="109">
        <v>1</v>
      </c>
      <c r="B6" s="20"/>
      <c r="C6" s="93" t="e">
        <f>+#REF!</f>
        <v>#REF!</v>
      </c>
      <c r="D6" s="129">
        <v>550.34299999999996</v>
      </c>
      <c r="E6" s="129">
        <v>498.59500000000003</v>
      </c>
      <c r="F6" s="129">
        <v>227.51038299999999</v>
      </c>
      <c r="G6" s="265">
        <v>27.478577000000001</v>
      </c>
      <c r="H6" s="263">
        <v>10.00159</v>
      </c>
      <c r="I6" s="129">
        <v>211.21405068000001</v>
      </c>
      <c r="J6" s="129">
        <v>17.236218999999998</v>
      </c>
      <c r="K6" s="21"/>
      <c r="L6" s="261" t="e">
        <f>#REF!+#REF!</f>
        <v>#REF!</v>
      </c>
      <c r="M6" s="21">
        <f>F6-G6</f>
        <v>200.03180599999999</v>
      </c>
      <c r="N6" s="267">
        <f>M6*5%</f>
        <v>10.0015903</v>
      </c>
      <c r="O6" s="267">
        <f>M6*7.5%</f>
        <v>15.002385449999998</v>
      </c>
      <c r="P6" s="261">
        <f>M6-N6-O6</f>
        <v>175.02783024999999</v>
      </c>
      <c r="Q6" s="261">
        <f>I6-P6</f>
        <v>36.18622043000002</v>
      </c>
    </row>
    <row r="7" spans="1:17" ht="20.100000000000001" customHeight="1" x14ac:dyDescent="0.3">
      <c r="A7" s="110">
        <v>2</v>
      </c>
      <c r="B7" s="13"/>
      <c r="C7" s="14" t="e">
        <f>+#REF!</f>
        <v>#REF!</v>
      </c>
      <c r="D7" s="130">
        <v>227.453</v>
      </c>
      <c r="E7" s="130">
        <v>205.477</v>
      </c>
      <c r="F7" s="130">
        <v>70.745031999999995</v>
      </c>
      <c r="G7" s="130">
        <v>5.0017630000000004</v>
      </c>
      <c r="H7" s="263">
        <v>3.2871630000000001</v>
      </c>
      <c r="I7" s="130">
        <v>56.850493649999997</v>
      </c>
      <c r="J7" s="130">
        <v>2.7251336500000001</v>
      </c>
      <c r="K7" s="21"/>
      <c r="L7" s="261" t="e">
        <f>#REF!+#REF!</f>
        <v>#REF!</v>
      </c>
      <c r="M7" s="21">
        <f>F7-G7</f>
        <v>65.743268999999998</v>
      </c>
      <c r="N7" s="267">
        <f>M7*5%</f>
        <v>3.28716345</v>
      </c>
      <c r="O7" s="267">
        <f>M7*7.5%</f>
        <v>4.9307451749999993</v>
      </c>
      <c r="P7" s="261">
        <f>M7-N7-O7</f>
        <v>57.525360374999998</v>
      </c>
      <c r="Q7" s="261">
        <f>I7-P7</f>
        <v>-0.67486672500000111</v>
      </c>
    </row>
    <row r="8" spans="1:17" ht="20.100000000000001" customHeight="1" x14ac:dyDescent="0.3">
      <c r="A8" s="110">
        <v>3</v>
      </c>
      <c r="B8" s="13"/>
      <c r="C8" s="14" t="s">
        <v>175</v>
      </c>
      <c r="D8" s="130">
        <v>113.73</v>
      </c>
      <c r="E8" s="130">
        <v>102.74</v>
      </c>
      <c r="F8" s="130">
        <v>79.164844000000002</v>
      </c>
      <c r="G8" s="130">
        <v>9.2816939999999999</v>
      </c>
      <c r="H8" s="263">
        <v>3.4941580000000001</v>
      </c>
      <c r="I8" s="130">
        <v>91.248691910000005</v>
      </c>
      <c r="J8" s="130">
        <v>23.657828909999999</v>
      </c>
      <c r="K8" s="21"/>
      <c r="L8" s="261" t="e">
        <f>#REF!+#REF!</f>
        <v>#REF!</v>
      </c>
      <c r="M8" s="21">
        <f>F8-G8</f>
        <v>69.883150000000001</v>
      </c>
      <c r="N8" s="267">
        <f>M8*5%</f>
        <v>3.4941575</v>
      </c>
      <c r="O8" s="267">
        <f>M8*7.5%</f>
        <v>5.24123625</v>
      </c>
      <c r="P8" s="261">
        <f>M8-N8-O8</f>
        <v>61.14775625</v>
      </c>
      <c r="Q8" s="261">
        <f>I8-P8</f>
        <v>30.100935660000005</v>
      </c>
    </row>
    <row r="9" spans="1:17" ht="20.100000000000001" customHeight="1" x14ac:dyDescent="0.3">
      <c r="A9" s="110">
        <v>4</v>
      </c>
      <c r="B9" s="13"/>
      <c r="C9" s="14" t="s">
        <v>176</v>
      </c>
      <c r="D9" s="130">
        <v>553.79</v>
      </c>
      <c r="E9" s="130">
        <v>468.1</v>
      </c>
      <c r="F9" s="130">
        <v>16.996047999999998</v>
      </c>
      <c r="G9" s="130">
        <f>0.290466</f>
        <v>0.290466</v>
      </c>
      <c r="H9" s="263">
        <v>0.83527899999999999</v>
      </c>
      <c r="I9" s="130">
        <v>11.111212</v>
      </c>
      <c r="J9" s="130">
        <v>43.299160000000001</v>
      </c>
      <c r="K9" s="21"/>
      <c r="L9" s="261" t="e">
        <f>#REF!+#REF!</f>
        <v>#REF!</v>
      </c>
      <c r="M9" s="21">
        <f>F9-G9</f>
        <v>16.705582</v>
      </c>
      <c r="N9" s="267">
        <f>M9*5%</f>
        <v>0.83527910000000005</v>
      </c>
      <c r="O9" s="267">
        <f>M9*7.5%</f>
        <v>1.25291865</v>
      </c>
      <c r="P9" s="261">
        <f>M9-N9-O9</f>
        <v>14.617384250000001</v>
      </c>
      <c r="Q9" s="261">
        <f>I9-P9</f>
        <v>-3.5061722500000005</v>
      </c>
    </row>
    <row r="10" spans="1:17" ht="20.100000000000001" customHeight="1" x14ac:dyDescent="0.3">
      <c r="A10" s="110">
        <v>5</v>
      </c>
      <c r="B10" s="13"/>
      <c r="C10" s="14" t="s">
        <v>177</v>
      </c>
      <c r="D10" s="130">
        <v>113.73</v>
      </c>
      <c r="E10" s="130">
        <v>102.74</v>
      </c>
      <c r="F10" s="130">
        <v>21.599187000000001</v>
      </c>
      <c r="G10" s="130">
        <v>9.3653E-2</v>
      </c>
      <c r="H10" s="263">
        <v>1.075277</v>
      </c>
      <c r="I10" s="130">
        <v>19.862884749999999</v>
      </c>
      <c r="J10" s="130">
        <v>1.70454375</v>
      </c>
      <c r="K10" s="21"/>
      <c r="L10" s="261" t="e">
        <f>#REF!+#REF!</f>
        <v>#REF!</v>
      </c>
      <c r="M10" s="21">
        <f>F10-G10</f>
        <v>21.505534000000001</v>
      </c>
      <c r="N10" s="267">
        <f>M10*5%</f>
        <v>1.0752767000000001</v>
      </c>
      <c r="O10" s="267">
        <f>M10*7.5%</f>
        <v>1.61291505</v>
      </c>
      <c r="P10" s="261">
        <f>M10-N10-O10</f>
        <v>18.817342249999999</v>
      </c>
      <c r="Q10" s="261">
        <f>I10-P10</f>
        <v>1.0455424999999998</v>
      </c>
    </row>
    <row r="11" spans="1:17" ht="20.100000000000001" customHeight="1" x14ac:dyDescent="0.3">
      <c r="A11" s="110">
        <v>6</v>
      </c>
      <c r="B11" s="13"/>
      <c r="C11" s="14" t="s">
        <v>371</v>
      </c>
      <c r="D11" s="130">
        <v>4.8330000000000002</v>
      </c>
      <c r="E11" s="130">
        <v>3.585</v>
      </c>
      <c r="F11" s="130">
        <v>3.7009840000000001</v>
      </c>
      <c r="G11" s="130"/>
      <c r="H11" s="263">
        <f t="shared" ref="H11:H22" si="0">F11*0.05</f>
        <v>0.18504920000000002</v>
      </c>
      <c r="I11" s="130">
        <v>3.2</v>
      </c>
      <c r="J11" s="130"/>
      <c r="K11" s="21" t="s">
        <v>387</v>
      </c>
      <c r="L11" s="261">
        <v>-0.11598406000000017</v>
      </c>
      <c r="M11" s="21">
        <f>I11/1000000-F11</f>
        <v>-3.7009808</v>
      </c>
    </row>
    <row r="12" spans="1:17" ht="20.100000000000001" customHeight="1" x14ac:dyDescent="0.3">
      <c r="A12" s="110">
        <v>7</v>
      </c>
      <c r="B12" s="13"/>
      <c r="C12" s="14" t="s">
        <v>354</v>
      </c>
      <c r="D12" s="130">
        <v>12.984999999999999</v>
      </c>
      <c r="E12" s="130">
        <v>9.7829999999999995</v>
      </c>
      <c r="F12" s="130">
        <v>1.393581</v>
      </c>
      <c r="G12" s="130"/>
      <c r="H12" s="263">
        <f t="shared" si="0"/>
        <v>6.9679050000000006E-2</v>
      </c>
      <c r="I12" s="130">
        <v>1.03</v>
      </c>
      <c r="J12" s="130"/>
      <c r="K12" s="21"/>
      <c r="L12" s="261" t="e">
        <f>#REF!+#REF!</f>
        <v>#REF!</v>
      </c>
      <c r="M12" s="21"/>
    </row>
    <row r="13" spans="1:17" ht="20.100000000000001" customHeight="1" x14ac:dyDescent="0.3">
      <c r="A13" s="110">
        <v>8</v>
      </c>
      <c r="B13" s="13"/>
      <c r="C13" s="14" t="s">
        <v>355</v>
      </c>
      <c r="D13" s="130">
        <v>1.9045148000000001</v>
      </c>
      <c r="E13" s="130">
        <v>1.9045148000000001</v>
      </c>
      <c r="F13" s="130">
        <v>2.2395580000000002</v>
      </c>
      <c r="G13" s="130"/>
      <c r="H13" s="263">
        <f t="shared" si="0"/>
        <v>0.11197790000000002</v>
      </c>
      <c r="I13" s="130">
        <v>1.82</v>
      </c>
      <c r="J13" s="130"/>
      <c r="K13" s="21" t="s">
        <v>387</v>
      </c>
      <c r="L13" s="261" t="e">
        <f>#REF!+#REF!</f>
        <v>#REF!</v>
      </c>
      <c r="M13" s="21"/>
    </row>
    <row r="14" spans="1:17" ht="20.100000000000001" customHeight="1" x14ac:dyDescent="0.3">
      <c r="A14" s="110">
        <v>9</v>
      </c>
      <c r="B14" s="13"/>
      <c r="C14" s="14" t="s">
        <v>364</v>
      </c>
      <c r="D14" s="130">
        <v>16.882999999999999</v>
      </c>
      <c r="E14" s="130">
        <v>12.965999999999999</v>
      </c>
      <c r="F14" s="130">
        <v>2.0664880000000001</v>
      </c>
      <c r="G14" s="130"/>
      <c r="H14" s="263">
        <f t="shared" si="0"/>
        <v>0.10332440000000001</v>
      </c>
      <c r="I14" s="130">
        <v>1.8081769999999999</v>
      </c>
      <c r="J14" s="130"/>
      <c r="K14" s="21"/>
      <c r="L14" s="261" t="e">
        <f>#REF!+#REF!</f>
        <v>#REF!</v>
      </c>
      <c r="M14" s="21"/>
    </row>
    <row r="15" spans="1:17" ht="20.100000000000001" customHeight="1" x14ac:dyDescent="0.3">
      <c r="A15" s="110">
        <v>10</v>
      </c>
      <c r="B15" s="13"/>
      <c r="C15" s="14" t="s">
        <v>365</v>
      </c>
      <c r="D15" s="130">
        <v>10.596356999999999</v>
      </c>
      <c r="E15" s="130">
        <v>8.7653778300000003</v>
      </c>
      <c r="F15" s="130">
        <v>9.2474240000000005</v>
      </c>
      <c r="G15" s="130"/>
      <c r="H15" s="263">
        <f t="shared" si="0"/>
        <v>0.46237120000000004</v>
      </c>
      <c r="I15" s="130">
        <v>7.94</v>
      </c>
      <c r="J15" s="130"/>
      <c r="K15" s="21"/>
      <c r="L15" s="261" t="e">
        <f>#REF!+#REF!</f>
        <v>#REF!</v>
      </c>
      <c r="M15" s="21"/>
    </row>
    <row r="16" spans="1:17" ht="20.100000000000001" customHeight="1" x14ac:dyDescent="0.3">
      <c r="A16" s="110">
        <v>11</v>
      </c>
      <c r="B16" s="13"/>
      <c r="C16" s="14" t="s">
        <v>372</v>
      </c>
      <c r="D16" s="130">
        <v>17.209</v>
      </c>
      <c r="E16" s="130">
        <v>12.965999999999999</v>
      </c>
      <c r="F16" s="130">
        <v>0.96689700000000001</v>
      </c>
      <c r="G16" s="130"/>
      <c r="H16" s="263">
        <f t="shared" si="0"/>
        <v>4.8344850000000002E-2</v>
      </c>
      <c r="I16" s="130">
        <v>0.7</v>
      </c>
      <c r="J16" s="130"/>
      <c r="K16" s="21"/>
      <c r="L16" s="261" t="e">
        <f>#REF!+#REF!</f>
        <v>#REF!</v>
      </c>
      <c r="M16" s="21"/>
    </row>
    <row r="17" spans="1:14" ht="20.100000000000001" customHeight="1" x14ac:dyDescent="0.3">
      <c r="A17" s="51">
        <v>12</v>
      </c>
      <c r="B17" s="138"/>
      <c r="C17" s="138" t="s">
        <v>373</v>
      </c>
      <c r="D17" s="186">
        <f>24614753/1000000</f>
        <v>24.614753</v>
      </c>
      <c r="E17" s="186">
        <v>24.614753</v>
      </c>
      <c r="F17" s="130">
        <v>7.6906999999999996</v>
      </c>
      <c r="G17" s="130"/>
      <c r="H17" s="263">
        <f t="shared" si="0"/>
        <v>0.38453500000000002</v>
      </c>
      <c r="I17" s="130">
        <v>6.5647019999999996</v>
      </c>
      <c r="J17" s="130"/>
      <c r="K17" s="21"/>
      <c r="L17" s="261" t="e">
        <f>#REF!+#REF!</f>
        <v>#REF!</v>
      </c>
      <c r="M17" s="21"/>
    </row>
    <row r="18" spans="1:14" ht="20.100000000000001" customHeight="1" x14ac:dyDescent="0.3">
      <c r="A18" s="51">
        <v>13</v>
      </c>
      <c r="B18" s="138"/>
      <c r="C18" s="138" t="s">
        <v>366</v>
      </c>
      <c r="D18" s="186">
        <v>18.208580999999999</v>
      </c>
      <c r="E18" s="186">
        <v>14.910918000000001</v>
      </c>
      <c r="F18" s="130">
        <v>0.64858499999999997</v>
      </c>
      <c r="G18" s="130"/>
      <c r="H18" s="263">
        <f t="shared" si="0"/>
        <v>3.242925E-2</v>
      </c>
      <c r="I18" s="130">
        <v>0.56751200000000002</v>
      </c>
      <c r="J18" s="130"/>
      <c r="K18" s="21"/>
      <c r="L18" s="261" t="e">
        <f>#REF!+#REF!</f>
        <v>#REF!</v>
      </c>
      <c r="M18" s="21"/>
    </row>
    <row r="19" spans="1:14" ht="20.100000000000001" customHeight="1" x14ac:dyDescent="0.3">
      <c r="A19" s="110">
        <v>14</v>
      </c>
      <c r="B19" s="13"/>
      <c r="C19" s="14" t="s">
        <v>367</v>
      </c>
      <c r="D19" s="130">
        <v>2.3638140000000001</v>
      </c>
      <c r="E19" s="130">
        <v>1.8069230000000001</v>
      </c>
      <c r="F19" s="183">
        <v>0.30188900000000002</v>
      </c>
      <c r="G19" s="183"/>
      <c r="H19" s="263">
        <f t="shared" si="0"/>
        <v>1.5094450000000002E-2</v>
      </c>
      <c r="I19" s="183">
        <v>0.2</v>
      </c>
      <c r="J19" s="183"/>
      <c r="L19" s="261" t="e">
        <f>#REF!+#REF!</f>
        <v>#REF!</v>
      </c>
      <c r="M19" s="21"/>
    </row>
    <row r="20" spans="1:14" ht="20.100000000000001" customHeight="1" x14ac:dyDescent="0.3">
      <c r="A20" s="110">
        <v>15</v>
      </c>
      <c r="B20" s="13"/>
      <c r="C20" s="14" t="s">
        <v>378</v>
      </c>
      <c r="D20" s="130">
        <v>2.835</v>
      </c>
      <c r="E20" s="130">
        <v>2.835</v>
      </c>
      <c r="F20" s="183">
        <v>3.24</v>
      </c>
      <c r="G20" s="183"/>
      <c r="H20" s="263">
        <f t="shared" si="0"/>
        <v>0.16200000000000003</v>
      </c>
      <c r="I20" s="183">
        <v>2.79</v>
      </c>
      <c r="J20" s="183"/>
      <c r="L20" s="261" t="e">
        <f>#REF!+#REF!</f>
        <v>#REF!</v>
      </c>
      <c r="M20" s="21"/>
    </row>
    <row r="21" spans="1:14" ht="20.100000000000001" customHeight="1" x14ac:dyDescent="0.3">
      <c r="A21" s="110">
        <v>16</v>
      </c>
      <c r="B21" s="13"/>
      <c r="C21" s="14" t="s">
        <v>379</v>
      </c>
      <c r="D21" s="130">
        <v>12.82215491</v>
      </c>
      <c r="E21" s="130">
        <v>9.6326599999999996</v>
      </c>
      <c r="F21" s="183">
        <v>2.00116</v>
      </c>
      <c r="G21" s="183"/>
      <c r="H21" s="263">
        <f t="shared" si="0"/>
        <v>0.10005800000000001</v>
      </c>
      <c r="I21" s="183">
        <v>1.7</v>
      </c>
      <c r="J21" s="183"/>
      <c r="L21" s="261" t="e">
        <f>#REF!+#REF!</f>
        <v>#REF!</v>
      </c>
      <c r="M21" s="21"/>
    </row>
    <row r="22" spans="1:14" ht="20.100000000000001" customHeight="1" x14ac:dyDescent="0.3">
      <c r="A22" s="110">
        <v>17</v>
      </c>
      <c r="B22" s="13"/>
      <c r="C22" s="14" t="s">
        <v>380</v>
      </c>
      <c r="D22" s="130">
        <v>20.955223</v>
      </c>
      <c r="E22" s="130">
        <v>17.440885000000002</v>
      </c>
      <c r="F22" s="183">
        <v>4.9848319999999999</v>
      </c>
      <c r="G22" s="183"/>
      <c r="H22" s="263">
        <f t="shared" si="0"/>
        <v>0.24924160000000001</v>
      </c>
      <c r="I22" s="183">
        <v>2.5</v>
      </c>
      <c r="J22" s="183"/>
      <c r="L22" s="261" t="e">
        <f>#REF!+#REF!</f>
        <v>#REF!</v>
      </c>
      <c r="M22" s="21"/>
    </row>
    <row r="23" spans="1:14" ht="20.100000000000001" customHeight="1" x14ac:dyDescent="0.3">
      <c r="A23" s="110">
        <v>18</v>
      </c>
      <c r="B23" s="13"/>
      <c r="C23" s="14" t="s">
        <v>381</v>
      </c>
      <c r="D23" s="130">
        <v>21.085284999999999</v>
      </c>
      <c r="E23" s="130">
        <v>19.609266999999999</v>
      </c>
      <c r="F23" s="183">
        <v>0</v>
      </c>
      <c r="G23" s="183"/>
      <c r="H23" s="263">
        <v>0</v>
      </c>
      <c r="I23" s="183">
        <v>0</v>
      </c>
      <c r="J23" s="183"/>
      <c r="L23" s="261" t="e">
        <f>#REF!+#REF!</f>
        <v>#REF!</v>
      </c>
      <c r="M23" s="21"/>
    </row>
    <row r="24" spans="1:14" ht="20.100000000000001" customHeight="1" thickBot="1" x14ac:dyDescent="0.35">
      <c r="A24" s="110">
        <v>19</v>
      </c>
      <c r="B24" s="7"/>
      <c r="C24" s="14" t="s">
        <v>388</v>
      </c>
      <c r="D24" s="130">
        <v>4.442558</v>
      </c>
      <c r="E24" s="130">
        <v>4.442558</v>
      </c>
      <c r="F24" s="183">
        <v>0.24753600000000001</v>
      </c>
      <c r="G24" s="183"/>
      <c r="H24" s="263">
        <f>F24*0.05</f>
        <v>1.23768E-2</v>
      </c>
      <c r="I24" s="183">
        <v>0.21659400000000001</v>
      </c>
      <c r="J24" s="183"/>
      <c r="L24" s="261" t="e">
        <f>#REF!+#REF!</f>
        <v>#REF!</v>
      </c>
      <c r="M24" s="21"/>
    </row>
    <row r="25" spans="1:14" ht="20.100000000000001" customHeight="1" thickTop="1" thickBot="1" x14ac:dyDescent="0.35">
      <c r="A25" s="94"/>
      <c r="B25" s="95"/>
      <c r="C25" s="96"/>
      <c r="D25" s="184">
        <f t="shared" ref="D25:J25" si="1">SUM(D6:D24)</f>
        <v>1730.7842407099999</v>
      </c>
      <c r="E25" s="184">
        <f t="shared" si="1"/>
        <v>1522.91485663</v>
      </c>
      <c r="F25" s="185">
        <f t="shared" si="1"/>
        <v>454.74512800000008</v>
      </c>
      <c r="G25" s="185">
        <f t="shared" si="1"/>
        <v>42.146153000000005</v>
      </c>
      <c r="H25" s="262">
        <f t="shared" si="1"/>
        <v>20.6299487</v>
      </c>
      <c r="I25" s="185">
        <f t="shared" si="1"/>
        <v>421.32431798999994</v>
      </c>
      <c r="J25" s="185">
        <f t="shared" si="1"/>
        <v>88.622885310000001</v>
      </c>
      <c r="K25" s="264"/>
      <c r="L25" s="261">
        <f>F25-G25-H25</f>
        <v>391.96902630000005</v>
      </c>
      <c r="M25" s="266">
        <f>F25-G25</f>
        <v>412.59897500000005</v>
      </c>
      <c r="N25" s="264">
        <f>I25/M25</f>
        <v>1.0211472725786579</v>
      </c>
    </row>
    <row r="26" spans="1:14" ht="17.25" thickTop="1" x14ac:dyDescent="0.3">
      <c r="F26" s="21"/>
      <c r="G26" s="21"/>
      <c r="K26" s="261">
        <f>F25-G25</f>
        <v>412.59897500000005</v>
      </c>
      <c r="M26" s="261">
        <f>F25-G25-H25</f>
        <v>391.96902630000005</v>
      </c>
      <c r="N26" s="264">
        <f>I25/M26</f>
        <v>1.0748918657351572</v>
      </c>
    </row>
    <row r="27" spans="1:14" ht="16.5" x14ac:dyDescent="0.3">
      <c r="B27" s="108"/>
      <c r="D27"/>
      <c r="F27" s="22"/>
      <c r="G27" s="22"/>
      <c r="K27" s="5">
        <f>I25/K26</f>
        <v>1.0211472725786579</v>
      </c>
    </row>
    <row r="28" spans="1:14" ht="16.5" x14ac:dyDescent="0.3">
      <c r="B28" s="39"/>
      <c r="D28"/>
      <c r="E28" s="107"/>
      <c r="F28" s="21"/>
      <c r="G28" s="21"/>
    </row>
    <row r="29" spans="1:14" ht="16.5" x14ac:dyDescent="0.3">
      <c r="B29" s="39"/>
      <c r="D29" s="119"/>
      <c r="E29" s="135"/>
    </row>
    <row r="30" spans="1:14" ht="16.5" x14ac:dyDescent="0.3">
      <c r="B30" s="39"/>
      <c r="D30"/>
    </row>
    <row r="31" spans="1:14" ht="16.5" x14ac:dyDescent="0.3">
      <c r="B31" s="39"/>
      <c r="C31" s="53"/>
      <c r="D31" s="119"/>
    </row>
    <row r="32" spans="1:14" ht="16.5" x14ac:dyDescent="0.3">
      <c r="B32" s="39"/>
      <c r="C32" s="53"/>
      <c r="D32"/>
    </row>
    <row r="33" spans="2:8" ht="16.5" x14ac:dyDescent="0.3">
      <c r="B33" s="39"/>
      <c r="C33" s="53"/>
      <c r="D33"/>
    </row>
    <row r="34" spans="2:8" ht="16.5" x14ac:dyDescent="0.3">
      <c r="B34" s="39"/>
      <c r="C34" s="53"/>
      <c r="D34"/>
    </row>
    <row r="35" spans="2:8" ht="15.6" x14ac:dyDescent="0.3">
      <c r="B35" s="39"/>
      <c r="C35" s="53"/>
      <c r="D35"/>
    </row>
    <row r="36" spans="2:8" ht="15.6" x14ac:dyDescent="0.3">
      <c r="B36" s="39"/>
      <c r="C36" s="53"/>
      <c r="D36"/>
    </row>
    <row r="37" spans="2:8" ht="15.6" x14ac:dyDescent="0.3">
      <c r="B37" s="39"/>
      <c r="C37" s="53"/>
      <c r="D37"/>
    </row>
    <row r="38" spans="2:8" x14ac:dyDescent="0.3">
      <c r="B38" s="44"/>
      <c r="C38" s="54"/>
      <c r="D38"/>
    </row>
    <row r="39" spans="2:8" x14ac:dyDescent="0.3">
      <c r="B39" s="44"/>
      <c r="C39" s="54"/>
      <c r="D39"/>
    </row>
    <row r="40" spans="2:8" x14ac:dyDescent="0.3">
      <c r="B40" s="44"/>
      <c r="C40" s="45"/>
      <c r="D40"/>
    </row>
    <row r="41" spans="2:8" x14ac:dyDescent="0.3">
      <c r="B41" s="44"/>
      <c r="C41" s="45"/>
      <c r="D41"/>
    </row>
    <row r="42" spans="2:8" x14ac:dyDescent="0.3">
      <c r="B42" s="44"/>
      <c r="C42" s="45"/>
      <c r="D42"/>
    </row>
    <row r="43" spans="2:8" x14ac:dyDescent="0.3">
      <c r="B43" s="39"/>
      <c r="C43" s="43"/>
    </row>
    <row r="44" spans="2:8" x14ac:dyDescent="0.3">
      <c r="B44" s="39"/>
      <c r="C44" s="43"/>
    </row>
    <row r="45" spans="2:8" x14ac:dyDescent="0.3">
      <c r="B45" s="39"/>
      <c r="C45" s="43"/>
      <c r="H45" s="5">
        <f>H44</f>
        <v>0</v>
      </c>
    </row>
    <row r="46" spans="2:8" x14ac:dyDescent="0.3">
      <c r="B46" s="39"/>
      <c r="C46" s="43"/>
    </row>
    <row r="47" spans="2:8" x14ac:dyDescent="0.3">
      <c r="B47" s="39"/>
      <c r="C47" s="43"/>
    </row>
    <row r="48" spans="2:8" x14ac:dyDescent="0.3">
      <c r="B48" s="39"/>
      <c r="C48" s="43"/>
    </row>
    <row r="49" spans="2:3" x14ac:dyDescent="0.3">
      <c r="B49" s="39"/>
      <c r="C49" s="43"/>
    </row>
    <row r="97" spans="8:8" x14ac:dyDescent="0.3">
      <c r="H97" s="5">
        <f>H96</f>
        <v>0</v>
      </c>
    </row>
    <row r="122" spans="4:8" x14ac:dyDescent="0.3">
      <c r="D122" s="5">
        <v>13</v>
      </c>
      <c r="E122" s="5">
        <f>H121</f>
        <v>0</v>
      </c>
      <c r="F122" s="5" t="e">
        <f>E122+#REF!-#REF!-#REF!-#REF!</f>
        <v>#REF!</v>
      </c>
      <c r="H122" s="5" t="e">
        <f>F122-#REF!</f>
        <v>#REF!</v>
      </c>
    </row>
    <row r="123" spans="4:8" x14ac:dyDescent="0.3">
      <c r="F123" s="5" t="e">
        <f>SUM(F109:F122)</f>
        <v>#REF!</v>
      </c>
      <c r="H123" s="5" t="e">
        <f>H122</f>
        <v>#REF!</v>
      </c>
    </row>
    <row r="183" spans="8:8" x14ac:dyDescent="0.3">
      <c r="H183" s="5">
        <f>H182</f>
        <v>0</v>
      </c>
    </row>
    <row r="210" spans="4:8" x14ac:dyDescent="0.3">
      <c r="D210" s="5">
        <v>18</v>
      </c>
      <c r="E210" s="5">
        <f>H209</f>
        <v>0</v>
      </c>
      <c r="F210" s="5" t="e">
        <f>#REF!</f>
        <v>#REF!</v>
      </c>
      <c r="H210" s="5" t="e">
        <f>F210-#REF!</f>
        <v>#REF!</v>
      </c>
    </row>
    <row r="211" spans="4:8" x14ac:dyDescent="0.3">
      <c r="H211" s="5" t="e">
        <f>H210</f>
        <v>#REF!</v>
      </c>
    </row>
    <row r="273" spans="4:8" x14ac:dyDescent="0.3">
      <c r="D273" s="5">
        <v>20</v>
      </c>
      <c r="E273" s="5">
        <f>H272</f>
        <v>0</v>
      </c>
      <c r="F273" s="5" t="e">
        <f>#REF!</f>
        <v>#REF!</v>
      </c>
      <c r="H273" s="5" t="e">
        <f>F273-#REF!</f>
        <v>#REF!</v>
      </c>
    </row>
    <row r="274" spans="4:8" x14ac:dyDescent="0.3">
      <c r="H274" s="5" t="e">
        <f>H273</f>
        <v>#REF!</v>
      </c>
    </row>
    <row r="298" spans="8:8" x14ac:dyDescent="0.3">
      <c r="H298" s="5">
        <f>H297</f>
        <v>0</v>
      </c>
    </row>
    <row r="351" spans="4:8" x14ac:dyDescent="0.3">
      <c r="D351" s="5">
        <v>9</v>
      </c>
      <c r="H351" s="5" t="e">
        <f>F351-#REF!</f>
        <v>#REF!</v>
      </c>
    </row>
    <row r="352" spans="4:8" x14ac:dyDescent="0.3">
      <c r="H352" s="5" t="e">
        <f>H351</f>
        <v>#REF!</v>
      </c>
    </row>
    <row r="412" spans="1:8" x14ac:dyDescent="0.3">
      <c r="F412" s="5" t="e">
        <f>E412+#REF!-#REF!-#REF!-#REF!</f>
        <v>#REF!</v>
      </c>
    </row>
    <row r="413" spans="1:8" x14ac:dyDescent="0.3">
      <c r="D413" s="32"/>
      <c r="E413" s="32">
        <v>0</v>
      </c>
      <c r="F413" s="32" t="e">
        <f>SUM(F412:F412)</f>
        <v>#REF!</v>
      </c>
      <c r="G413" s="32"/>
      <c r="H413" s="32"/>
    </row>
    <row r="414" spans="1:8" x14ac:dyDescent="0.3">
      <c r="A414" s="23">
        <v>43</v>
      </c>
      <c r="B414" s="24" t="s">
        <v>125</v>
      </c>
    </row>
    <row r="415" spans="1:8" x14ac:dyDescent="0.3">
      <c r="F415" s="5" t="e">
        <f>E415+#REF!-#REF!-#REF!-#REF!</f>
        <v>#REF!</v>
      </c>
      <c r="H415" s="5" t="e">
        <f>F415-#REF!</f>
        <v>#REF!</v>
      </c>
    </row>
    <row r="416" spans="1:8" x14ac:dyDescent="0.3">
      <c r="D416" s="32"/>
      <c r="E416" s="32">
        <v>0</v>
      </c>
      <c r="F416" s="32" t="e">
        <f>SUM(F415:F415)</f>
        <v>#REF!</v>
      </c>
      <c r="G416" s="32"/>
      <c r="H416" s="32" t="e">
        <f>H415</f>
        <v>#REF!</v>
      </c>
    </row>
  </sheetData>
  <mergeCells count="9">
    <mergeCell ref="A1:J1"/>
    <mergeCell ref="A2:J2"/>
    <mergeCell ref="A3:J3"/>
    <mergeCell ref="A4:A5"/>
    <mergeCell ref="B4:B5"/>
    <mergeCell ref="C4:C5"/>
    <mergeCell ref="D4:D5"/>
    <mergeCell ref="E4:E5"/>
    <mergeCell ref="F4:J4"/>
  </mergeCells>
  <printOptions horizontalCentered="1"/>
  <pageMargins left="0.65" right="0.37" top="0.5" bottom="0.5" header="0.2" footer="0.27"/>
  <pageSetup paperSize="9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56"/>
  <sheetViews>
    <sheetView view="pageBreakPreview" topLeftCell="K1" zoomScale="75" zoomScaleSheetLayoutView="75" workbookViewId="0">
      <pane ySplit="6" topLeftCell="A23" activePane="bottomLeft" state="frozen"/>
      <selection activeCell="C87" sqref="C87:D88"/>
      <selection pane="bottomLeft" activeCell="T38" sqref="T38"/>
    </sheetView>
  </sheetViews>
  <sheetFormatPr defaultColWidth="9.109375" defaultRowHeight="14.4" x14ac:dyDescent="0.3"/>
  <cols>
    <col min="1" max="1" width="4.44140625" style="5" customWidth="1"/>
    <col min="2" max="2" width="0.33203125" style="24" customWidth="1"/>
    <col min="3" max="3" width="41.109375" style="5" bestFit="1" customWidth="1"/>
    <col min="4" max="4" width="8.109375" style="5" customWidth="1"/>
    <col min="5" max="5" width="22.44140625" style="5" bestFit="1" customWidth="1"/>
    <col min="6" max="6" width="0.6640625" style="5" hidden="1" customWidth="1"/>
    <col min="7" max="7" width="21.33203125" style="5" bestFit="1" customWidth="1"/>
    <col min="8" max="8" width="14.88671875" style="5" customWidth="1"/>
    <col min="9" max="9" width="13.6640625" style="5" bestFit="1" customWidth="1"/>
    <col min="10" max="10" width="15.5546875" style="5" bestFit="1" customWidth="1"/>
    <col min="11" max="11" width="15.44140625" style="5" customWidth="1"/>
    <col min="12" max="12" width="14.44140625" style="5" hidden="1" customWidth="1"/>
    <col min="13" max="13" width="21.33203125" style="5" bestFit="1" customWidth="1"/>
    <col min="14" max="14" width="13.6640625" style="5" bestFit="1" customWidth="1"/>
    <col min="15" max="15" width="14.33203125" style="5" customWidth="1"/>
    <col min="16" max="16" width="18" style="5" bestFit="1" customWidth="1"/>
    <col min="17" max="17" width="18" style="5" customWidth="1"/>
    <col min="18" max="18" width="20.5546875" style="5" bestFit="1" customWidth="1"/>
    <col min="19" max="19" width="12.88671875" style="5" customWidth="1"/>
    <col min="20" max="20" width="18" style="5" bestFit="1" customWidth="1"/>
    <col min="21" max="21" width="13.5546875" style="5" customWidth="1"/>
    <col min="22" max="22" width="12" style="5" bestFit="1" customWidth="1"/>
    <col min="23" max="23" width="10.88671875" style="5" bestFit="1" customWidth="1"/>
    <col min="24" max="16384" width="9.109375" style="5"/>
  </cols>
  <sheetData>
    <row r="1" spans="1:23" ht="14.4" hidden="1" customHeight="1" x14ac:dyDescent="0.35">
      <c r="R1" s="784" t="s">
        <v>173</v>
      </c>
      <c r="S1" s="784"/>
    </row>
    <row r="2" spans="1:23" ht="18" hidden="1" x14ac:dyDescent="0.35">
      <c r="A2" s="785" t="s">
        <v>87</v>
      </c>
      <c r="B2" s="785"/>
      <c r="C2" s="785"/>
      <c r="D2" s="785"/>
      <c r="E2" s="785"/>
      <c r="F2" s="785"/>
      <c r="G2" s="785"/>
      <c r="H2" s="785"/>
      <c r="I2" s="785"/>
      <c r="J2" s="785"/>
      <c r="K2" s="785"/>
      <c r="L2" s="785"/>
      <c r="M2" s="785"/>
      <c r="N2" s="785"/>
      <c r="O2" s="785"/>
      <c r="P2" s="785"/>
      <c r="Q2" s="785"/>
      <c r="R2" s="785"/>
      <c r="S2" s="785"/>
    </row>
    <row r="3" spans="1:23" ht="18" hidden="1" x14ac:dyDescent="0.35">
      <c r="A3" s="786" t="s">
        <v>147</v>
      </c>
      <c r="B3" s="786"/>
      <c r="C3" s="786"/>
      <c r="D3" s="786"/>
      <c r="E3" s="786"/>
      <c r="F3" s="786"/>
      <c r="G3" s="786"/>
      <c r="H3" s="786"/>
      <c r="I3" s="786"/>
      <c r="J3" s="786"/>
      <c r="K3" s="786"/>
      <c r="L3" s="786"/>
      <c r="M3" s="786"/>
      <c r="N3" s="786"/>
      <c r="O3" s="786"/>
      <c r="P3" s="786"/>
      <c r="Q3" s="786"/>
      <c r="R3" s="786"/>
      <c r="S3" s="786"/>
      <c r="T3" s="103"/>
      <c r="U3" s="103"/>
      <c r="V3" s="103"/>
      <c r="W3" s="103"/>
    </row>
    <row r="4" spans="1:23" ht="18.600000000000001" hidden="1" thickBot="1" x14ac:dyDescent="0.4">
      <c r="A4" s="787" t="s">
        <v>146</v>
      </c>
      <c r="B4" s="787"/>
      <c r="C4" s="787"/>
      <c r="D4" s="787"/>
      <c r="E4" s="787"/>
      <c r="F4" s="787"/>
      <c r="G4" s="787"/>
      <c r="H4" s="787"/>
      <c r="I4" s="787"/>
      <c r="J4" s="787"/>
      <c r="K4" s="787"/>
      <c r="L4" s="787"/>
      <c r="M4" s="787"/>
      <c r="N4" s="787"/>
      <c r="O4" s="787"/>
      <c r="P4" s="787"/>
      <c r="Q4" s="787"/>
      <c r="R4" s="787"/>
      <c r="S4" s="787"/>
      <c r="T4" s="103"/>
      <c r="U4" s="103"/>
      <c r="V4" s="103"/>
      <c r="W4" s="103"/>
    </row>
    <row r="5" spans="1:23" ht="18" customHeight="1" thickTop="1" thickBot="1" x14ac:dyDescent="0.35">
      <c r="A5" s="708" t="s">
        <v>41</v>
      </c>
      <c r="B5" s="708" t="s">
        <v>59</v>
      </c>
      <c r="C5" s="708" t="s">
        <v>42</v>
      </c>
      <c r="D5" s="790" t="s">
        <v>182</v>
      </c>
      <c r="E5" s="791"/>
      <c r="F5" s="791"/>
      <c r="G5" s="791"/>
      <c r="H5" s="791"/>
      <c r="I5" s="791"/>
      <c r="J5" s="791"/>
      <c r="K5" s="791"/>
      <c r="L5" s="792"/>
      <c r="M5" s="144"/>
      <c r="N5" s="144"/>
      <c r="O5" s="144"/>
      <c r="P5" s="711" t="s">
        <v>187</v>
      </c>
      <c r="Q5" s="177"/>
      <c r="R5" s="711" t="s">
        <v>88</v>
      </c>
      <c r="S5" s="711" t="s">
        <v>89</v>
      </c>
      <c r="T5" s="711" t="s">
        <v>197</v>
      </c>
    </row>
    <row r="6" spans="1:23" s="26" customFormat="1" ht="80.400000000000006" customHeight="1" thickTop="1" thickBot="1" x14ac:dyDescent="0.35">
      <c r="A6" s="788"/>
      <c r="B6" s="788"/>
      <c r="C6" s="789"/>
      <c r="D6" s="25" t="s">
        <v>90</v>
      </c>
      <c r="E6" s="25" t="s">
        <v>142</v>
      </c>
      <c r="F6" s="25" t="s">
        <v>69</v>
      </c>
      <c r="G6" s="25" t="s">
        <v>143</v>
      </c>
      <c r="H6" s="25" t="s">
        <v>91</v>
      </c>
      <c r="I6" s="25" t="s">
        <v>149</v>
      </c>
      <c r="J6" s="25" t="s">
        <v>138</v>
      </c>
      <c r="K6" s="25" t="s">
        <v>185</v>
      </c>
      <c r="L6" s="25" t="s">
        <v>92</v>
      </c>
      <c r="M6" s="25" t="s">
        <v>183</v>
      </c>
      <c r="N6" s="25" t="s">
        <v>184</v>
      </c>
      <c r="O6" s="25" t="s">
        <v>186</v>
      </c>
      <c r="P6" s="782"/>
      <c r="Q6" s="178" t="s">
        <v>198</v>
      </c>
      <c r="R6" s="782"/>
      <c r="S6" s="782"/>
      <c r="T6" s="782"/>
    </row>
    <row r="7" spans="1:23" ht="34.5" customHeight="1" thickTop="1" x14ac:dyDescent="0.3">
      <c r="A7" s="27">
        <v>1</v>
      </c>
      <c r="B7" s="104"/>
      <c r="C7" s="104" t="s">
        <v>144</v>
      </c>
      <c r="D7" s="28"/>
      <c r="E7" s="29">
        <v>0</v>
      </c>
      <c r="F7" s="29"/>
      <c r="G7" s="29">
        <v>0</v>
      </c>
      <c r="H7" s="29">
        <v>0</v>
      </c>
      <c r="I7" s="29">
        <v>0</v>
      </c>
      <c r="J7" s="29">
        <f>E7-G7-H7-I7</f>
        <v>0</v>
      </c>
      <c r="K7" s="29"/>
      <c r="L7" s="29">
        <v>0</v>
      </c>
      <c r="M7" s="29"/>
      <c r="N7" s="29"/>
      <c r="O7" s="29"/>
      <c r="P7" s="29"/>
      <c r="Q7" s="29"/>
      <c r="R7" s="30"/>
      <c r="S7" s="31"/>
      <c r="T7" s="29"/>
    </row>
    <row r="8" spans="1:23" ht="22.5" customHeight="1" x14ac:dyDescent="0.3">
      <c r="A8" s="32"/>
      <c r="B8" s="33"/>
      <c r="C8" s="33"/>
      <c r="D8" s="35">
        <v>1</v>
      </c>
      <c r="E8" s="123">
        <v>26939769</v>
      </c>
      <c r="F8" s="123"/>
      <c r="G8" s="123">
        <f>E8*0.1</f>
        <v>2693976.9000000004</v>
      </c>
      <c r="H8" s="123">
        <v>0</v>
      </c>
      <c r="I8" s="123">
        <f>E8*0.075+H8*0.075</f>
        <v>2020482.6749999998</v>
      </c>
      <c r="J8" s="124">
        <f>E8-G8+H8-I8</f>
        <v>22225309.425000001</v>
      </c>
      <c r="K8" s="123">
        <v>21944957.675000001</v>
      </c>
      <c r="L8" s="123">
        <v>0</v>
      </c>
      <c r="M8" s="124">
        <v>5243289</v>
      </c>
      <c r="N8" s="124">
        <f>M8*0.075</f>
        <v>393246.67499999999</v>
      </c>
      <c r="O8" s="124">
        <f>M8-N8</f>
        <v>4850042.3250000002</v>
      </c>
      <c r="P8" s="124">
        <f>K8+O8</f>
        <v>26795000</v>
      </c>
      <c r="Q8" s="124" t="s">
        <v>196</v>
      </c>
      <c r="R8" s="36" t="s">
        <v>179</v>
      </c>
      <c r="S8" s="36" t="s">
        <v>180</v>
      </c>
      <c r="T8" s="124">
        <f>P8</f>
        <v>26795000</v>
      </c>
    </row>
    <row r="9" spans="1:23" ht="22.5" customHeight="1" x14ac:dyDescent="0.3">
      <c r="A9" s="32"/>
      <c r="B9" s="33"/>
      <c r="C9" s="33"/>
      <c r="D9" s="35">
        <v>2</v>
      </c>
      <c r="E9" s="123">
        <f>51000000-E8</f>
        <v>24060231</v>
      </c>
      <c r="F9" s="123"/>
      <c r="G9" s="123">
        <f>E9*0.1</f>
        <v>2406023.1</v>
      </c>
      <c r="H9" s="123">
        <v>0</v>
      </c>
      <c r="I9" s="123">
        <f>E9*0.075+H9*0.075</f>
        <v>1804517.325</v>
      </c>
      <c r="J9" s="124">
        <f>E9-G9+H9-I9</f>
        <v>19849690.574999999</v>
      </c>
      <c r="K9" s="123">
        <v>0</v>
      </c>
      <c r="L9" s="123">
        <v>0</v>
      </c>
      <c r="M9" s="124">
        <v>0</v>
      </c>
      <c r="N9" s="124">
        <v>0</v>
      </c>
      <c r="O9" s="124">
        <f>L9+M9-N9</f>
        <v>0</v>
      </c>
      <c r="P9" s="124">
        <v>0</v>
      </c>
      <c r="Q9" s="124"/>
      <c r="R9" s="123">
        <v>0</v>
      </c>
      <c r="S9" s="123">
        <v>0</v>
      </c>
      <c r="T9" s="124">
        <v>0</v>
      </c>
    </row>
    <row r="10" spans="1:23" ht="22.5" customHeight="1" x14ac:dyDescent="0.3">
      <c r="A10" s="32"/>
      <c r="B10" s="33"/>
      <c r="C10" s="33"/>
      <c r="D10" s="35">
        <v>3</v>
      </c>
      <c r="E10" s="123">
        <v>6500000</v>
      </c>
      <c r="F10" s="123"/>
      <c r="G10" s="123">
        <f>E10*0.1</f>
        <v>650000</v>
      </c>
      <c r="H10" s="123">
        <v>0</v>
      </c>
      <c r="I10" s="123">
        <f>E10*0.075+H10*0.075</f>
        <v>487500</v>
      </c>
      <c r="J10" s="124">
        <f>E10-G10+H10-I10</f>
        <v>5362500</v>
      </c>
      <c r="K10" s="123">
        <v>0</v>
      </c>
      <c r="L10" s="123">
        <v>0</v>
      </c>
      <c r="M10" s="124">
        <v>0</v>
      </c>
      <c r="N10" s="124">
        <v>0</v>
      </c>
      <c r="O10" s="124">
        <v>0</v>
      </c>
      <c r="P10" s="124">
        <v>0</v>
      </c>
      <c r="Q10" s="124"/>
      <c r="R10" s="123">
        <v>0</v>
      </c>
      <c r="S10" s="123">
        <v>0</v>
      </c>
      <c r="T10" s="124">
        <v>0</v>
      </c>
    </row>
    <row r="11" spans="1:23" ht="22.5" customHeight="1" x14ac:dyDescent="0.3">
      <c r="A11" s="32"/>
      <c r="B11" s="33"/>
      <c r="C11" s="132"/>
      <c r="D11" s="35">
        <v>4</v>
      </c>
      <c r="E11" s="123">
        <f>7200000+15000000+7000000+20</f>
        <v>29200020</v>
      </c>
      <c r="F11" s="123"/>
      <c r="G11" s="123">
        <f>E11*0.1</f>
        <v>2920002</v>
      </c>
      <c r="H11" s="123">
        <v>0</v>
      </c>
      <c r="I11" s="123">
        <f>E11*0.075+H11*0.075</f>
        <v>2190001.5</v>
      </c>
      <c r="J11" s="124">
        <f>E11-G11+H11-I11</f>
        <v>24090016.5</v>
      </c>
      <c r="K11" s="123">
        <v>5161130</v>
      </c>
      <c r="L11" s="123">
        <v>0</v>
      </c>
      <c r="M11" s="124">
        <v>5631211</v>
      </c>
      <c r="N11" s="124">
        <f>M11*0.075</f>
        <v>422340.82500000001</v>
      </c>
      <c r="O11" s="124">
        <f>M11-N11</f>
        <v>5208870.1749999998</v>
      </c>
      <c r="P11" s="124">
        <f>K11+O11</f>
        <v>10370000.175000001</v>
      </c>
      <c r="Q11" s="124" t="s">
        <v>193</v>
      </c>
      <c r="R11" s="173" t="s">
        <v>190</v>
      </c>
      <c r="S11" s="139">
        <v>41978</v>
      </c>
      <c r="T11" s="124">
        <f>P11</f>
        <v>10370000.175000001</v>
      </c>
    </row>
    <row r="12" spans="1:23" ht="22.5" customHeight="1" x14ac:dyDescent="0.3">
      <c r="A12" s="32"/>
      <c r="B12" s="783" t="s">
        <v>93</v>
      </c>
      <c r="C12" s="783"/>
      <c r="D12" s="783"/>
      <c r="E12" s="125">
        <f>SUM(E8:E11)</f>
        <v>86700020</v>
      </c>
      <c r="F12" s="125">
        <f t="shared" ref="F12:P12" si="0">SUM(F8:F11)</f>
        <v>0</v>
      </c>
      <c r="G12" s="125">
        <f t="shared" si="0"/>
        <v>8670002</v>
      </c>
      <c r="H12" s="125">
        <f t="shared" si="0"/>
        <v>0</v>
      </c>
      <c r="I12" s="125">
        <f t="shared" si="0"/>
        <v>6502501.5</v>
      </c>
      <c r="J12" s="125">
        <f t="shared" si="0"/>
        <v>71527516.5</v>
      </c>
      <c r="K12" s="125">
        <f>SUM(K8:K11)</f>
        <v>27106087.675000001</v>
      </c>
      <c r="L12" s="125">
        <f t="shared" si="0"/>
        <v>0</v>
      </c>
      <c r="M12" s="125">
        <f t="shared" si="0"/>
        <v>10874500</v>
      </c>
      <c r="N12" s="125">
        <f t="shared" si="0"/>
        <v>815587.5</v>
      </c>
      <c r="O12" s="125">
        <f t="shared" si="0"/>
        <v>10058912.5</v>
      </c>
      <c r="P12" s="125">
        <f t="shared" si="0"/>
        <v>37165000.174999997</v>
      </c>
      <c r="Q12" s="125"/>
      <c r="R12" s="125">
        <v>0</v>
      </c>
      <c r="S12" s="125">
        <v>0</v>
      </c>
      <c r="T12" s="125">
        <f>SUM(T8:T11)</f>
        <v>37165000.174999997</v>
      </c>
      <c r="U12" s="120"/>
      <c r="V12" s="120"/>
    </row>
    <row r="13" spans="1:23" ht="22.5" customHeight="1" x14ac:dyDescent="0.3">
      <c r="A13" s="47"/>
      <c r="B13" s="46"/>
      <c r="C13" s="46"/>
      <c r="D13" s="46"/>
      <c r="E13" s="126"/>
      <c r="F13" s="126"/>
      <c r="G13" s="126"/>
      <c r="H13" s="126"/>
      <c r="I13" s="126"/>
      <c r="J13" s="124">
        <f>E13-G13-H13-I13</f>
        <v>0</v>
      </c>
      <c r="K13" s="126"/>
      <c r="L13" s="123">
        <f>J13-K13</f>
        <v>0</v>
      </c>
      <c r="M13" s="142"/>
      <c r="N13" s="142"/>
      <c r="O13" s="142"/>
      <c r="P13" s="142"/>
      <c r="Q13" s="142"/>
      <c r="R13" s="48"/>
      <c r="S13" s="34"/>
      <c r="T13" s="142"/>
    </row>
    <row r="14" spans="1:23" ht="31.5" customHeight="1" x14ac:dyDescent="0.3">
      <c r="A14" s="118">
        <v>2</v>
      </c>
      <c r="B14" s="105"/>
      <c r="C14" s="105" t="s">
        <v>145</v>
      </c>
      <c r="D14" s="35"/>
      <c r="E14" s="123">
        <v>0</v>
      </c>
      <c r="F14" s="123"/>
      <c r="G14" s="123">
        <v>0</v>
      </c>
      <c r="H14" s="123">
        <v>0</v>
      </c>
      <c r="I14" s="123">
        <v>0</v>
      </c>
      <c r="J14" s="124">
        <f>E14-G14-H14-I14</f>
        <v>0</v>
      </c>
      <c r="K14" s="123">
        <v>0</v>
      </c>
      <c r="L14" s="123">
        <f>J14-K14</f>
        <v>0</v>
      </c>
      <c r="M14" s="124"/>
      <c r="N14" s="124"/>
      <c r="O14" s="124"/>
      <c r="P14" s="124"/>
      <c r="Q14" s="124"/>
      <c r="R14" s="36"/>
      <c r="S14" s="106"/>
      <c r="T14" s="124"/>
      <c r="V14" s="120"/>
    </row>
    <row r="15" spans="1:23" ht="22.5" customHeight="1" x14ac:dyDescent="0.3">
      <c r="A15" s="32"/>
      <c r="B15" s="33"/>
      <c r="C15" s="132"/>
      <c r="D15" s="35">
        <v>1</v>
      </c>
      <c r="E15" s="123">
        <v>948457</v>
      </c>
      <c r="F15" s="123"/>
      <c r="G15" s="123">
        <f>E15*0.1</f>
        <v>94845.700000000012</v>
      </c>
      <c r="H15" s="123">
        <v>0</v>
      </c>
      <c r="I15" s="123">
        <f>E15*0.075+H15*0.075</f>
        <v>71134.274999999994</v>
      </c>
      <c r="J15" s="124">
        <f>E15-G15+H15-I15</f>
        <v>782477.02500000002</v>
      </c>
      <c r="K15" s="123">
        <v>751150.39999999991</v>
      </c>
      <c r="L15" s="123">
        <f>J15-K15</f>
        <v>31326.625000000116</v>
      </c>
      <c r="M15" s="124">
        <v>1674432</v>
      </c>
      <c r="N15" s="124">
        <f>M15*0.075</f>
        <v>125582.39999999999</v>
      </c>
      <c r="O15" s="124">
        <f>M15-N15</f>
        <v>1548849.6</v>
      </c>
      <c r="P15" s="124">
        <f>K15+O15</f>
        <v>2300000</v>
      </c>
      <c r="Q15" s="124" t="s">
        <v>194</v>
      </c>
      <c r="R15" s="36" t="s">
        <v>181</v>
      </c>
      <c r="S15" s="139">
        <v>41914</v>
      </c>
      <c r="T15" s="124">
        <f>P15</f>
        <v>2300000</v>
      </c>
    </row>
    <row r="16" spans="1:23" ht="22.5" customHeight="1" x14ac:dyDescent="0.3">
      <c r="A16" s="32"/>
      <c r="B16" s="33"/>
      <c r="C16" s="33"/>
      <c r="D16" s="35">
        <v>2</v>
      </c>
      <c r="E16" s="140">
        <v>2500000</v>
      </c>
      <c r="F16" s="140">
        <v>0</v>
      </c>
      <c r="G16" s="123">
        <f>E16*0.1</f>
        <v>250000</v>
      </c>
      <c r="H16" s="140">
        <v>0</v>
      </c>
      <c r="I16" s="123">
        <f>E16*0.075+H16*0.075</f>
        <v>187500</v>
      </c>
      <c r="J16" s="124">
        <f>E16-G16-H16-I16</f>
        <v>2062500</v>
      </c>
      <c r="K16" s="140">
        <v>0</v>
      </c>
      <c r="L16" s="123">
        <v>0</v>
      </c>
      <c r="M16" s="124">
        <v>0</v>
      </c>
      <c r="N16" s="124">
        <v>0</v>
      </c>
      <c r="O16" s="124">
        <f>L16+M16-N16</f>
        <v>0</v>
      </c>
      <c r="P16" s="124">
        <v>0</v>
      </c>
      <c r="Q16" s="124"/>
      <c r="R16" s="140">
        <v>0</v>
      </c>
      <c r="S16" s="141">
        <v>0</v>
      </c>
      <c r="T16" s="124">
        <v>0</v>
      </c>
    </row>
    <row r="17" spans="1:23" ht="22.5" customHeight="1" x14ac:dyDescent="0.3">
      <c r="A17" s="32"/>
      <c r="B17" s="33"/>
      <c r="C17" s="127"/>
      <c r="D17" s="35">
        <v>3</v>
      </c>
      <c r="E17" s="140">
        <v>1800000</v>
      </c>
      <c r="F17" s="140"/>
      <c r="G17" s="123">
        <f>E17*0.1</f>
        <v>180000</v>
      </c>
      <c r="H17" s="140">
        <v>0</v>
      </c>
      <c r="I17" s="123">
        <f>E17*0.075+H17*0.075</f>
        <v>135000</v>
      </c>
      <c r="J17" s="124">
        <f>E17-G17-H17-I17</f>
        <v>1485000</v>
      </c>
      <c r="K17" s="140">
        <v>0</v>
      </c>
      <c r="L17" s="123">
        <v>0</v>
      </c>
      <c r="M17" s="124">
        <v>0</v>
      </c>
      <c r="N17" s="124">
        <v>0</v>
      </c>
      <c r="O17" s="124">
        <v>0</v>
      </c>
      <c r="P17" s="124">
        <v>0</v>
      </c>
      <c r="Q17" s="124"/>
      <c r="R17" s="140">
        <v>0</v>
      </c>
      <c r="S17" s="141">
        <v>0</v>
      </c>
      <c r="T17" s="124">
        <v>0</v>
      </c>
    </row>
    <row r="18" spans="1:23" ht="22.5" customHeight="1" x14ac:dyDescent="0.3">
      <c r="A18" s="32"/>
      <c r="B18" s="33"/>
      <c r="C18" s="127"/>
      <c r="D18" s="35">
        <v>4</v>
      </c>
      <c r="E18" s="140">
        <f>3700000+5000000+2000000</f>
        <v>10700000</v>
      </c>
      <c r="F18" s="140"/>
      <c r="G18" s="123">
        <f>E18*0.1</f>
        <v>1070000</v>
      </c>
      <c r="H18" s="140">
        <v>0</v>
      </c>
      <c r="I18" s="123">
        <f>E18*0.075+H18*0.075</f>
        <v>802500</v>
      </c>
      <c r="J18" s="124">
        <f>E18-G18-H18-I18</f>
        <v>8827500</v>
      </c>
      <c r="K18" s="140">
        <v>3500000</v>
      </c>
      <c r="L18" s="123">
        <v>0</v>
      </c>
      <c r="M18" s="124">
        <v>0</v>
      </c>
      <c r="N18" s="124">
        <v>0</v>
      </c>
      <c r="O18" s="124">
        <v>0</v>
      </c>
      <c r="P18" s="124">
        <f>K18</f>
        <v>3500000</v>
      </c>
      <c r="Q18" s="124" t="s">
        <v>194</v>
      </c>
      <c r="R18" s="36" t="s">
        <v>191</v>
      </c>
      <c r="S18" s="139">
        <v>41981</v>
      </c>
      <c r="T18" s="124">
        <f>P18</f>
        <v>3500000</v>
      </c>
    </row>
    <row r="19" spans="1:23" ht="22.5" customHeight="1" x14ac:dyDescent="0.3">
      <c r="A19" s="32"/>
      <c r="B19" s="783" t="s">
        <v>93</v>
      </c>
      <c r="C19" s="783"/>
      <c r="D19" s="783"/>
      <c r="E19" s="125">
        <f>SUM(E14:E18)</f>
        <v>15948457</v>
      </c>
      <c r="F19" s="125">
        <f>SUM(F14:F16)</f>
        <v>0</v>
      </c>
      <c r="G19" s="125">
        <f t="shared" ref="G19:P19" si="1">SUM(G14:G18)</f>
        <v>1594845.7</v>
      </c>
      <c r="H19" s="125">
        <f t="shared" si="1"/>
        <v>0</v>
      </c>
      <c r="I19" s="125">
        <f t="shared" si="1"/>
        <v>1196134.2749999999</v>
      </c>
      <c r="J19" s="125">
        <f t="shared" si="1"/>
        <v>13157477.025</v>
      </c>
      <c r="K19" s="125">
        <f t="shared" si="1"/>
        <v>4251150.4000000004</v>
      </c>
      <c r="L19" s="125">
        <f t="shared" si="1"/>
        <v>31326.625000000116</v>
      </c>
      <c r="M19" s="125">
        <f t="shared" si="1"/>
        <v>1674432</v>
      </c>
      <c r="N19" s="125">
        <f t="shared" si="1"/>
        <v>125582.39999999999</v>
      </c>
      <c r="O19" s="125">
        <f t="shared" si="1"/>
        <v>1548849.6</v>
      </c>
      <c r="P19" s="125">
        <f t="shared" si="1"/>
        <v>5800000</v>
      </c>
      <c r="Q19" s="125"/>
      <c r="R19" s="152">
        <v>0</v>
      </c>
      <c r="S19" s="152">
        <v>0</v>
      </c>
      <c r="T19" s="125">
        <f>SUM(T14:T18)</f>
        <v>5800000</v>
      </c>
      <c r="U19" s="120"/>
      <c r="V19" s="120"/>
      <c r="W19" s="120"/>
    </row>
    <row r="20" spans="1:23" ht="22.5" customHeight="1" x14ac:dyDescent="0.3">
      <c r="A20" s="32"/>
      <c r="B20" s="176"/>
      <c r="C20" s="176"/>
      <c r="D20" s="176"/>
      <c r="E20" s="125"/>
      <c r="F20" s="125"/>
      <c r="G20" s="125"/>
      <c r="H20" s="125"/>
      <c r="I20" s="125"/>
      <c r="J20" s="143"/>
      <c r="K20" s="125"/>
      <c r="L20" s="125"/>
      <c r="M20" s="143"/>
      <c r="N20" s="143"/>
      <c r="O20" s="143"/>
      <c r="P20" s="124"/>
      <c r="Q20" s="124"/>
      <c r="R20" s="128"/>
      <c r="S20" s="128"/>
      <c r="T20" s="124"/>
      <c r="U20" s="120"/>
      <c r="V20" s="120"/>
      <c r="W20" s="120"/>
    </row>
    <row r="21" spans="1:23" ht="31.5" customHeight="1" x14ac:dyDescent="0.3">
      <c r="A21" s="118">
        <v>3</v>
      </c>
      <c r="B21" s="105"/>
      <c r="C21" s="105" t="e">
        <f>#REF!</f>
        <v>#REF!</v>
      </c>
      <c r="D21" s="35"/>
      <c r="E21" s="123"/>
      <c r="F21" s="123"/>
      <c r="G21" s="123"/>
      <c r="H21" s="123"/>
      <c r="I21" s="123"/>
      <c r="J21" s="124"/>
      <c r="K21" s="123"/>
      <c r="L21" s="123"/>
      <c r="M21" s="124"/>
      <c r="N21" s="124"/>
      <c r="O21" s="124"/>
      <c r="P21" s="124"/>
      <c r="Q21" s="124"/>
      <c r="R21" s="36"/>
      <c r="S21" s="106"/>
      <c r="T21" s="124"/>
      <c r="V21" s="120"/>
    </row>
    <row r="22" spans="1:23" ht="22.5" customHeight="1" x14ac:dyDescent="0.3">
      <c r="A22" s="32"/>
      <c r="B22" s="33"/>
      <c r="C22" s="132"/>
      <c r="D22" s="35">
        <v>1</v>
      </c>
      <c r="E22" s="123">
        <v>6800000</v>
      </c>
      <c r="F22" s="123"/>
      <c r="G22" s="123">
        <f>E22*0.1</f>
        <v>680000</v>
      </c>
      <c r="H22" s="128">
        <v>0</v>
      </c>
      <c r="I22" s="123">
        <f>E22*0.075+H22*0.075</f>
        <v>510000</v>
      </c>
      <c r="J22" s="124">
        <f>E22-G22-H22-I22</f>
        <v>5610000</v>
      </c>
      <c r="K22" s="123">
        <v>0</v>
      </c>
      <c r="L22" s="123">
        <v>0</v>
      </c>
      <c r="M22" s="124">
        <v>0</v>
      </c>
      <c r="N22" s="124">
        <v>0</v>
      </c>
      <c r="O22" s="124">
        <v>0</v>
      </c>
      <c r="P22" s="124">
        <v>0</v>
      </c>
      <c r="Q22" s="124"/>
      <c r="R22" s="128">
        <v>0</v>
      </c>
      <c r="S22" s="128">
        <v>0</v>
      </c>
      <c r="T22" s="124">
        <v>0</v>
      </c>
    </row>
    <row r="23" spans="1:23" ht="22.5" customHeight="1" x14ac:dyDescent="0.3">
      <c r="A23" s="32"/>
      <c r="B23" s="33"/>
      <c r="C23" s="127"/>
      <c r="D23" s="35">
        <v>2</v>
      </c>
      <c r="E23" s="128">
        <f>2300000+5000000+2000000</f>
        <v>9300000</v>
      </c>
      <c r="F23" s="128"/>
      <c r="G23" s="123">
        <f>E23*0.1</f>
        <v>930000</v>
      </c>
      <c r="H23" s="128">
        <v>0</v>
      </c>
      <c r="I23" s="123">
        <f>E23*0.075+H23*0.075</f>
        <v>697500</v>
      </c>
      <c r="J23" s="124">
        <f>E23-G23-H23-I23</f>
        <v>7672500</v>
      </c>
      <c r="K23" s="128">
        <v>2095744</v>
      </c>
      <c r="L23" s="123"/>
      <c r="M23" s="124">
        <v>21939382</v>
      </c>
      <c r="N23" s="124">
        <f>M23*0.075</f>
        <v>1645453.65</v>
      </c>
      <c r="O23" s="124">
        <f>M23-N23</f>
        <v>20293928.350000001</v>
      </c>
      <c r="P23" s="124">
        <f>O23</f>
        <v>20293928.350000001</v>
      </c>
      <c r="Q23" s="124" t="s">
        <v>195</v>
      </c>
      <c r="R23" s="174" t="s">
        <v>192</v>
      </c>
      <c r="S23" s="139">
        <v>41989</v>
      </c>
      <c r="T23" s="124">
        <f>P23+K23</f>
        <v>22389672.350000001</v>
      </c>
    </row>
    <row r="24" spans="1:23" ht="22.5" customHeight="1" x14ac:dyDescent="0.3">
      <c r="A24" s="32"/>
      <c r="B24" s="783" t="s">
        <v>93</v>
      </c>
      <c r="C24" s="783"/>
      <c r="D24" s="783"/>
      <c r="E24" s="125">
        <f>SUM(E22:E23)</f>
        <v>16100000</v>
      </c>
      <c r="F24" s="125">
        <f>SUM(F21:F22)</f>
        <v>0</v>
      </c>
      <c r="G24" s="125">
        <f t="shared" ref="G24:P24" si="2">SUM(G22:G23)</f>
        <v>1610000</v>
      </c>
      <c r="H24" s="125">
        <f t="shared" si="2"/>
        <v>0</v>
      </c>
      <c r="I24" s="125">
        <f t="shared" si="2"/>
        <v>1207500</v>
      </c>
      <c r="J24" s="125">
        <f t="shared" si="2"/>
        <v>13282500</v>
      </c>
      <c r="K24" s="125">
        <f t="shared" si="2"/>
        <v>2095744</v>
      </c>
      <c r="L24" s="125">
        <f t="shared" si="2"/>
        <v>0</v>
      </c>
      <c r="M24" s="125">
        <f t="shared" si="2"/>
        <v>21939382</v>
      </c>
      <c r="N24" s="125">
        <f t="shared" si="2"/>
        <v>1645453.65</v>
      </c>
      <c r="O24" s="125">
        <f t="shared" si="2"/>
        <v>20293928.350000001</v>
      </c>
      <c r="P24" s="125">
        <f t="shared" si="2"/>
        <v>20293928.350000001</v>
      </c>
      <c r="Q24" s="125"/>
      <c r="R24" s="152">
        <v>0</v>
      </c>
      <c r="S24" s="152">
        <v>0</v>
      </c>
      <c r="T24" s="125">
        <f>SUM(T22:T23)</f>
        <v>22389672.350000001</v>
      </c>
      <c r="U24" s="120"/>
      <c r="V24" s="120"/>
      <c r="W24" s="120"/>
    </row>
    <row r="25" spans="1:23" ht="22.5" customHeight="1" x14ac:dyDescent="0.3">
      <c r="A25" s="50"/>
      <c r="B25" s="46"/>
      <c r="C25" s="46"/>
      <c r="D25" s="46"/>
      <c r="E25" s="126"/>
      <c r="F25" s="126"/>
      <c r="G25" s="126"/>
      <c r="H25" s="126"/>
      <c r="I25" s="126"/>
      <c r="J25" s="124"/>
      <c r="K25" s="126"/>
      <c r="L25" s="123"/>
      <c r="M25" s="142"/>
      <c r="N25" s="142"/>
      <c r="O25" s="142"/>
      <c r="P25" s="142"/>
      <c r="Q25" s="142"/>
      <c r="R25" s="48"/>
      <c r="S25" s="49"/>
      <c r="T25" s="142"/>
    </row>
    <row r="26" spans="1:23" ht="31.5" customHeight="1" x14ac:dyDescent="0.3">
      <c r="A26" s="118">
        <v>4</v>
      </c>
      <c r="B26" s="105"/>
      <c r="C26" s="105" t="e">
        <f>#REF!</f>
        <v>#REF!</v>
      </c>
      <c r="D26" s="35"/>
      <c r="E26" s="123"/>
      <c r="F26" s="123"/>
      <c r="G26" s="123"/>
      <c r="H26" s="123"/>
      <c r="I26" s="123"/>
      <c r="J26" s="124"/>
      <c r="K26" s="123"/>
      <c r="L26" s="123"/>
      <c r="M26" s="124"/>
      <c r="N26" s="124"/>
      <c r="O26" s="124"/>
      <c r="P26" s="124"/>
      <c r="Q26" s="124"/>
      <c r="R26" s="36"/>
      <c r="S26" s="106"/>
      <c r="T26" s="124"/>
      <c r="V26" s="120"/>
    </row>
    <row r="27" spans="1:23" ht="22.5" customHeight="1" x14ac:dyDescent="0.3">
      <c r="A27" s="32"/>
      <c r="B27" s="33"/>
      <c r="C27" s="132"/>
      <c r="D27" s="35">
        <v>1</v>
      </c>
      <c r="E27" s="123">
        <v>8700000</v>
      </c>
      <c r="F27" s="123"/>
      <c r="G27" s="123">
        <f>E27*0.1</f>
        <v>870000</v>
      </c>
      <c r="H27" s="140">
        <v>0</v>
      </c>
      <c r="I27" s="123">
        <f>E27*0.075+H27*0.075</f>
        <v>652500</v>
      </c>
      <c r="J27" s="124">
        <f>E27-G27-H27-I27</f>
        <v>7177500</v>
      </c>
      <c r="K27" s="123">
        <v>0</v>
      </c>
      <c r="L27" s="123">
        <v>0</v>
      </c>
      <c r="M27" s="124">
        <v>0</v>
      </c>
      <c r="N27" s="124">
        <v>0</v>
      </c>
      <c r="O27" s="124">
        <v>0</v>
      </c>
      <c r="P27" s="124">
        <v>0</v>
      </c>
      <c r="Q27" s="124"/>
      <c r="R27" s="123">
        <f>L27+P27</f>
        <v>0</v>
      </c>
      <c r="S27" s="123">
        <f>M27+R27</f>
        <v>0</v>
      </c>
      <c r="T27" s="124">
        <v>0</v>
      </c>
    </row>
    <row r="28" spans="1:23" ht="22.5" customHeight="1" x14ac:dyDescent="0.3">
      <c r="A28" s="32"/>
      <c r="B28" s="33"/>
      <c r="C28" s="132"/>
      <c r="D28" s="35">
        <v>2</v>
      </c>
      <c r="E28" s="123">
        <f>3500000+8000000+2000000</f>
        <v>13500000</v>
      </c>
      <c r="F28" s="123"/>
      <c r="G28" s="123">
        <f>E28*0.1</f>
        <v>1350000</v>
      </c>
      <c r="H28" s="140">
        <v>0</v>
      </c>
      <c r="I28" s="123">
        <f>E28*0.075+H28*0.075</f>
        <v>1012500</v>
      </c>
      <c r="J28" s="124">
        <f>E28-G28-H28-I28</f>
        <v>11137500</v>
      </c>
      <c r="K28" s="123"/>
      <c r="L28" s="123"/>
      <c r="M28" s="124"/>
      <c r="N28" s="124"/>
      <c r="O28" s="124"/>
      <c r="P28" s="124"/>
      <c r="Q28" s="124"/>
      <c r="R28" s="123"/>
      <c r="S28" s="123"/>
      <c r="T28" s="124"/>
    </row>
    <row r="29" spans="1:23" ht="22.5" customHeight="1" x14ac:dyDescent="0.3">
      <c r="A29" s="32"/>
      <c r="B29" s="783" t="s">
        <v>93</v>
      </c>
      <c r="C29" s="783"/>
      <c r="D29" s="783"/>
      <c r="E29" s="125">
        <f>SUM(E27:E28)</f>
        <v>22200000</v>
      </c>
      <c r="F29" s="125">
        <f>SUM(F26:F27)</f>
        <v>0</v>
      </c>
      <c r="G29" s="125">
        <f>SUM(G27:G28)</f>
        <v>2220000</v>
      </c>
      <c r="H29" s="125">
        <f t="shared" ref="H29:S29" si="3">SUM(H27:H28)</f>
        <v>0</v>
      </c>
      <c r="I29" s="125">
        <f>SUM(I27:I28)</f>
        <v>1665000</v>
      </c>
      <c r="J29" s="125">
        <f>SUM(J27:J28)</f>
        <v>18315000</v>
      </c>
      <c r="K29" s="125">
        <f t="shared" si="3"/>
        <v>0</v>
      </c>
      <c r="L29" s="125">
        <f t="shared" si="3"/>
        <v>0</v>
      </c>
      <c r="M29" s="125">
        <f t="shared" si="3"/>
        <v>0</v>
      </c>
      <c r="N29" s="125">
        <f t="shared" si="3"/>
        <v>0</v>
      </c>
      <c r="O29" s="125">
        <f t="shared" si="3"/>
        <v>0</v>
      </c>
      <c r="P29" s="125">
        <f t="shared" si="3"/>
        <v>0</v>
      </c>
      <c r="Q29" s="125"/>
      <c r="R29" s="125">
        <f t="shared" si="3"/>
        <v>0</v>
      </c>
      <c r="S29" s="125">
        <f t="shared" si="3"/>
        <v>0</v>
      </c>
      <c r="T29" s="125">
        <f>SUM(T27:T28)</f>
        <v>0</v>
      </c>
      <c r="U29" s="120"/>
      <c r="V29" s="120"/>
      <c r="W29" s="120"/>
    </row>
    <row r="30" spans="1:23" ht="22.5" customHeight="1" x14ac:dyDescent="0.3">
      <c r="B30" s="145"/>
      <c r="C30" s="145"/>
      <c r="D30" s="145"/>
      <c r="E30" s="146"/>
      <c r="F30" s="146"/>
      <c r="G30" s="146"/>
      <c r="H30" s="146"/>
      <c r="I30" s="146"/>
      <c r="J30" s="147"/>
      <c r="K30" s="146"/>
      <c r="L30" s="147"/>
      <c r="M30" s="147"/>
      <c r="N30" s="147"/>
      <c r="O30" s="147"/>
      <c r="P30" s="147"/>
      <c r="Q30" s="147"/>
      <c r="R30" s="148"/>
      <c r="S30" s="149"/>
      <c r="T30" s="147"/>
    </row>
    <row r="31" spans="1:23" ht="31.5" customHeight="1" x14ac:dyDescent="0.3">
      <c r="A31" s="118">
        <v>5</v>
      </c>
      <c r="B31" s="105"/>
      <c r="C31" s="105" t="e">
        <f>#REF!</f>
        <v>#REF!</v>
      </c>
      <c r="D31" s="35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36"/>
      <c r="S31" s="106"/>
      <c r="T31" s="123"/>
      <c r="V31" s="120"/>
    </row>
    <row r="32" spans="1:23" ht="22.5" customHeight="1" x14ac:dyDescent="0.3">
      <c r="A32" s="32"/>
      <c r="B32" s="33"/>
      <c r="C32" s="132"/>
      <c r="D32" s="35">
        <v>1</v>
      </c>
      <c r="E32" s="123">
        <v>5000000</v>
      </c>
      <c r="F32" s="123"/>
      <c r="G32" s="123">
        <f>E32*0.1</f>
        <v>500000</v>
      </c>
      <c r="H32" s="123">
        <v>0</v>
      </c>
      <c r="I32" s="123">
        <f>E32*0.075+H32*0.075</f>
        <v>375000</v>
      </c>
      <c r="J32" s="123">
        <f>E32-G32+H32-I32</f>
        <v>4125000</v>
      </c>
      <c r="K32" s="123">
        <v>0</v>
      </c>
      <c r="L32" s="123">
        <v>0</v>
      </c>
      <c r="M32" s="123">
        <v>0</v>
      </c>
      <c r="N32" s="123">
        <v>0</v>
      </c>
      <c r="O32" s="123">
        <f>M32-N32</f>
        <v>0</v>
      </c>
      <c r="P32" s="123">
        <f>K32+O32</f>
        <v>0</v>
      </c>
      <c r="Q32" s="123"/>
      <c r="R32" s="123">
        <f>L32+P32</f>
        <v>0</v>
      </c>
      <c r="S32" s="123">
        <f>M32+R32</f>
        <v>0</v>
      </c>
      <c r="T32" s="123">
        <f>O32+S32</f>
        <v>0</v>
      </c>
    </row>
    <row r="33" spans="1:23" ht="22.5" customHeight="1" x14ac:dyDescent="0.3">
      <c r="A33" s="32"/>
      <c r="B33" s="33"/>
      <c r="C33" s="132"/>
      <c r="D33" s="35">
        <v>2</v>
      </c>
      <c r="E33" s="123">
        <f>2560000+5000000+2000000</f>
        <v>9560000</v>
      </c>
      <c r="F33" s="123"/>
      <c r="G33" s="123">
        <f>E33*0.1</f>
        <v>956000</v>
      </c>
      <c r="H33" s="123"/>
      <c r="I33" s="123">
        <f>E33*0.075+H33*0.075</f>
        <v>717000</v>
      </c>
      <c r="J33" s="123">
        <f>E33-G33+H33-I33</f>
        <v>7887000</v>
      </c>
      <c r="K33" s="123"/>
      <c r="L33" s="123"/>
      <c r="M33" s="123"/>
      <c r="N33" s="123"/>
      <c r="O33" s="124"/>
      <c r="P33" s="124"/>
      <c r="Q33" s="124"/>
      <c r="R33" s="123"/>
      <c r="S33" s="123"/>
      <c r="T33" s="124"/>
    </row>
    <row r="34" spans="1:23" ht="22.5" customHeight="1" x14ac:dyDescent="0.3">
      <c r="A34" s="32"/>
      <c r="B34" s="783" t="s">
        <v>93</v>
      </c>
      <c r="C34" s="783"/>
      <c r="D34" s="783"/>
      <c r="E34" s="125">
        <f>SUM(E32:E33)</f>
        <v>14560000</v>
      </c>
      <c r="F34" s="125">
        <f>SUM(F31:F32)</f>
        <v>0</v>
      </c>
      <c r="G34" s="125">
        <f>SUM(G32:G33)</f>
        <v>1456000</v>
      </c>
      <c r="H34" s="125">
        <f t="shared" ref="H34:S34" si="4">SUM(H32:H33)</f>
        <v>0</v>
      </c>
      <c r="I34" s="125">
        <f>SUM(I32:I33)</f>
        <v>1092000</v>
      </c>
      <c r="J34" s="125">
        <f>SUM(J32:J33)</f>
        <v>12012000</v>
      </c>
      <c r="K34" s="125">
        <f t="shared" si="4"/>
        <v>0</v>
      </c>
      <c r="L34" s="125">
        <f t="shared" si="4"/>
        <v>0</v>
      </c>
      <c r="M34" s="125">
        <f t="shared" si="4"/>
        <v>0</v>
      </c>
      <c r="N34" s="125">
        <f t="shared" si="4"/>
        <v>0</v>
      </c>
      <c r="O34" s="125">
        <f t="shared" si="4"/>
        <v>0</v>
      </c>
      <c r="P34" s="125">
        <f t="shared" si="4"/>
        <v>0</v>
      </c>
      <c r="Q34" s="125"/>
      <c r="R34" s="125">
        <f t="shared" si="4"/>
        <v>0</v>
      </c>
      <c r="S34" s="125">
        <f t="shared" si="4"/>
        <v>0</v>
      </c>
      <c r="T34" s="125">
        <f>SUM(T32:T33)</f>
        <v>0</v>
      </c>
      <c r="U34" s="120"/>
      <c r="V34" s="120"/>
      <c r="W34" s="120"/>
    </row>
    <row r="35" spans="1:23" x14ac:dyDescent="0.3">
      <c r="E35" s="21"/>
      <c r="G35" s="37"/>
      <c r="L35" s="21"/>
    </row>
    <row r="36" spans="1:23" ht="15" thickBot="1" x14ac:dyDescent="0.35">
      <c r="C36" s="150" t="s">
        <v>139</v>
      </c>
      <c r="E36" s="151">
        <f>E34+E29+E24+E19+E12</f>
        <v>155508477</v>
      </c>
      <c r="F36" s="151"/>
      <c r="G36" s="151">
        <f>G34+G29+G24+G19+G12</f>
        <v>15550847.699999999</v>
      </c>
      <c r="H36" s="151">
        <f t="shared" ref="H36:S36" si="5">H34+H29+H24+H19+H12</f>
        <v>0</v>
      </c>
      <c r="I36" s="151">
        <f t="shared" si="5"/>
        <v>11663135.775</v>
      </c>
      <c r="J36" s="151">
        <f t="shared" si="5"/>
        <v>128294493.52500001</v>
      </c>
      <c r="K36" s="151">
        <f t="shared" si="5"/>
        <v>33452982.075000003</v>
      </c>
      <c r="L36" s="151">
        <f t="shared" si="5"/>
        <v>31326.625000000116</v>
      </c>
      <c r="M36" s="151">
        <f t="shared" si="5"/>
        <v>34488314</v>
      </c>
      <c r="N36" s="151">
        <f t="shared" si="5"/>
        <v>2586623.5499999998</v>
      </c>
      <c r="O36" s="151">
        <f t="shared" si="5"/>
        <v>31901690.450000003</v>
      </c>
      <c r="P36" s="151">
        <f t="shared" si="5"/>
        <v>63258928.524999999</v>
      </c>
      <c r="Q36" s="151"/>
      <c r="R36" s="151">
        <f t="shared" si="5"/>
        <v>0</v>
      </c>
      <c r="S36" s="151">
        <f t="shared" si="5"/>
        <v>0</v>
      </c>
      <c r="T36" s="151">
        <f>T34+T29+T24+T19+T12</f>
        <v>65354672.524999999</v>
      </c>
    </row>
    <row r="37" spans="1:23" x14ac:dyDescent="0.3">
      <c r="E37" s="37"/>
    </row>
    <row r="38" spans="1:23" x14ac:dyDescent="0.3">
      <c r="J38" s="120"/>
      <c r="K38" s="21"/>
      <c r="L38" s="21"/>
      <c r="R38" s="120"/>
    </row>
    <row r="39" spans="1:23" x14ac:dyDescent="0.3">
      <c r="K39" s="120"/>
      <c r="L39" s="21"/>
      <c r="R39" s="37"/>
    </row>
    <row r="40" spans="1:23" x14ac:dyDescent="0.3">
      <c r="E40" s="120"/>
      <c r="G40" s="120"/>
      <c r="I40" s="120"/>
      <c r="L40" s="120"/>
    </row>
    <row r="42" spans="1:23" x14ac:dyDescent="0.3">
      <c r="E42" s="120"/>
      <c r="G42" s="21"/>
      <c r="H42" s="37"/>
      <c r="L42" s="120"/>
    </row>
    <row r="43" spans="1:23" x14ac:dyDescent="0.3">
      <c r="E43" s="120"/>
      <c r="G43" s="21"/>
    </row>
    <row r="46" spans="1:23" x14ac:dyDescent="0.3">
      <c r="D46" s="121"/>
      <c r="L46" s="120"/>
    </row>
    <row r="51" spans="7:8" x14ac:dyDescent="0.3">
      <c r="G51" s="5" t="s">
        <v>137</v>
      </c>
    </row>
    <row r="53" spans="7:8" x14ac:dyDescent="0.3">
      <c r="G53" s="5" t="s">
        <v>133</v>
      </c>
    </row>
    <row r="54" spans="7:8" x14ac:dyDescent="0.3">
      <c r="G54" s="5" t="s">
        <v>134</v>
      </c>
    </row>
    <row r="55" spans="7:8" x14ac:dyDescent="0.3">
      <c r="H55" s="5" t="s">
        <v>135</v>
      </c>
    </row>
    <row r="56" spans="7:8" x14ac:dyDescent="0.3">
      <c r="H56" s="5" t="s">
        <v>136</v>
      </c>
    </row>
  </sheetData>
  <mergeCells count="17">
    <mergeCell ref="B29:D29"/>
    <mergeCell ref="B34:D34"/>
    <mergeCell ref="R1:S1"/>
    <mergeCell ref="A2:S2"/>
    <mergeCell ref="A3:S3"/>
    <mergeCell ref="A4:S4"/>
    <mergeCell ref="A5:A6"/>
    <mergeCell ref="B5:B6"/>
    <mergeCell ref="C5:C6"/>
    <mergeCell ref="D5:L5"/>
    <mergeCell ref="P5:P6"/>
    <mergeCell ref="R5:R6"/>
    <mergeCell ref="T5:T6"/>
    <mergeCell ref="S5:S6"/>
    <mergeCell ref="B12:D12"/>
    <mergeCell ref="B19:D19"/>
    <mergeCell ref="B24:D24"/>
  </mergeCells>
  <printOptions horizontalCentered="1"/>
  <pageMargins left="0.17" right="0.17" top="0.5" bottom="0.5" header="0.18" footer="0.27"/>
  <pageSetup paperSize="5" scale="52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78"/>
  <sheetViews>
    <sheetView view="pageBreakPreview" zoomScale="70" zoomScaleSheetLayoutView="70" workbookViewId="0">
      <pane ySplit="6" topLeftCell="A242" activePane="bottomLeft" state="frozen"/>
      <selection activeCell="H38" sqref="H38"/>
      <selection pane="bottomLeft" activeCell="H262" sqref="H262"/>
    </sheetView>
  </sheetViews>
  <sheetFormatPr defaultRowHeight="14.4" x14ac:dyDescent="0.3"/>
  <cols>
    <col min="1" max="1" width="4.44140625" style="5" customWidth="1"/>
    <col min="2" max="2" width="0.33203125" style="24" customWidth="1"/>
    <col min="3" max="3" width="41.109375" style="5" bestFit="1" customWidth="1"/>
    <col min="4" max="4" width="8.109375" style="5" customWidth="1"/>
    <col min="5" max="5" width="22.33203125" style="5" bestFit="1" customWidth="1"/>
    <col min="6" max="6" width="0.6640625" style="5" hidden="1" customWidth="1"/>
    <col min="7" max="7" width="21.109375" style="5" bestFit="1" customWidth="1"/>
    <col min="8" max="8" width="21.109375" style="5" customWidth="1"/>
    <col min="9" max="9" width="21.109375" style="5" bestFit="1" customWidth="1"/>
    <col min="10" max="10" width="14.88671875" style="5" customWidth="1"/>
    <col min="11" max="11" width="20.33203125" style="5" bestFit="1" customWidth="1"/>
    <col min="12" max="12" width="15.44140625" style="5" hidden="1" customWidth="1"/>
    <col min="13" max="13" width="14.44140625" style="5" hidden="1" customWidth="1"/>
    <col min="14" max="14" width="21.109375" style="5" hidden="1" customWidth="1"/>
    <col min="15" max="15" width="18.109375" style="5" bestFit="1" customWidth="1"/>
    <col min="16" max="16" width="21" style="5" bestFit="1" customWidth="1"/>
    <col min="17" max="17" width="21.5546875" style="5" bestFit="1" customWidth="1"/>
    <col min="18" max="18" width="16.5546875" style="5" customWidth="1"/>
    <col min="19" max="20" width="19.109375" style="5" customWidth="1"/>
    <col min="21" max="21" width="20.88671875" style="5" customWidth="1"/>
    <col min="22" max="22" width="12.88671875" style="5" customWidth="1"/>
    <col min="23" max="23" width="16.88671875" style="5" bestFit="1" customWidth="1"/>
    <col min="24" max="24" width="17.33203125" style="5" bestFit="1" customWidth="1"/>
    <col min="25" max="25" width="12" style="5" bestFit="1" customWidth="1"/>
    <col min="26" max="26" width="10.88671875" style="5" bestFit="1" customWidth="1"/>
    <col min="27" max="256" width="9.109375" style="5"/>
    <col min="257" max="257" width="4.44140625" style="5" customWidth="1"/>
    <col min="258" max="258" width="0.33203125" style="5" customWidth="1"/>
    <col min="259" max="259" width="41.109375" style="5" bestFit="1" customWidth="1"/>
    <col min="260" max="260" width="8.109375" style="5" customWidth="1"/>
    <col min="261" max="261" width="22.33203125" style="5" bestFit="1" customWidth="1"/>
    <col min="262" max="262" width="0" style="5" hidden="1" customWidth="1"/>
    <col min="263" max="263" width="21.109375" style="5" bestFit="1" customWidth="1"/>
    <col min="264" max="264" width="21.109375" style="5" customWidth="1"/>
    <col min="265" max="265" width="21.109375" style="5" bestFit="1" customWidth="1"/>
    <col min="266" max="266" width="14.88671875" style="5" customWidth="1"/>
    <col min="267" max="267" width="20.33203125" style="5" bestFit="1" customWidth="1"/>
    <col min="268" max="270" width="0" style="5" hidden="1" customWidth="1"/>
    <col min="271" max="271" width="18.109375" style="5" bestFit="1" customWidth="1"/>
    <col min="272" max="272" width="21" style="5" bestFit="1" customWidth="1"/>
    <col min="273" max="273" width="21.5546875" style="5" bestFit="1" customWidth="1"/>
    <col min="274" max="274" width="16.5546875" style="5" customWidth="1"/>
    <col min="275" max="276" width="19.109375" style="5" customWidth="1"/>
    <col min="277" max="277" width="20.88671875" style="5" customWidth="1"/>
    <col min="278" max="278" width="12.88671875" style="5" customWidth="1"/>
    <col min="279" max="279" width="13.109375" style="5" bestFit="1" customWidth="1"/>
    <col min="280" max="280" width="13.5546875" style="5" customWidth="1"/>
    <col min="281" max="281" width="12" style="5" bestFit="1" customWidth="1"/>
    <col min="282" max="282" width="10.88671875" style="5" bestFit="1" customWidth="1"/>
    <col min="283" max="512" width="9.109375" style="5"/>
    <col min="513" max="513" width="4.44140625" style="5" customWidth="1"/>
    <col min="514" max="514" width="0.33203125" style="5" customWidth="1"/>
    <col min="515" max="515" width="41.109375" style="5" bestFit="1" customWidth="1"/>
    <col min="516" max="516" width="8.109375" style="5" customWidth="1"/>
    <col min="517" max="517" width="22.33203125" style="5" bestFit="1" customWidth="1"/>
    <col min="518" max="518" width="0" style="5" hidden="1" customWidth="1"/>
    <col min="519" max="519" width="21.109375" style="5" bestFit="1" customWidth="1"/>
    <col min="520" max="520" width="21.109375" style="5" customWidth="1"/>
    <col min="521" max="521" width="21.109375" style="5" bestFit="1" customWidth="1"/>
    <col min="522" max="522" width="14.88671875" style="5" customWidth="1"/>
    <col min="523" max="523" width="20.33203125" style="5" bestFit="1" customWidth="1"/>
    <col min="524" max="526" width="0" style="5" hidden="1" customWidth="1"/>
    <col min="527" max="527" width="18.109375" style="5" bestFit="1" customWidth="1"/>
    <col min="528" max="528" width="21" style="5" bestFit="1" customWidth="1"/>
    <col min="529" max="529" width="21.5546875" style="5" bestFit="1" customWidth="1"/>
    <col min="530" max="530" width="16.5546875" style="5" customWidth="1"/>
    <col min="531" max="532" width="19.109375" style="5" customWidth="1"/>
    <col min="533" max="533" width="20.88671875" style="5" customWidth="1"/>
    <col min="534" max="534" width="12.88671875" style="5" customWidth="1"/>
    <col min="535" max="535" width="13.109375" style="5" bestFit="1" customWidth="1"/>
    <col min="536" max="536" width="13.5546875" style="5" customWidth="1"/>
    <col min="537" max="537" width="12" style="5" bestFit="1" customWidth="1"/>
    <col min="538" max="538" width="10.88671875" style="5" bestFit="1" customWidth="1"/>
    <col min="539" max="768" width="9.109375" style="5"/>
    <col min="769" max="769" width="4.44140625" style="5" customWidth="1"/>
    <col min="770" max="770" width="0.33203125" style="5" customWidth="1"/>
    <col min="771" max="771" width="41.109375" style="5" bestFit="1" customWidth="1"/>
    <col min="772" max="772" width="8.109375" style="5" customWidth="1"/>
    <col min="773" max="773" width="22.33203125" style="5" bestFit="1" customWidth="1"/>
    <col min="774" max="774" width="0" style="5" hidden="1" customWidth="1"/>
    <col min="775" max="775" width="21.109375" style="5" bestFit="1" customWidth="1"/>
    <col min="776" max="776" width="21.109375" style="5" customWidth="1"/>
    <col min="777" max="777" width="21.109375" style="5" bestFit="1" customWidth="1"/>
    <col min="778" max="778" width="14.88671875" style="5" customWidth="1"/>
    <col min="779" max="779" width="20.33203125" style="5" bestFit="1" customWidth="1"/>
    <col min="780" max="782" width="0" style="5" hidden="1" customWidth="1"/>
    <col min="783" max="783" width="18.109375" style="5" bestFit="1" customWidth="1"/>
    <col min="784" max="784" width="21" style="5" bestFit="1" customWidth="1"/>
    <col min="785" max="785" width="21.5546875" style="5" bestFit="1" customWidth="1"/>
    <col min="786" max="786" width="16.5546875" style="5" customWidth="1"/>
    <col min="787" max="788" width="19.109375" style="5" customWidth="1"/>
    <col min="789" max="789" width="20.88671875" style="5" customWidth="1"/>
    <col min="790" max="790" width="12.88671875" style="5" customWidth="1"/>
    <col min="791" max="791" width="13.109375" style="5" bestFit="1" customWidth="1"/>
    <col min="792" max="792" width="13.5546875" style="5" customWidth="1"/>
    <col min="793" max="793" width="12" style="5" bestFit="1" customWidth="1"/>
    <col min="794" max="794" width="10.88671875" style="5" bestFit="1" customWidth="1"/>
    <col min="795" max="1024" width="9.109375" style="5"/>
    <col min="1025" max="1025" width="4.44140625" style="5" customWidth="1"/>
    <col min="1026" max="1026" width="0.33203125" style="5" customWidth="1"/>
    <col min="1027" max="1027" width="41.109375" style="5" bestFit="1" customWidth="1"/>
    <col min="1028" max="1028" width="8.109375" style="5" customWidth="1"/>
    <col min="1029" max="1029" width="22.33203125" style="5" bestFit="1" customWidth="1"/>
    <col min="1030" max="1030" width="0" style="5" hidden="1" customWidth="1"/>
    <col min="1031" max="1031" width="21.109375" style="5" bestFit="1" customWidth="1"/>
    <col min="1032" max="1032" width="21.109375" style="5" customWidth="1"/>
    <col min="1033" max="1033" width="21.109375" style="5" bestFit="1" customWidth="1"/>
    <col min="1034" max="1034" width="14.88671875" style="5" customWidth="1"/>
    <col min="1035" max="1035" width="20.33203125" style="5" bestFit="1" customWidth="1"/>
    <col min="1036" max="1038" width="0" style="5" hidden="1" customWidth="1"/>
    <col min="1039" max="1039" width="18.109375" style="5" bestFit="1" customWidth="1"/>
    <col min="1040" max="1040" width="21" style="5" bestFit="1" customWidth="1"/>
    <col min="1041" max="1041" width="21.5546875" style="5" bestFit="1" customWidth="1"/>
    <col min="1042" max="1042" width="16.5546875" style="5" customWidth="1"/>
    <col min="1043" max="1044" width="19.109375" style="5" customWidth="1"/>
    <col min="1045" max="1045" width="20.88671875" style="5" customWidth="1"/>
    <col min="1046" max="1046" width="12.88671875" style="5" customWidth="1"/>
    <col min="1047" max="1047" width="13.109375" style="5" bestFit="1" customWidth="1"/>
    <col min="1048" max="1048" width="13.5546875" style="5" customWidth="1"/>
    <col min="1049" max="1049" width="12" style="5" bestFit="1" customWidth="1"/>
    <col min="1050" max="1050" width="10.88671875" style="5" bestFit="1" customWidth="1"/>
    <col min="1051" max="1280" width="9.109375" style="5"/>
    <col min="1281" max="1281" width="4.44140625" style="5" customWidth="1"/>
    <col min="1282" max="1282" width="0.33203125" style="5" customWidth="1"/>
    <col min="1283" max="1283" width="41.109375" style="5" bestFit="1" customWidth="1"/>
    <col min="1284" max="1284" width="8.109375" style="5" customWidth="1"/>
    <col min="1285" max="1285" width="22.33203125" style="5" bestFit="1" customWidth="1"/>
    <col min="1286" max="1286" width="0" style="5" hidden="1" customWidth="1"/>
    <col min="1287" max="1287" width="21.109375" style="5" bestFit="1" customWidth="1"/>
    <col min="1288" max="1288" width="21.109375" style="5" customWidth="1"/>
    <col min="1289" max="1289" width="21.109375" style="5" bestFit="1" customWidth="1"/>
    <col min="1290" max="1290" width="14.88671875" style="5" customWidth="1"/>
    <col min="1291" max="1291" width="20.33203125" style="5" bestFit="1" customWidth="1"/>
    <col min="1292" max="1294" width="0" style="5" hidden="1" customWidth="1"/>
    <col min="1295" max="1295" width="18.109375" style="5" bestFit="1" customWidth="1"/>
    <col min="1296" max="1296" width="21" style="5" bestFit="1" customWidth="1"/>
    <col min="1297" max="1297" width="21.5546875" style="5" bestFit="1" customWidth="1"/>
    <col min="1298" max="1298" width="16.5546875" style="5" customWidth="1"/>
    <col min="1299" max="1300" width="19.109375" style="5" customWidth="1"/>
    <col min="1301" max="1301" width="20.88671875" style="5" customWidth="1"/>
    <col min="1302" max="1302" width="12.88671875" style="5" customWidth="1"/>
    <col min="1303" max="1303" width="13.109375" style="5" bestFit="1" customWidth="1"/>
    <col min="1304" max="1304" width="13.5546875" style="5" customWidth="1"/>
    <col min="1305" max="1305" width="12" style="5" bestFit="1" customWidth="1"/>
    <col min="1306" max="1306" width="10.88671875" style="5" bestFit="1" customWidth="1"/>
    <col min="1307" max="1536" width="9.109375" style="5"/>
    <col min="1537" max="1537" width="4.44140625" style="5" customWidth="1"/>
    <col min="1538" max="1538" width="0.33203125" style="5" customWidth="1"/>
    <col min="1539" max="1539" width="41.109375" style="5" bestFit="1" customWidth="1"/>
    <col min="1540" max="1540" width="8.109375" style="5" customWidth="1"/>
    <col min="1541" max="1541" width="22.33203125" style="5" bestFit="1" customWidth="1"/>
    <col min="1542" max="1542" width="0" style="5" hidden="1" customWidth="1"/>
    <col min="1543" max="1543" width="21.109375" style="5" bestFit="1" customWidth="1"/>
    <col min="1544" max="1544" width="21.109375" style="5" customWidth="1"/>
    <col min="1545" max="1545" width="21.109375" style="5" bestFit="1" customWidth="1"/>
    <col min="1546" max="1546" width="14.88671875" style="5" customWidth="1"/>
    <col min="1547" max="1547" width="20.33203125" style="5" bestFit="1" customWidth="1"/>
    <col min="1548" max="1550" width="0" style="5" hidden="1" customWidth="1"/>
    <col min="1551" max="1551" width="18.109375" style="5" bestFit="1" customWidth="1"/>
    <col min="1552" max="1552" width="21" style="5" bestFit="1" customWidth="1"/>
    <col min="1553" max="1553" width="21.5546875" style="5" bestFit="1" customWidth="1"/>
    <col min="1554" max="1554" width="16.5546875" style="5" customWidth="1"/>
    <col min="1555" max="1556" width="19.109375" style="5" customWidth="1"/>
    <col min="1557" max="1557" width="20.88671875" style="5" customWidth="1"/>
    <col min="1558" max="1558" width="12.88671875" style="5" customWidth="1"/>
    <col min="1559" max="1559" width="13.109375" style="5" bestFit="1" customWidth="1"/>
    <col min="1560" max="1560" width="13.5546875" style="5" customWidth="1"/>
    <col min="1561" max="1561" width="12" style="5" bestFit="1" customWidth="1"/>
    <col min="1562" max="1562" width="10.88671875" style="5" bestFit="1" customWidth="1"/>
    <col min="1563" max="1792" width="9.109375" style="5"/>
    <col min="1793" max="1793" width="4.44140625" style="5" customWidth="1"/>
    <col min="1794" max="1794" width="0.33203125" style="5" customWidth="1"/>
    <col min="1795" max="1795" width="41.109375" style="5" bestFit="1" customWidth="1"/>
    <col min="1796" max="1796" width="8.109375" style="5" customWidth="1"/>
    <col min="1797" max="1797" width="22.33203125" style="5" bestFit="1" customWidth="1"/>
    <col min="1798" max="1798" width="0" style="5" hidden="1" customWidth="1"/>
    <col min="1799" max="1799" width="21.109375" style="5" bestFit="1" customWidth="1"/>
    <col min="1800" max="1800" width="21.109375" style="5" customWidth="1"/>
    <col min="1801" max="1801" width="21.109375" style="5" bestFit="1" customWidth="1"/>
    <col min="1802" max="1802" width="14.88671875" style="5" customWidth="1"/>
    <col min="1803" max="1803" width="20.33203125" style="5" bestFit="1" customWidth="1"/>
    <col min="1804" max="1806" width="0" style="5" hidden="1" customWidth="1"/>
    <col min="1807" max="1807" width="18.109375" style="5" bestFit="1" customWidth="1"/>
    <col min="1808" max="1808" width="21" style="5" bestFit="1" customWidth="1"/>
    <col min="1809" max="1809" width="21.5546875" style="5" bestFit="1" customWidth="1"/>
    <col min="1810" max="1810" width="16.5546875" style="5" customWidth="1"/>
    <col min="1811" max="1812" width="19.109375" style="5" customWidth="1"/>
    <col min="1813" max="1813" width="20.88671875" style="5" customWidth="1"/>
    <col min="1814" max="1814" width="12.88671875" style="5" customWidth="1"/>
    <col min="1815" max="1815" width="13.109375" style="5" bestFit="1" customWidth="1"/>
    <col min="1816" max="1816" width="13.5546875" style="5" customWidth="1"/>
    <col min="1817" max="1817" width="12" style="5" bestFit="1" customWidth="1"/>
    <col min="1818" max="1818" width="10.88671875" style="5" bestFit="1" customWidth="1"/>
    <col min="1819" max="2048" width="9.109375" style="5"/>
    <col min="2049" max="2049" width="4.44140625" style="5" customWidth="1"/>
    <col min="2050" max="2050" width="0.33203125" style="5" customWidth="1"/>
    <col min="2051" max="2051" width="41.109375" style="5" bestFit="1" customWidth="1"/>
    <col min="2052" max="2052" width="8.109375" style="5" customWidth="1"/>
    <col min="2053" max="2053" width="22.33203125" style="5" bestFit="1" customWidth="1"/>
    <col min="2054" max="2054" width="0" style="5" hidden="1" customWidth="1"/>
    <col min="2055" max="2055" width="21.109375" style="5" bestFit="1" customWidth="1"/>
    <col min="2056" max="2056" width="21.109375" style="5" customWidth="1"/>
    <col min="2057" max="2057" width="21.109375" style="5" bestFit="1" customWidth="1"/>
    <col min="2058" max="2058" width="14.88671875" style="5" customWidth="1"/>
    <col min="2059" max="2059" width="20.33203125" style="5" bestFit="1" customWidth="1"/>
    <col min="2060" max="2062" width="0" style="5" hidden="1" customWidth="1"/>
    <col min="2063" max="2063" width="18.109375" style="5" bestFit="1" customWidth="1"/>
    <col min="2064" max="2064" width="21" style="5" bestFit="1" customWidth="1"/>
    <col min="2065" max="2065" width="21.5546875" style="5" bestFit="1" customWidth="1"/>
    <col min="2066" max="2066" width="16.5546875" style="5" customWidth="1"/>
    <col min="2067" max="2068" width="19.109375" style="5" customWidth="1"/>
    <col min="2069" max="2069" width="20.88671875" style="5" customWidth="1"/>
    <col min="2070" max="2070" width="12.88671875" style="5" customWidth="1"/>
    <col min="2071" max="2071" width="13.109375" style="5" bestFit="1" customWidth="1"/>
    <col min="2072" max="2072" width="13.5546875" style="5" customWidth="1"/>
    <col min="2073" max="2073" width="12" style="5" bestFit="1" customWidth="1"/>
    <col min="2074" max="2074" width="10.88671875" style="5" bestFit="1" customWidth="1"/>
    <col min="2075" max="2304" width="9.109375" style="5"/>
    <col min="2305" max="2305" width="4.44140625" style="5" customWidth="1"/>
    <col min="2306" max="2306" width="0.33203125" style="5" customWidth="1"/>
    <col min="2307" max="2307" width="41.109375" style="5" bestFit="1" customWidth="1"/>
    <col min="2308" max="2308" width="8.109375" style="5" customWidth="1"/>
    <col min="2309" max="2309" width="22.33203125" style="5" bestFit="1" customWidth="1"/>
    <col min="2310" max="2310" width="0" style="5" hidden="1" customWidth="1"/>
    <col min="2311" max="2311" width="21.109375" style="5" bestFit="1" customWidth="1"/>
    <col min="2312" max="2312" width="21.109375" style="5" customWidth="1"/>
    <col min="2313" max="2313" width="21.109375" style="5" bestFit="1" customWidth="1"/>
    <col min="2314" max="2314" width="14.88671875" style="5" customWidth="1"/>
    <col min="2315" max="2315" width="20.33203125" style="5" bestFit="1" customWidth="1"/>
    <col min="2316" max="2318" width="0" style="5" hidden="1" customWidth="1"/>
    <col min="2319" max="2319" width="18.109375" style="5" bestFit="1" customWidth="1"/>
    <col min="2320" max="2320" width="21" style="5" bestFit="1" customWidth="1"/>
    <col min="2321" max="2321" width="21.5546875" style="5" bestFit="1" customWidth="1"/>
    <col min="2322" max="2322" width="16.5546875" style="5" customWidth="1"/>
    <col min="2323" max="2324" width="19.109375" style="5" customWidth="1"/>
    <col min="2325" max="2325" width="20.88671875" style="5" customWidth="1"/>
    <col min="2326" max="2326" width="12.88671875" style="5" customWidth="1"/>
    <col min="2327" max="2327" width="13.109375" style="5" bestFit="1" customWidth="1"/>
    <col min="2328" max="2328" width="13.5546875" style="5" customWidth="1"/>
    <col min="2329" max="2329" width="12" style="5" bestFit="1" customWidth="1"/>
    <col min="2330" max="2330" width="10.88671875" style="5" bestFit="1" customWidth="1"/>
    <col min="2331" max="2560" width="9.109375" style="5"/>
    <col min="2561" max="2561" width="4.44140625" style="5" customWidth="1"/>
    <col min="2562" max="2562" width="0.33203125" style="5" customWidth="1"/>
    <col min="2563" max="2563" width="41.109375" style="5" bestFit="1" customWidth="1"/>
    <col min="2564" max="2564" width="8.109375" style="5" customWidth="1"/>
    <col min="2565" max="2565" width="22.33203125" style="5" bestFit="1" customWidth="1"/>
    <col min="2566" max="2566" width="0" style="5" hidden="1" customWidth="1"/>
    <col min="2567" max="2567" width="21.109375" style="5" bestFit="1" customWidth="1"/>
    <col min="2568" max="2568" width="21.109375" style="5" customWidth="1"/>
    <col min="2569" max="2569" width="21.109375" style="5" bestFit="1" customWidth="1"/>
    <col min="2570" max="2570" width="14.88671875" style="5" customWidth="1"/>
    <col min="2571" max="2571" width="20.33203125" style="5" bestFit="1" customWidth="1"/>
    <col min="2572" max="2574" width="0" style="5" hidden="1" customWidth="1"/>
    <col min="2575" max="2575" width="18.109375" style="5" bestFit="1" customWidth="1"/>
    <col min="2576" max="2576" width="21" style="5" bestFit="1" customWidth="1"/>
    <col min="2577" max="2577" width="21.5546875" style="5" bestFit="1" customWidth="1"/>
    <col min="2578" max="2578" width="16.5546875" style="5" customWidth="1"/>
    <col min="2579" max="2580" width="19.109375" style="5" customWidth="1"/>
    <col min="2581" max="2581" width="20.88671875" style="5" customWidth="1"/>
    <col min="2582" max="2582" width="12.88671875" style="5" customWidth="1"/>
    <col min="2583" max="2583" width="13.109375" style="5" bestFit="1" customWidth="1"/>
    <col min="2584" max="2584" width="13.5546875" style="5" customWidth="1"/>
    <col min="2585" max="2585" width="12" style="5" bestFit="1" customWidth="1"/>
    <col min="2586" max="2586" width="10.88671875" style="5" bestFit="1" customWidth="1"/>
    <col min="2587" max="2816" width="9.109375" style="5"/>
    <col min="2817" max="2817" width="4.44140625" style="5" customWidth="1"/>
    <col min="2818" max="2818" width="0.33203125" style="5" customWidth="1"/>
    <col min="2819" max="2819" width="41.109375" style="5" bestFit="1" customWidth="1"/>
    <col min="2820" max="2820" width="8.109375" style="5" customWidth="1"/>
    <col min="2821" max="2821" width="22.33203125" style="5" bestFit="1" customWidth="1"/>
    <col min="2822" max="2822" width="0" style="5" hidden="1" customWidth="1"/>
    <col min="2823" max="2823" width="21.109375" style="5" bestFit="1" customWidth="1"/>
    <col min="2824" max="2824" width="21.109375" style="5" customWidth="1"/>
    <col min="2825" max="2825" width="21.109375" style="5" bestFit="1" customWidth="1"/>
    <col min="2826" max="2826" width="14.88671875" style="5" customWidth="1"/>
    <col min="2827" max="2827" width="20.33203125" style="5" bestFit="1" customWidth="1"/>
    <col min="2828" max="2830" width="0" style="5" hidden="1" customWidth="1"/>
    <col min="2831" max="2831" width="18.109375" style="5" bestFit="1" customWidth="1"/>
    <col min="2832" max="2832" width="21" style="5" bestFit="1" customWidth="1"/>
    <col min="2833" max="2833" width="21.5546875" style="5" bestFit="1" customWidth="1"/>
    <col min="2834" max="2834" width="16.5546875" style="5" customWidth="1"/>
    <col min="2835" max="2836" width="19.109375" style="5" customWidth="1"/>
    <col min="2837" max="2837" width="20.88671875" style="5" customWidth="1"/>
    <col min="2838" max="2838" width="12.88671875" style="5" customWidth="1"/>
    <col min="2839" max="2839" width="13.109375" style="5" bestFit="1" customWidth="1"/>
    <col min="2840" max="2840" width="13.5546875" style="5" customWidth="1"/>
    <col min="2841" max="2841" width="12" style="5" bestFit="1" customWidth="1"/>
    <col min="2842" max="2842" width="10.88671875" style="5" bestFit="1" customWidth="1"/>
    <col min="2843" max="3072" width="9.109375" style="5"/>
    <col min="3073" max="3073" width="4.44140625" style="5" customWidth="1"/>
    <col min="3074" max="3074" width="0.33203125" style="5" customWidth="1"/>
    <col min="3075" max="3075" width="41.109375" style="5" bestFit="1" customWidth="1"/>
    <col min="3076" max="3076" width="8.109375" style="5" customWidth="1"/>
    <col min="3077" max="3077" width="22.33203125" style="5" bestFit="1" customWidth="1"/>
    <col min="3078" max="3078" width="0" style="5" hidden="1" customWidth="1"/>
    <col min="3079" max="3079" width="21.109375" style="5" bestFit="1" customWidth="1"/>
    <col min="3080" max="3080" width="21.109375" style="5" customWidth="1"/>
    <col min="3081" max="3081" width="21.109375" style="5" bestFit="1" customWidth="1"/>
    <col min="3082" max="3082" width="14.88671875" style="5" customWidth="1"/>
    <col min="3083" max="3083" width="20.33203125" style="5" bestFit="1" customWidth="1"/>
    <col min="3084" max="3086" width="0" style="5" hidden="1" customWidth="1"/>
    <col min="3087" max="3087" width="18.109375" style="5" bestFit="1" customWidth="1"/>
    <col min="3088" max="3088" width="21" style="5" bestFit="1" customWidth="1"/>
    <col min="3089" max="3089" width="21.5546875" style="5" bestFit="1" customWidth="1"/>
    <col min="3090" max="3090" width="16.5546875" style="5" customWidth="1"/>
    <col min="3091" max="3092" width="19.109375" style="5" customWidth="1"/>
    <col min="3093" max="3093" width="20.88671875" style="5" customWidth="1"/>
    <col min="3094" max="3094" width="12.88671875" style="5" customWidth="1"/>
    <col min="3095" max="3095" width="13.109375" style="5" bestFit="1" customWidth="1"/>
    <col min="3096" max="3096" width="13.5546875" style="5" customWidth="1"/>
    <col min="3097" max="3097" width="12" style="5" bestFit="1" customWidth="1"/>
    <col min="3098" max="3098" width="10.88671875" style="5" bestFit="1" customWidth="1"/>
    <col min="3099" max="3328" width="9.109375" style="5"/>
    <col min="3329" max="3329" width="4.44140625" style="5" customWidth="1"/>
    <col min="3330" max="3330" width="0.33203125" style="5" customWidth="1"/>
    <col min="3331" max="3331" width="41.109375" style="5" bestFit="1" customWidth="1"/>
    <col min="3332" max="3332" width="8.109375" style="5" customWidth="1"/>
    <col min="3333" max="3333" width="22.33203125" style="5" bestFit="1" customWidth="1"/>
    <col min="3334" max="3334" width="0" style="5" hidden="1" customWidth="1"/>
    <col min="3335" max="3335" width="21.109375" style="5" bestFit="1" customWidth="1"/>
    <col min="3336" max="3336" width="21.109375" style="5" customWidth="1"/>
    <col min="3337" max="3337" width="21.109375" style="5" bestFit="1" customWidth="1"/>
    <col min="3338" max="3338" width="14.88671875" style="5" customWidth="1"/>
    <col min="3339" max="3339" width="20.33203125" style="5" bestFit="1" customWidth="1"/>
    <col min="3340" max="3342" width="0" style="5" hidden="1" customWidth="1"/>
    <col min="3343" max="3343" width="18.109375" style="5" bestFit="1" customWidth="1"/>
    <col min="3344" max="3344" width="21" style="5" bestFit="1" customWidth="1"/>
    <col min="3345" max="3345" width="21.5546875" style="5" bestFit="1" customWidth="1"/>
    <col min="3346" max="3346" width="16.5546875" style="5" customWidth="1"/>
    <col min="3347" max="3348" width="19.109375" style="5" customWidth="1"/>
    <col min="3349" max="3349" width="20.88671875" style="5" customWidth="1"/>
    <col min="3350" max="3350" width="12.88671875" style="5" customWidth="1"/>
    <col min="3351" max="3351" width="13.109375" style="5" bestFit="1" customWidth="1"/>
    <col min="3352" max="3352" width="13.5546875" style="5" customWidth="1"/>
    <col min="3353" max="3353" width="12" style="5" bestFit="1" customWidth="1"/>
    <col min="3354" max="3354" width="10.88671875" style="5" bestFit="1" customWidth="1"/>
    <col min="3355" max="3584" width="9.109375" style="5"/>
    <col min="3585" max="3585" width="4.44140625" style="5" customWidth="1"/>
    <col min="3586" max="3586" width="0.33203125" style="5" customWidth="1"/>
    <col min="3587" max="3587" width="41.109375" style="5" bestFit="1" customWidth="1"/>
    <col min="3588" max="3588" width="8.109375" style="5" customWidth="1"/>
    <col min="3589" max="3589" width="22.33203125" style="5" bestFit="1" customWidth="1"/>
    <col min="3590" max="3590" width="0" style="5" hidden="1" customWidth="1"/>
    <col min="3591" max="3591" width="21.109375" style="5" bestFit="1" customWidth="1"/>
    <col min="3592" max="3592" width="21.109375" style="5" customWidth="1"/>
    <col min="3593" max="3593" width="21.109375" style="5" bestFit="1" customWidth="1"/>
    <col min="3594" max="3594" width="14.88671875" style="5" customWidth="1"/>
    <col min="3595" max="3595" width="20.33203125" style="5" bestFit="1" customWidth="1"/>
    <col min="3596" max="3598" width="0" style="5" hidden="1" customWidth="1"/>
    <col min="3599" max="3599" width="18.109375" style="5" bestFit="1" customWidth="1"/>
    <col min="3600" max="3600" width="21" style="5" bestFit="1" customWidth="1"/>
    <col min="3601" max="3601" width="21.5546875" style="5" bestFit="1" customWidth="1"/>
    <col min="3602" max="3602" width="16.5546875" style="5" customWidth="1"/>
    <col min="3603" max="3604" width="19.109375" style="5" customWidth="1"/>
    <col min="3605" max="3605" width="20.88671875" style="5" customWidth="1"/>
    <col min="3606" max="3606" width="12.88671875" style="5" customWidth="1"/>
    <col min="3607" max="3607" width="13.109375" style="5" bestFit="1" customWidth="1"/>
    <col min="3608" max="3608" width="13.5546875" style="5" customWidth="1"/>
    <col min="3609" max="3609" width="12" style="5" bestFit="1" customWidth="1"/>
    <col min="3610" max="3610" width="10.88671875" style="5" bestFit="1" customWidth="1"/>
    <col min="3611" max="3840" width="9.109375" style="5"/>
    <col min="3841" max="3841" width="4.44140625" style="5" customWidth="1"/>
    <col min="3842" max="3842" width="0.33203125" style="5" customWidth="1"/>
    <col min="3843" max="3843" width="41.109375" style="5" bestFit="1" customWidth="1"/>
    <col min="3844" max="3844" width="8.109375" style="5" customWidth="1"/>
    <col min="3845" max="3845" width="22.33203125" style="5" bestFit="1" customWidth="1"/>
    <col min="3846" max="3846" width="0" style="5" hidden="1" customWidth="1"/>
    <col min="3847" max="3847" width="21.109375" style="5" bestFit="1" customWidth="1"/>
    <col min="3848" max="3848" width="21.109375" style="5" customWidth="1"/>
    <col min="3849" max="3849" width="21.109375" style="5" bestFit="1" customWidth="1"/>
    <col min="3850" max="3850" width="14.88671875" style="5" customWidth="1"/>
    <col min="3851" max="3851" width="20.33203125" style="5" bestFit="1" customWidth="1"/>
    <col min="3852" max="3854" width="0" style="5" hidden="1" customWidth="1"/>
    <col min="3855" max="3855" width="18.109375" style="5" bestFit="1" customWidth="1"/>
    <col min="3856" max="3856" width="21" style="5" bestFit="1" customWidth="1"/>
    <col min="3857" max="3857" width="21.5546875" style="5" bestFit="1" customWidth="1"/>
    <col min="3858" max="3858" width="16.5546875" style="5" customWidth="1"/>
    <col min="3859" max="3860" width="19.109375" style="5" customWidth="1"/>
    <col min="3861" max="3861" width="20.88671875" style="5" customWidth="1"/>
    <col min="3862" max="3862" width="12.88671875" style="5" customWidth="1"/>
    <col min="3863" max="3863" width="13.109375" style="5" bestFit="1" customWidth="1"/>
    <col min="3864" max="3864" width="13.5546875" style="5" customWidth="1"/>
    <col min="3865" max="3865" width="12" style="5" bestFit="1" customWidth="1"/>
    <col min="3866" max="3866" width="10.88671875" style="5" bestFit="1" customWidth="1"/>
    <col min="3867" max="4096" width="9.109375" style="5"/>
    <col min="4097" max="4097" width="4.44140625" style="5" customWidth="1"/>
    <col min="4098" max="4098" width="0.33203125" style="5" customWidth="1"/>
    <col min="4099" max="4099" width="41.109375" style="5" bestFit="1" customWidth="1"/>
    <col min="4100" max="4100" width="8.109375" style="5" customWidth="1"/>
    <col min="4101" max="4101" width="22.33203125" style="5" bestFit="1" customWidth="1"/>
    <col min="4102" max="4102" width="0" style="5" hidden="1" customWidth="1"/>
    <col min="4103" max="4103" width="21.109375" style="5" bestFit="1" customWidth="1"/>
    <col min="4104" max="4104" width="21.109375" style="5" customWidth="1"/>
    <col min="4105" max="4105" width="21.109375" style="5" bestFit="1" customWidth="1"/>
    <col min="4106" max="4106" width="14.88671875" style="5" customWidth="1"/>
    <col min="4107" max="4107" width="20.33203125" style="5" bestFit="1" customWidth="1"/>
    <col min="4108" max="4110" width="0" style="5" hidden="1" customWidth="1"/>
    <col min="4111" max="4111" width="18.109375" style="5" bestFit="1" customWidth="1"/>
    <col min="4112" max="4112" width="21" style="5" bestFit="1" customWidth="1"/>
    <col min="4113" max="4113" width="21.5546875" style="5" bestFit="1" customWidth="1"/>
    <col min="4114" max="4114" width="16.5546875" style="5" customWidth="1"/>
    <col min="4115" max="4116" width="19.109375" style="5" customWidth="1"/>
    <col min="4117" max="4117" width="20.88671875" style="5" customWidth="1"/>
    <col min="4118" max="4118" width="12.88671875" style="5" customWidth="1"/>
    <col min="4119" max="4119" width="13.109375" style="5" bestFit="1" customWidth="1"/>
    <col min="4120" max="4120" width="13.5546875" style="5" customWidth="1"/>
    <col min="4121" max="4121" width="12" style="5" bestFit="1" customWidth="1"/>
    <col min="4122" max="4122" width="10.88671875" style="5" bestFit="1" customWidth="1"/>
    <col min="4123" max="4352" width="9.109375" style="5"/>
    <col min="4353" max="4353" width="4.44140625" style="5" customWidth="1"/>
    <col min="4354" max="4354" width="0.33203125" style="5" customWidth="1"/>
    <col min="4355" max="4355" width="41.109375" style="5" bestFit="1" customWidth="1"/>
    <col min="4356" max="4356" width="8.109375" style="5" customWidth="1"/>
    <col min="4357" max="4357" width="22.33203125" style="5" bestFit="1" customWidth="1"/>
    <col min="4358" max="4358" width="0" style="5" hidden="1" customWidth="1"/>
    <col min="4359" max="4359" width="21.109375" style="5" bestFit="1" customWidth="1"/>
    <col min="4360" max="4360" width="21.109375" style="5" customWidth="1"/>
    <col min="4361" max="4361" width="21.109375" style="5" bestFit="1" customWidth="1"/>
    <col min="4362" max="4362" width="14.88671875" style="5" customWidth="1"/>
    <col min="4363" max="4363" width="20.33203125" style="5" bestFit="1" customWidth="1"/>
    <col min="4364" max="4366" width="0" style="5" hidden="1" customWidth="1"/>
    <col min="4367" max="4367" width="18.109375" style="5" bestFit="1" customWidth="1"/>
    <col min="4368" max="4368" width="21" style="5" bestFit="1" customWidth="1"/>
    <col min="4369" max="4369" width="21.5546875" style="5" bestFit="1" customWidth="1"/>
    <col min="4370" max="4370" width="16.5546875" style="5" customWidth="1"/>
    <col min="4371" max="4372" width="19.109375" style="5" customWidth="1"/>
    <col min="4373" max="4373" width="20.88671875" style="5" customWidth="1"/>
    <col min="4374" max="4374" width="12.88671875" style="5" customWidth="1"/>
    <col min="4375" max="4375" width="13.109375" style="5" bestFit="1" customWidth="1"/>
    <col min="4376" max="4376" width="13.5546875" style="5" customWidth="1"/>
    <col min="4377" max="4377" width="12" style="5" bestFit="1" customWidth="1"/>
    <col min="4378" max="4378" width="10.88671875" style="5" bestFit="1" customWidth="1"/>
    <col min="4379" max="4608" width="9.109375" style="5"/>
    <col min="4609" max="4609" width="4.44140625" style="5" customWidth="1"/>
    <col min="4610" max="4610" width="0.33203125" style="5" customWidth="1"/>
    <col min="4611" max="4611" width="41.109375" style="5" bestFit="1" customWidth="1"/>
    <col min="4612" max="4612" width="8.109375" style="5" customWidth="1"/>
    <col min="4613" max="4613" width="22.33203125" style="5" bestFit="1" customWidth="1"/>
    <col min="4614" max="4614" width="0" style="5" hidden="1" customWidth="1"/>
    <col min="4615" max="4615" width="21.109375" style="5" bestFit="1" customWidth="1"/>
    <col min="4616" max="4616" width="21.109375" style="5" customWidth="1"/>
    <col min="4617" max="4617" width="21.109375" style="5" bestFit="1" customWidth="1"/>
    <col min="4618" max="4618" width="14.88671875" style="5" customWidth="1"/>
    <col min="4619" max="4619" width="20.33203125" style="5" bestFit="1" customWidth="1"/>
    <col min="4620" max="4622" width="0" style="5" hidden="1" customWidth="1"/>
    <col min="4623" max="4623" width="18.109375" style="5" bestFit="1" customWidth="1"/>
    <col min="4624" max="4624" width="21" style="5" bestFit="1" customWidth="1"/>
    <col min="4625" max="4625" width="21.5546875" style="5" bestFit="1" customWidth="1"/>
    <col min="4626" max="4626" width="16.5546875" style="5" customWidth="1"/>
    <col min="4627" max="4628" width="19.109375" style="5" customWidth="1"/>
    <col min="4629" max="4629" width="20.88671875" style="5" customWidth="1"/>
    <col min="4630" max="4630" width="12.88671875" style="5" customWidth="1"/>
    <col min="4631" max="4631" width="13.109375" style="5" bestFit="1" customWidth="1"/>
    <col min="4632" max="4632" width="13.5546875" style="5" customWidth="1"/>
    <col min="4633" max="4633" width="12" style="5" bestFit="1" customWidth="1"/>
    <col min="4634" max="4634" width="10.88671875" style="5" bestFit="1" customWidth="1"/>
    <col min="4635" max="4864" width="9.109375" style="5"/>
    <col min="4865" max="4865" width="4.44140625" style="5" customWidth="1"/>
    <col min="4866" max="4866" width="0.33203125" style="5" customWidth="1"/>
    <col min="4867" max="4867" width="41.109375" style="5" bestFit="1" customWidth="1"/>
    <col min="4868" max="4868" width="8.109375" style="5" customWidth="1"/>
    <col min="4869" max="4869" width="22.33203125" style="5" bestFit="1" customWidth="1"/>
    <col min="4870" max="4870" width="0" style="5" hidden="1" customWidth="1"/>
    <col min="4871" max="4871" width="21.109375" style="5" bestFit="1" customWidth="1"/>
    <col min="4872" max="4872" width="21.109375" style="5" customWidth="1"/>
    <col min="4873" max="4873" width="21.109375" style="5" bestFit="1" customWidth="1"/>
    <col min="4874" max="4874" width="14.88671875" style="5" customWidth="1"/>
    <col min="4875" max="4875" width="20.33203125" style="5" bestFit="1" customWidth="1"/>
    <col min="4876" max="4878" width="0" style="5" hidden="1" customWidth="1"/>
    <col min="4879" max="4879" width="18.109375" style="5" bestFit="1" customWidth="1"/>
    <col min="4880" max="4880" width="21" style="5" bestFit="1" customWidth="1"/>
    <col min="4881" max="4881" width="21.5546875" style="5" bestFit="1" customWidth="1"/>
    <col min="4882" max="4882" width="16.5546875" style="5" customWidth="1"/>
    <col min="4883" max="4884" width="19.109375" style="5" customWidth="1"/>
    <col min="4885" max="4885" width="20.88671875" style="5" customWidth="1"/>
    <col min="4886" max="4886" width="12.88671875" style="5" customWidth="1"/>
    <col min="4887" max="4887" width="13.109375" style="5" bestFit="1" customWidth="1"/>
    <col min="4888" max="4888" width="13.5546875" style="5" customWidth="1"/>
    <col min="4889" max="4889" width="12" style="5" bestFit="1" customWidth="1"/>
    <col min="4890" max="4890" width="10.88671875" style="5" bestFit="1" customWidth="1"/>
    <col min="4891" max="5120" width="9.109375" style="5"/>
    <col min="5121" max="5121" width="4.44140625" style="5" customWidth="1"/>
    <col min="5122" max="5122" width="0.33203125" style="5" customWidth="1"/>
    <col min="5123" max="5123" width="41.109375" style="5" bestFit="1" customWidth="1"/>
    <col min="5124" max="5124" width="8.109375" style="5" customWidth="1"/>
    <col min="5125" max="5125" width="22.33203125" style="5" bestFit="1" customWidth="1"/>
    <col min="5126" max="5126" width="0" style="5" hidden="1" customWidth="1"/>
    <col min="5127" max="5127" width="21.109375" style="5" bestFit="1" customWidth="1"/>
    <col min="5128" max="5128" width="21.109375" style="5" customWidth="1"/>
    <col min="5129" max="5129" width="21.109375" style="5" bestFit="1" customWidth="1"/>
    <col min="5130" max="5130" width="14.88671875" style="5" customWidth="1"/>
    <col min="5131" max="5131" width="20.33203125" style="5" bestFit="1" customWidth="1"/>
    <col min="5132" max="5134" width="0" style="5" hidden="1" customWidth="1"/>
    <col min="5135" max="5135" width="18.109375" style="5" bestFit="1" customWidth="1"/>
    <col min="5136" max="5136" width="21" style="5" bestFit="1" customWidth="1"/>
    <col min="5137" max="5137" width="21.5546875" style="5" bestFit="1" customWidth="1"/>
    <col min="5138" max="5138" width="16.5546875" style="5" customWidth="1"/>
    <col min="5139" max="5140" width="19.109375" style="5" customWidth="1"/>
    <col min="5141" max="5141" width="20.88671875" style="5" customWidth="1"/>
    <col min="5142" max="5142" width="12.88671875" style="5" customWidth="1"/>
    <col min="5143" max="5143" width="13.109375" style="5" bestFit="1" customWidth="1"/>
    <col min="5144" max="5144" width="13.5546875" style="5" customWidth="1"/>
    <col min="5145" max="5145" width="12" style="5" bestFit="1" customWidth="1"/>
    <col min="5146" max="5146" width="10.88671875" style="5" bestFit="1" customWidth="1"/>
    <col min="5147" max="5376" width="9.109375" style="5"/>
    <col min="5377" max="5377" width="4.44140625" style="5" customWidth="1"/>
    <col min="5378" max="5378" width="0.33203125" style="5" customWidth="1"/>
    <col min="5379" max="5379" width="41.109375" style="5" bestFit="1" customWidth="1"/>
    <col min="5380" max="5380" width="8.109375" style="5" customWidth="1"/>
    <col min="5381" max="5381" width="22.33203125" style="5" bestFit="1" customWidth="1"/>
    <col min="5382" max="5382" width="0" style="5" hidden="1" customWidth="1"/>
    <col min="5383" max="5383" width="21.109375" style="5" bestFit="1" customWidth="1"/>
    <col min="5384" max="5384" width="21.109375" style="5" customWidth="1"/>
    <col min="5385" max="5385" width="21.109375" style="5" bestFit="1" customWidth="1"/>
    <col min="5386" max="5386" width="14.88671875" style="5" customWidth="1"/>
    <col min="5387" max="5387" width="20.33203125" style="5" bestFit="1" customWidth="1"/>
    <col min="5388" max="5390" width="0" style="5" hidden="1" customWidth="1"/>
    <col min="5391" max="5391" width="18.109375" style="5" bestFit="1" customWidth="1"/>
    <col min="5392" max="5392" width="21" style="5" bestFit="1" customWidth="1"/>
    <col min="5393" max="5393" width="21.5546875" style="5" bestFit="1" customWidth="1"/>
    <col min="5394" max="5394" width="16.5546875" style="5" customWidth="1"/>
    <col min="5395" max="5396" width="19.109375" style="5" customWidth="1"/>
    <col min="5397" max="5397" width="20.88671875" style="5" customWidth="1"/>
    <col min="5398" max="5398" width="12.88671875" style="5" customWidth="1"/>
    <col min="5399" max="5399" width="13.109375" style="5" bestFit="1" customWidth="1"/>
    <col min="5400" max="5400" width="13.5546875" style="5" customWidth="1"/>
    <col min="5401" max="5401" width="12" style="5" bestFit="1" customWidth="1"/>
    <col min="5402" max="5402" width="10.88671875" style="5" bestFit="1" customWidth="1"/>
    <col min="5403" max="5632" width="9.109375" style="5"/>
    <col min="5633" max="5633" width="4.44140625" style="5" customWidth="1"/>
    <col min="5634" max="5634" width="0.33203125" style="5" customWidth="1"/>
    <col min="5635" max="5635" width="41.109375" style="5" bestFit="1" customWidth="1"/>
    <col min="5636" max="5636" width="8.109375" style="5" customWidth="1"/>
    <col min="5637" max="5637" width="22.33203125" style="5" bestFit="1" customWidth="1"/>
    <col min="5638" max="5638" width="0" style="5" hidden="1" customWidth="1"/>
    <col min="5639" max="5639" width="21.109375" style="5" bestFit="1" customWidth="1"/>
    <col min="5640" max="5640" width="21.109375" style="5" customWidth="1"/>
    <col min="5641" max="5641" width="21.109375" style="5" bestFit="1" customWidth="1"/>
    <col min="5642" max="5642" width="14.88671875" style="5" customWidth="1"/>
    <col min="5643" max="5643" width="20.33203125" style="5" bestFit="1" customWidth="1"/>
    <col min="5644" max="5646" width="0" style="5" hidden="1" customWidth="1"/>
    <col min="5647" max="5647" width="18.109375" style="5" bestFit="1" customWidth="1"/>
    <col min="5648" max="5648" width="21" style="5" bestFit="1" customWidth="1"/>
    <col min="5649" max="5649" width="21.5546875" style="5" bestFit="1" customWidth="1"/>
    <col min="5650" max="5650" width="16.5546875" style="5" customWidth="1"/>
    <col min="5651" max="5652" width="19.109375" style="5" customWidth="1"/>
    <col min="5653" max="5653" width="20.88671875" style="5" customWidth="1"/>
    <col min="5654" max="5654" width="12.88671875" style="5" customWidth="1"/>
    <col min="5655" max="5655" width="13.109375" style="5" bestFit="1" customWidth="1"/>
    <col min="5656" max="5656" width="13.5546875" style="5" customWidth="1"/>
    <col min="5657" max="5657" width="12" style="5" bestFit="1" customWidth="1"/>
    <col min="5658" max="5658" width="10.88671875" style="5" bestFit="1" customWidth="1"/>
    <col min="5659" max="5888" width="9.109375" style="5"/>
    <col min="5889" max="5889" width="4.44140625" style="5" customWidth="1"/>
    <col min="5890" max="5890" width="0.33203125" style="5" customWidth="1"/>
    <col min="5891" max="5891" width="41.109375" style="5" bestFit="1" customWidth="1"/>
    <col min="5892" max="5892" width="8.109375" style="5" customWidth="1"/>
    <col min="5893" max="5893" width="22.33203125" style="5" bestFit="1" customWidth="1"/>
    <col min="5894" max="5894" width="0" style="5" hidden="1" customWidth="1"/>
    <col min="5895" max="5895" width="21.109375" style="5" bestFit="1" customWidth="1"/>
    <col min="5896" max="5896" width="21.109375" style="5" customWidth="1"/>
    <col min="5897" max="5897" width="21.109375" style="5" bestFit="1" customWidth="1"/>
    <col min="5898" max="5898" width="14.88671875" style="5" customWidth="1"/>
    <col min="5899" max="5899" width="20.33203125" style="5" bestFit="1" customWidth="1"/>
    <col min="5900" max="5902" width="0" style="5" hidden="1" customWidth="1"/>
    <col min="5903" max="5903" width="18.109375" style="5" bestFit="1" customWidth="1"/>
    <col min="5904" max="5904" width="21" style="5" bestFit="1" customWidth="1"/>
    <col min="5905" max="5905" width="21.5546875" style="5" bestFit="1" customWidth="1"/>
    <col min="5906" max="5906" width="16.5546875" style="5" customWidth="1"/>
    <col min="5907" max="5908" width="19.109375" style="5" customWidth="1"/>
    <col min="5909" max="5909" width="20.88671875" style="5" customWidth="1"/>
    <col min="5910" max="5910" width="12.88671875" style="5" customWidth="1"/>
    <col min="5911" max="5911" width="13.109375" style="5" bestFit="1" customWidth="1"/>
    <col min="5912" max="5912" width="13.5546875" style="5" customWidth="1"/>
    <col min="5913" max="5913" width="12" style="5" bestFit="1" customWidth="1"/>
    <col min="5914" max="5914" width="10.88671875" style="5" bestFit="1" customWidth="1"/>
    <col min="5915" max="6144" width="9.109375" style="5"/>
    <col min="6145" max="6145" width="4.44140625" style="5" customWidth="1"/>
    <col min="6146" max="6146" width="0.33203125" style="5" customWidth="1"/>
    <col min="6147" max="6147" width="41.109375" style="5" bestFit="1" customWidth="1"/>
    <col min="6148" max="6148" width="8.109375" style="5" customWidth="1"/>
    <col min="6149" max="6149" width="22.33203125" style="5" bestFit="1" customWidth="1"/>
    <col min="6150" max="6150" width="0" style="5" hidden="1" customWidth="1"/>
    <col min="6151" max="6151" width="21.109375" style="5" bestFit="1" customWidth="1"/>
    <col min="6152" max="6152" width="21.109375" style="5" customWidth="1"/>
    <col min="6153" max="6153" width="21.109375" style="5" bestFit="1" customWidth="1"/>
    <col min="6154" max="6154" width="14.88671875" style="5" customWidth="1"/>
    <col min="6155" max="6155" width="20.33203125" style="5" bestFit="1" customWidth="1"/>
    <col min="6156" max="6158" width="0" style="5" hidden="1" customWidth="1"/>
    <col min="6159" max="6159" width="18.109375" style="5" bestFit="1" customWidth="1"/>
    <col min="6160" max="6160" width="21" style="5" bestFit="1" customWidth="1"/>
    <col min="6161" max="6161" width="21.5546875" style="5" bestFit="1" customWidth="1"/>
    <col min="6162" max="6162" width="16.5546875" style="5" customWidth="1"/>
    <col min="6163" max="6164" width="19.109375" style="5" customWidth="1"/>
    <col min="6165" max="6165" width="20.88671875" style="5" customWidth="1"/>
    <col min="6166" max="6166" width="12.88671875" style="5" customWidth="1"/>
    <col min="6167" max="6167" width="13.109375" style="5" bestFit="1" customWidth="1"/>
    <col min="6168" max="6168" width="13.5546875" style="5" customWidth="1"/>
    <col min="6169" max="6169" width="12" style="5" bestFit="1" customWidth="1"/>
    <col min="6170" max="6170" width="10.88671875" style="5" bestFit="1" customWidth="1"/>
    <col min="6171" max="6400" width="9.109375" style="5"/>
    <col min="6401" max="6401" width="4.44140625" style="5" customWidth="1"/>
    <col min="6402" max="6402" width="0.33203125" style="5" customWidth="1"/>
    <col min="6403" max="6403" width="41.109375" style="5" bestFit="1" customWidth="1"/>
    <col min="6404" max="6404" width="8.109375" style="5" customWidth="1"/>
    <col min="6405" max="6405" width="22.33203125" style="5" bestFit="1" customWidth="1"/>
    <col min="6406" max="6406" width="0" style="5" hidden="1" customWidth="1"/>
    <col min="6407" max="6407" width="21.109375" style="5" bestFit="1" customWidth="1"/>
    <col min="6408" max="6408" width="21.109375" style="5" customWidth="1"/>
    <col min="6409" max="6409" width="21.109375" style="5" bestFit="1" customWidth="1"/>
    <col min="6410" max="6410" width="14.88671875" style="5" customWidth="1"/>
    <col min="6411" max="6411" width="20.33203125" style="5" bestFit="1" customWidth="1"/>
    <col min="6412" max="6414" width="0" style="5" hidden="1" customWidth="1"/>
    <col min="6415" max="6415" width="18.109375" style="5" bestFit="1" customWidth="1"/>
    <col min="6416" max="6416" width="21" style="5" bestFit="1" customWidth="1"/>
    <col min="6417" max="6417" width="21.5546875" style="5" bestFit="1" customWidth="1"/>
    <col min="6418" max="6418" width="16.5546875" style="5" customWidth="1"/>
    <col min="6419" max="6420" width="19.109375" style="5" customWidth="1"/>
    <col min="6421" max="6421" width="20.88671875" style="5" customWidth="1"/>
    <col min="6422" max="6422" width="12.88671875" style="5" customWidth="1"/>
    <col min="6423" max="6423" width="13.109375" style="5" bestFit="1" customWidth="1"/>
    <col min="6424" max="6424" width="13.5546875" style="5" customWidth="1"/>
    <col min="6425" max="6425" width="12" style="5" bestFit="1" customWidth="1"/>
    <col min="6426" max="6426" width="10.88671875" style="5" bestFit="1" customWidth="1"/>
    <col min="6427" max="6656" width="9.109375" style="5"/>
    <col min="6657" max="6657" width="4.44140625" style="5" customWidth="1"/>
    <col min="6658" max="6658" width="0.33203125" style="5" customWidth="1"/>
    <col min="6659" max="6659" width="41.109375" style="5" bestFit="1" customWidth="1"/>
    <col min="6660" max="6660" width="8.109375" style="5" customWidth="1"/>
    <col min="6661" max="6661" width="22.33203125" style="5" bestFit="1" customWidth="1"/>
    <col min="6662" max="6662" width="0" style="5" hidden="1" customWidth="1"/>
    <col min="6663" max="6663" width="21.109375" style="5" bestFit="1" customWidth="1"/>
    <col min="6664" max="6664" width="21.109375" style="5" customWidth="1"/>
    <col min="6665" max="6665" width="21.109375" style="5" bestFit="1" customWidth="1"/>
    <col min="6666" max="6666" width="14.88671875" style="5" customWidth="1"/>
    <col min="6667" max="6667" width="20.33203125" style="5" bestFit="1" customWidth="1"/>
    <col min="6668" max="6670" width="0" style="5" hidden="1" customWidth="1"/>
    <col min="6671" max="6671" width="18.109375" style="5" bestFit="1" customWidth="1"/>
    <col min="6672" max="6672" width="21" style="5" bestFit="1" customWidth="1"/>
    <col min="6673" max="6673" width="21.5546875" style="5" bestFit="1" customWidth="1"/>
    <col min="6674" max="6674" width="16.5546875" style="5" customWidth="1"/>
    <col min="6675" max="6676" width="19.109375" style="5" customWidth="1"/>
    <col min="6677" max="6677" width="20.88671875" style="5" customWidth="1"/>
    <col min="6678" max="6678" width="12.88671875" style="5" customWidth="1"/>
    <col min="6679" max="6679" width="13.109375" style="5" bestFit="1" customWidth="1"/>
    <col min="6680" max="6680" width="13.5546875" style="5" customWidth="1"/>
    <col min="6681" max="6681" width="12" style="5" bestFit="1" customWidth="1"/>
    <col min="6682" max="6682" width="10.88671875" style="5" bestFit="1" customWidth="1"/>
    <col min="6683" max="6912" width="9.109375" style="5"/>
    <col min="6913" max="6913" width="4.44140625" style="5" customWidth="1"/>
    <col min="6914" max="6914" width="0.33203125" style="5" customWidth="1"/>
    <col min="6915" max="6915" width="41.109375" style="5" bestFit="1" customWidth="1"/>
    <col min="6916" max="6916" width="8.109375" style="5" customWidth="1"/>
    <col min="6917" max="6917" width="22.33203125" style="5" bestFit="1" customWidth="1"/>
    <col min="6918" max="6918" width="0" style="5" hidden="1" customWidth="1"/>
    <col min="6919" max="6919" width="21.109375" style="5" bestFit="1" customWidth="1"/>
    <col min="6920" max="6920" width="21.109375" style="5" customWidth="1"/>
    <col min="6921" max="6921" width="21.109375" style="5" bestFit="1" customWidth="1"/>
    <col min="6922" max="6922" width="14.88671875" style="5" customWidth="1"/>
    <col min="6923" max="6923" width="20.33203125" style="5" bestFit="1" customWidth="1"/>
    <col min="6924" max="6926" width="0" style="5" hidden="1" customWidth="1"/>
    <col min="6927" max="6927" width="18.109375" style="5" bestFit="1" customWidth="1"/>
    <col min="6928" max="6928" width="21" style="5" bestFit="1" customWidth="1"/>
    <col min="6929" max="6929" width="21.5546875" style="5" bestFit="1" customWidth="1"/>
    <col min="6930" max="6930" width="16.5546875" style="5" customWidth="1"/>
    <col min="6931" max="6932" width="19.109375" style="5" customWidth="1"/>
    <col min="6933" max="6933" width="20.88671875" style="5" customWidth="1"/>
    <col min="6934" max="6934" width="12.88671875" style="5" customWidth="1"/>
    <col min="6935" max="6935" width="13.109375" style="5" bestFit="1" customWidth="1"/>
    <col min="6936" max="6936" width="13.5546875" style="5" customWidth="1"/>
    <col min="6937" max="6937" width="12" style="5" bestFit="1" customWidth="1"/>
    <col min="6938" max="6938" width="10.88671875" style="5" bestFit="1" customWidth="1"/>
    <col min="6939" max="7168" width="9.109375" style="5"/>
    <col min="7169" max="7169" width="4.44140625" style="5" customWidth="1"/>
    <col min="7170" max="7170" width="0.33203125" style="5" customWidth="1"/>
    <col min="7171" max="7171" width="41.109375" style="5" bestFit="1" customWidth="1"/>
    <col min="7172" max="7172" width="8.109375" style="5" customWidth="1"/>
    <col min="7173" max="7173" width="22.33203125" style="5" bestFit="1" customWidth="1"/>
    <col min="7174" max="7174" width="0" style="5" hidden="1" customWidth="1"/>
    <col min="7175" max="7175" width="21.109375" style="5" bestFit="1" customWidth="1"/>
    <col min="7176" max="7176" width="21.109375" style="5" customWidth="1"/>
    <col min="7177" max="7177" width="21.109375" style="5" bestFit="1" customWidth="1"/>
    <col min="7178" max="7178" width="14.88671875" style="5" customWidth="1"/>
    <col min="7179" max="7179" width="20.33203125" style="5" bestFit="1" customWidth="1"/>
    <col min="7180" max="7182" width="0" style="5" hidden="1" customWidth="1"/>
    <col min="7183" max="7183" width="18.109375" style="5" bestFit="1" customWidth="1"/>
    <col min="7184" max="7184" width="21" style="5" bestFit="1" customWidth="1"/>
    <col min="7185" max="7185" width="21.5546875" style="5" bestFit="1" customWidth="1"/>
    <col min="7186" max="7186" width="16.5546875" style="5" customWidth="1"/>
    <col min="7187" max="7188" width="19.109375" style="5" customWidth="1"/>
    <col min="7189" max="7189" width="20.88671875" style="5" customWidth="1"/>
    <col min="7190" max="7190" width="12.88671875" style="5" customWidth="1"/>
    <col min="7191" max="7191" width="13.109375" style="5" bestFit="1" customWidth="1"/>
    <col min="7192" max="7192" width="13.5546875" style="5" customWidth="1"/>
    <col min="7193" max="7193" width="12" style="5" bestFit="1" customWidth="1"/>
    <col min="7194" max="7194" width="10.88671875" style="5" bestFit="1" customWidth="1"/>
    <col min="7195" max="7424" width="9.109375" style="5"/>
    <col min="7425" max="7425" width="4.44140625" style="5" customWidth="1"/>
    <col min="7426" max="7426" width="0.33203125" style="5" customWidth="1"/>
    <col min="7427" max="7427" width="41.109375" style="5" bestFit="1" customWidth="1"/>
    <col min="7428" max="7428" width="8.109375" style="5" customWidth="1"/>
    <col min="7429" max="7429" width="22.33203125" style="5" bestFit="1" customWidth="1"/>
    <col min="7430" max="7430" width="0" style="5" hidden="1" customWidth="1"/>
    <col min="7431" max="7431" width="21.109375" style="5" bestFit="1" customWidth="1"/>
    <col min="7432" max="7432" width="21.109375" style="5" customWidth="1"/>
    <col min="7433" max="7433" width="21.109375" style="5" bestFit="1" customWidth="1"/>
    <col min="7434" max="7434" width="14.88671875" style="5" customWidth="1"/>
    <col min="7435" max="7435" width="20.33203125" style="5" bestFit="1" customWidth="1"/>
    <col min="7436" max="7438" width="0" style="5" hidden="1" customWidth="1"/>
    <col min="7439" max="7439" width="18.109375" style="5" bestFit="1" customWidth="1"/>
    <col min="7440" max="7440" width="21" style="5" bestFit="1" customWidth="1"/>
    <col min="7441" max="7441" width="21.5546875" style="5" bestFit="1" customWidth="1"/>
    <col min="7442" max="7442" width="16.5546875" style="5" customWidth="1"/>
    <col min="7443" max="7444" width="19.109375" style="5" customWidth="1"/>
    <col min="7445" max="7445" width="20.88671875" style="5" customWidth="1"/>
    <col min="7446" max="7446" width="12.88671875" style="5" customWidth="1"/>
    <col min="7447" max="7447" width="13.109375" style="5" bestFit="1" customWidth="1"/>
    <col min="7448" max="7448" width="13.5546875" style="5" customWidth="1"/>
    <col min="7449" max="7449" width="12" style="5" bestFit="1" customWidth="1"/>
    <col min="7450" max="7450" width="10.88671875" style="5" bestFit="1" customWidth="1"/>
    <col min="7451" max="7680" width="9.109375" style="5"/>
    <col min="7681" max="7681" width="4.44140625" style="5" customWidth="1"/>
    <col min="7682" max="7682" width="0.33203125" style="5" customWidth="1"/>
    <col min="7683" max="7683" width="41.109375" style="5" bestFit="1" customWidth="1"/>
    <col min="7684" max="7684" width="8.109375" style="5" customWidth="1"/>
    <col min="7685" max="7685" width="22.33203125" style="5" bestFit="1" customWidth="1"/>
    <col min="7686" max="7686" width="0" style="5" hidden="1" customWidth="1"/>
    <col min="7687" max="7687" width="21.109375" style="5" bestFit="1" customWidth="1"/>
    <col min="7688" max="7688" width="21.109375" style="5" customWidth="1"/>
    <col min="7689" max="7689" width="21.109375" style="5" bestFit="1" customWidth="1"/>
    <col min="7690" max="7690" width="14.88671875" style="5" customWidth="1"/>
    <col min="7691" max="7691" width="20.33203125" style="5" bestFit="1" customWidth="1"/>
    <col min="7692" max="7694" width="0" style="5" hidden="1" customWidth="1"/>
    <col min="7695" max="7695" width="18.109375" style="5" bestFit="1" customWidth="1"/>
    <col min="7696" max="7696" width="21" style="5" bestFit="1" customWidth="1"/>
    <col min="7697" max="7697" width="21.5546875" style="5" bestFit="1" customWidth="1"/>
    <col min="7698" max="7698" width="16.5546875" style="5" customWidth="1"/>
    <col min="7699" max="7700" width="19.109375" style="5" customWidth="1"/>
    <col min="7701" max="7701" width="20.88671875" style="5" customWidth="1"/>
    <col min="7702" max="7702" width="12.88671875" style="5" customWidth="1"/>
    <col min="7703" max="7703" width="13.109375" style="5" bestFit="1" customWidth="1"/>
    <col min="7704" max="7704" width="13.5546875" style="5" customWidth="1"/>
    <col min="7705" max="7705" width="12" style="5" bestFit="1" customWidth="1"/>
    <col min="7706" max="7706" width="10.88671875" style="5" bestFit="1" customWidth="1"/>
    <col min="7707" max="7936" width="9.109375" style="5"/>
    <col min="7937" max="7937" width="4.44140625" style="5" customWidth="1"/>
    <col min="7938" max="7938" width="0.33203125" style="5" customWidth="1"/>
    <col min="7939" max="7939" width="41.109375" style="5" bestFit="1" customWidth="1"/>
    <col min="7940" max="7940" width="8.109375" style="5" customWidth="1"/>
    <col min="7941" max="7941" width="22.33203125" style="5" bestFit="1" customWidth="1"/>
    <col min="7942" max="7942" width="0" style="5" hidden="1" customWidth="1"/>
    <col min="7943" max="7943" width="21.109375" style="5" bestFit="1" customWidth="1"/>
    <col min="7944" max="7944" width="21.109375" style="5" customWidth="1"/>
    <col min="7945" max="7945" width="21.109375" style="5" bestFit="1" customWidth="1"/>
    <col min="7946" max="7946" width="14.88671875" style="5" customWidth="1"/>
    <col min="7947" max="7947" width="20.33203125" style="5" bestFit="1" customWidth="1"/>
    <col min="7948" max="7950" width="0" style="5" hidden="1" customWidth="1"/>
    <col min="7951" max="7951" width="18.109375" style="5" bestFit="1" customWidth="1"/>
    <col min="7952" max="7952" width="21" style="5" bestFit="1" customWidth="1"/>
    <col min="7953" max="7953" width="21.5546875" style="5" bestFit="1" customWidth="1"/>
    <col min="7954" max="7954" width="16.5546875" style="5" customWidth="1"/>
    <col min="7955" max="7956" width="19.109375" style="5" customWidth="1"/>
    <col min="7957" max="7957" width="20.88671875" style="5" customWidth="1"/>
    <col min="7958" max="7958" width="12.88671875" style="5" customWidth="1"/>
    <col min="7959" max="7959" width="13.109375" style="5" bestFit="1" customWidth="1"/>
    <col min="7960" max="7960" width="13.5546875" style="5" customWidth="1"/>
    <col min="7961" max="7961" width="12" style="5" bestFit="1" customWidth="1"/>
    <col min="7962" max="7962" width="10.88671875" style="5" bestFit="1" customWidth="1"/>
    <col min="7963" max="8192" width="9.109375" style="5"/>
    <col min="8193" max="8193" width="4.44140625" style="5" customWidth="1"/>
    <col min="8194" max="8194" width="0.33203125" style="5" customWidth="1"/>
    <col min="8195" max="8195" width="41.109375" style="5" bestFit="1" customWidth="1"/>
    <col min="8196" max="8196" width="8.109375" style="5" customWidth="1"/>
    <col min="8197" max="8197" width="22.33203125" style="5" bestFit="1" customWidth="1"/>
    <col min="8198" max="8198" width="0" style="5" hidden="1" customWidth="1"/>
    <col min="8199" max="8199" width="21.109375" style="5" bestFit="1" customWidth="1"/>
    <col min="8200" max="8200" width="21.109375" style="5" customWidth="1"/>
    <col min="8201" max="8201" width="21.109375" style="5" bestFit="1" customWidth="1"/>
    <col min="8202" max="8202" width="14.88671875" style="5" customWidth="1"/>
    <col min="8203" max="8203" width="20.33203125" style="5" bestFit="1" customWidth="1"/>
    <col min="8204" max="8206" width="0" style="5" hidden="1" customWidth="1"/>
    <col min="8207" max="8207" width="18.109375" style="5" bestFit="1" customWidth="1"/>
    <col min="8208" max="8208" width="21" style="5" bestFit="1" customWidth="1"/>
    <col min="8209" max="8209" width="21.5546875" style="5" bestFit="1" customWidth="1"/>
    <col min="8210" max="8210" width="16.5546875" style="5" customWidth="1"/>
    <col min="8211" max="8212" width="19.109375" style="5" customWidth="1"/>
    <col min="8213" max="8213" width="20.88671875" style="5" customWidth="1"/>
    <col min="8214" max="8214" width="12.88671875" style="5" customWidth="1"/>
    <col min="8215" max="8215" width="13.109375" style="5" bestFit="1" customWidth="1"/>
    <col min="8216" max="8216" width="13.5546875" style="5" customWidth="1"/>
    <col min="8217" max="8217" width="12" style="5" bestFit="1" customWidth="1"/>
    <col min="8218" max="8218" width="10.88671875" style="5" bestFit="1" customWidth="1"/>
    <col min="8219" max="8448" width="9.109375" style="5"/>
    <col min="8449" max="8449" width="4.44140625" style="5" customWidth="1"/>
    <col min="8450" max="8450" width="0.33203125" style="5" customWidth="1"/>
    <col min="8451" max="8451" width="41.109375" style="5" bestFit="1" customWidth="1"/>
    <col min="8452" max="8452" width="8.109375" style="5" customWidth="1"/>
    <col min="8453" max="8453" width="22.33203125" style="5" bestFit="1" customWidth="1"/>
    <col min="8454" max="8454" width="0" style="5" hidden="1" customWidth="1"/>
    <col min="8455" max="8455" width="21.109375" style="5" bestFit="1" customWidth="1"/>
    <col min="8456" max="8456" width="21.109375" style="5" customWidth="1"/>
    <col min="8457" max="8457" width="21.109375" style="5" bestFit="1" customWidth="1"/>
    <col min="8458" max="8458" width="14.88671875" style="5" customWidth="1"/>
    <col min="8459" max="8459" width="20.33203125" style="5" bestFit="1" customWidth="1"/>
    <col min="8460" max="8462" width="0" style="5" hidden="1" customWidth="1"/>
    <col min="8463" max="8463" width="18.109375" style="5" bestFit="1" customWidth="1"/>
    <col min="8464" max="8464" width="21" style="5" bestFit="1" customWidth="1"/>
    <col min="8465" max="8465" width="21.5546875" style="5" bestFit="1" customWidth="1"/>
    <col min="8466" max="8466" width="16.5546875" style="5" customWidth="1"/>
    <col min="8467" max="8468" width="19.109375" style="5" customWidth="1"/>
    <col min="8469" max="8469" width="20.88671875" style="5" customWidth="1"/>
    <col min="8470" max="8470" width="12.88671875" style="5" customWidth="1"/>
    <col min="8471" max="8471" width="13.109375" style="5" bestFit="1" customWidth="1"/>
    <col min="8472" max="8472" width="13.5546875" style="5" customWidth="1"/>
    <col min="8473" max="8473" width="12" style="5" bestFit="1" customWidth="1"/>
    <col min="8474" max="8474" width="10.88671875" style="5" bestFit="1" customWidth="1"/>
    <col min="8475" max="8704" width="9.109375" style="5"/>
    <col min="8705" max="8705" width="4.44140625" style="5" customWidth="1"/>
    <col min="8706" max="8706" width="0.33203125" style="5" customWidth="1"/>
    <col min="8707" max="8707" width="41.109375" style="5" bestFit="1" customWidth="1"/>
    <col min="8708" max="8708" width="8.109375" style="5" customWidth="1"/>
    <col min="8709" max="8709" width="22.33203125" style="5" bestFit="1" customWidth="1"/>
    <col min="8710" max="8710" width="0" style="5" hidden="1" customWidth="1"/>
    <col min="8711" max="8711" width="21.109375" style="5" bestFit="1" customWidth="1"/>
    <col min="8712" max="8712" width="21.109375" style="5" customWidth="1"/>
    <col min="8713" max="8713" width="21.109375" style="5" bestFit="1" customWidth="1"/>
    <col min="8714" max="8714" width="14.88671875" style="5" customWidth="1"/>
    <col min="8715" max="8715" width="20.33203125" style="5" bestFit="1" customWidth="1"/>
    <col min="8716" max="8718" width="0" style="5" hidden="1" customWidth="1"/>
    <col min="8719" max="8719" width="18.109375" style="5" bestFit="1" customWidth="1"/>
    <col min="8720" max="8720" width="21" style="5" bestFit="1" customWidth="1"/>
    <col min="8721" max="8721" width="21.5546875" style="5" bestFit="1" customWidth="1"/>
    <col min="8722" max="8722" width="16.5546875" style="5" customWidth="1"/>
    <col min="8723" max="8724" width="19.109375" style="5" customWidth="1"/>
    <col min="8725" max="8725" width="20.88671875" style="5" customWidth="1"/>
    <col min="8726" max="8726" width="12.88671875" style="5" customWidth="1"/>
    <col min="8727" max="8727" width="13.109375" style="5" bestFit="1" customWidth="1"/>
    <col min="8728" max="8728" width="13.5546875" style="5" customWidth="1"/>
    <col min="8729" max="8729" width="12" style="5" bestFit="1" customWidth="1"/>
    <col min="8730" max="8730" width="10.88671875" style="5" bestFit="1" customWidth="1"/>
    <col min="8731" max="8960" width="9.109375" style="5"/>
    <col min="8961" max="8961" width="4.44140625" style="5" customWidth="1"/>
    <col min="8962" max="8962" width="0.33203125" style="5" customWidth="1"/>
    <col min="8963" max="8963" width="41.109375" style="5" bestFit="1" customWidth="1"/>
    <col min="8964" max="8964" width="8.109375" style="5" customWidth="1"/>
    <col min="8965" max="8965" width="22.33203125" style="5" bestFit="1" customWidth="1"/>
    <col min="8966" max="8966" width="0" style="5" hidden="1" customWidth="1"/>
    <col min="8967" max="8967" width="21.109375" style="5" bestFit="1" customWidth="1"/>
    <col min="8968" max="8968" width="21.109375" style="5" customWidth="1"/>
    <col min="8969" max="8969" width="21.109375" style="5" bestFit="1" customWidth="1"/>
    <col min="8970" max="8970" width="14.88671875" style="5" customWidth="1"/>
    <col min="8971" max="8971" width="20.33203125" style="5" bestFit="1" customWidth="1"/>
    <col min="8972" max="8974" width="0" style="5" hidden="1" customWidth="1"/>
    <col min="8975" max="8975" width="18.109375" style="5" bestFit="1" customWidth="1"/>
    <col min="8976" max="8976" width="21" style="5" bestFit="1" customWidth="1"/>
    <col min="8977" max="8977" width="21.5546875" style="5" bestFit="1" customWidth="1"/>
    <col min="8978" max="8978" width="16.5546875" style="5" customWidth="1"/>
    <col min="8979" max="8980" width="19.109375" style="5" customWidth="1"/>
    <col min="8981" max="8981" width="20.88671875" style="5" customWidth="1"/>
    <col min="8982" max="8982" width="12.88671875" style="5" customWidth="1"/>
    <col min="8983" max="8983" width="13.109375" style="5" bestFit="1" customWidth="1"/>
    <col min="8984" max="8984" width="13.5546875" style="5" customWidth="1"/>
    <col min="8985" max="8985" width="12" style="5" bestFit="1" customWidth="1"/>
    <col min="8986" max="8986" width="10.88671875" style="5" bestFit="1" customWidth="1"/>
    <col min="8987" max="9216" width="9.109375" style="5"/>
    <col min="9217" max="9217" width="4.44140625" style="5" customWidth="1"/>
    <col min="9218" max="9218" width="0.33203125" style="5" customWidth="1"/>
    <col min="9219" max="9219" width="41.109375" style="5" bestFit="1" customWidth="1"/>
    <col min="9220" max="9220" width="8.109375" style="5" customWidth="1"/>
    <col min="9221" max="9221" width="22.33203125" style="5" bestFit="1" customWidth="1"/>
    <col min="9222" max="9222" width="0" style="5" hidden="1" customWidth="1"/>
    <col min="9223" max="9223" width="21.109375" style="5" bestFit="1" customWidth="1"/>
    <col min="9224" max="9224" width="21.109375" style="5" customWidth="1"/>
    <col min="9225" max="9225" width="21.109375" style="5" bestFit="1" customWidth="1"/>
    <col min="9226" max="9226" width="14.88671875" style="5" customWidth="1"/>
    <col min="9227" max="9227" width="20.33203125" style="5" bestFit="1" customWidth="1"/>
    <col min="9228" max="9230" width="0" style="5" hidden="1" customWidth="1"/>
    <col min="9231" max="9231" width="18.109375" style="5" bestFit="1" customWidth="1"/>
    <col min="9232" max="9232" width="21" style="5" bestFit="1" customWidth="1"/>
    <col min="9233" max="9233" width="21.5546875" style="5" bestFit="1" customWidth="1"/>
    <col min="9234" max="9234" width="16.5546875" style="5" customWidth="1"/>
    <col min="9235" max="9236" width="19.109375" style="5" customWidth="1"/>
    <col min="9237" max="9237" width="20.88671875" style="5" customWidth="1"/>
    <col min="9238" max="9238" width="12.88671875" style="5" customWidth="1"/>
    <col min="9239" max="9239" width="13.109375" style="5" bestFit="1" customWidth="1"/>
    <col min="9240" max="9240" width="13.5546875" style="5" customWidth="1"/>
    <col min="9241" max="9241" width="12" style="5" bestFit="1" customWidth="1"/>
    <col min="9242" max="9242" width="10.88671875" style="5" bestFit="1" customWidth="1"/>
    <col min="9243" max="9472" width="9.109375" style="5"/>
    <col min="9473" max="9473" width="4.44140625" style="5" customWidth="1"/>
    <col min="9474" max="9474" width="0.33203125" style="5" customWidth="1"/>
    <col min="9475" max="9475" width="41.109375" style="5" bestFit="1" customWidth="1"/>
    <col min="9476" max="9476" width="8.109375" style="5" customWidth="1"/>
    <col min="9477" max="9477" width="22.33203125" style="5" bestFit="1" customWidth="1"/>
    <col min="9478" max="9478" width="0" style="5" hidden="1" customWidth="1"/>
    <col min="9479" max="9479" width="21.109375" style="5" bestFit="1" customWidth="1"/>
    <col min="9480" max="9480" width="21.109375" style="5" customWidth="1"/>
    <col min="9481" max="9481" width="21.109375" style="5" bestFit="1" customWidth="1"/>
    <col min="9482" max="9482" width="14.88671875" style="5" customWidth="1"/>
    <col min="9483" max="9483" width="20.33203125" style="5" bestFit="1" customWidth="1"/>
    <col min="9484" max="9486" width="0" style="5" hidden="1" customWidth="1"/>
    <col min="9487" max="9487" width="18.109375" style="5" bestFit="1" customWidth="1"/>
    <col min="9488" max="9488" width="21" style="5" bestFit="1" customWidth="1"/>
    <col min="9489" max="9489" width="21.5546875" style="5" bestFit="1" customWidth="1"/>
    <col min="9490" max="9490" width="16.5546875" style="5" customWidth="1"/>
    <col min="9491" max="9492" width="19.109375" style="5" customWidth="1"/>
    <col min="9493" max="9493" width="20.88671875" style="5" customWidth="1"/>
    <col min="9494" max="9494" width="12.88671875" style="5" customWidth="1"/>
    <col min="9495" max="9495" width="13.109375" style="5" bestFit="1" customWidth="1"/>
    <col min="9496" max="9496" width="13.5546875" style="5" customWidth="1"/>
    <col min="9497" max="9497" width="12" style="5" bestFit="1" customWidth="1"/>
    <col min="9498" max="9498" width="10.88671875" style="5" bestFit="1" customWidth="1"/>
    <col min="9499" max="9728" width="9.109375" style="5"/>
    <col min="9729" max="9729" width="4.44140625" style="5" customWidth="1"/>
    <col min="9730" max="9730" width="0.33203125" style="5" customWidth="1"/>
    <col min="9731" max="9731" width="41.109375" style="5" bestFit="1" customWidth="1"/>
    <col min="9732" max="9732" width="8.109375" style="5" customWidth="1"/>
    <col min="9733" max="9733" width="22.33203125" style="5" bestFit="1" customWidth="1"/>
    <col min="9734" max="9734" width="0" style="5" hidden="1" customWidth="1"/>
    <col min="9735" max="9735" width="21.109375" style="5" bestFit="1" customWidth="1"/>
    <col min="9736" max="9736" width="21.109375" style="5" customWidth="1"/>
    <col min="9737" max="9737" width="21.109375" style="5" bestFit="1" customWidth="1"/>
    <col min="9738" max="9738" width="14.88671875" style="5" customWidth="1"/>
    <col min="9739" max="9739" width="20.33203125" style="5" bestFit="1" customWidth="1"/>
    <col min="9740" max="9742" width="0" style="5" hidden="1" customWidth="1"/>
    <col min="9743" max="9743" width="18.109375" style="5" bestFit="1" customWidth="1"/>
    <col min="9744" max="9744" width="21" style="5" bestFit="1" customWidth="1"/>
    <col min="9745" max="9745" width="21.5546875" style="5" bestFit="1" customWidth="1"/>
    <col min="9746" max="9746" width="16.5546875" style="5" customWidth="1"/>
    <col min="9747" max="9748" width="19.109375" style="5" customWidth="1"/>
    <col min="9749" max="9749" width="20.88671875" style="5" customWidth="1"/>
    <col min="9750" max="9750" width="12.88671875" style="5" customWidth="1"/>
    <col min="9751" max="9751" width="13.109375" style="5" bestFit="1" customWidth="1"/>
    <col min="9752" max="9752" width="13.5546875" style="5" customWidth="1"/>
    <col min="9753" max="9753" width="12" style="5" bestFit="1" customWidth="1"/>
    <col min="9754" max="9754" width="10.88671875" style="5" bestFit="1" customWidth="1"/>
    <col min="9755" max="9984" width="9.109375" style="5"/>
    <col min="9985" max="9985" width="4.44140625" style="5" customWidth="1"/>
    <col min="9986" max="9986" width="0.33203125" style="5" customWidth="1"/>
    <col min="9987" max="9987" width="41.109375" style="5" bestFit="1" customWidth="1"/>
    <col min="9988" max="9988" width="8.109375" style="5" customWidth="1"/>
    <col min="9989" max="9989" width="22.33203125" style="5" bestFit="1" customWidth="1"/>
    <col min="9990" max="9990" width="0" style="5" hidden="1" customWidth="1"/>
    <col min="9991" max="9991" width="21.109375" style="5" bestFit="1" customWidth="1"/>
    <col min="9992" max="9992" width="21.109375" style="5" customWidth="1"/>
    <col min="9993" max="9993" width="21.109375" style="5" bestFit="1" customWidth="1"/>
    <col min="9994" max="9994" width="14.88671875" style="5" customWidth="1"/>
    <col min="9995" max="9995" width="20.33203125" style="5" bestFit="1" customWidth="1"/>
    <col min="9996" max="9998" width="0" style="5" hidden="1" customWidth="1"/>
    <col min="9999" max="9999" width="18.109375" style="5" bestFit="1" customWidth="1"/>
    <col min="10000" max="10000" width="21" style="5" bestFit="1" customWidth="1"/>
    <col min="10001" max="10001" width="21.5546875" style="5" bestFit="1" customWidth="1"/>
    <col min="10002" max="10002" width="16.5546875" style="5" customWidth="1"/>
    <col min="10003" max="10004" width="19.109375" style="5" customWidth="1"/>
    <col min="10005" max="10005" width="20.88671875" style="5" customWidth="1"/>
    <col min="10006" max="10006" width="12.88671875" style="5" customWidth="1"/>
    <col min="10007" max="10007" width="13.109375" style="5" bestFit="1" customWidth="1"/>
    <col min="10008" max="10008" width="13.5546875" style="5" customWidth="1"/>
    <col min="10009" max="10009" width="12" style="5" bestFit="1" customWidth="1"/>
    <col min="10010" max="10010" width="10.88671875" style="5" bestFit="1" customWidth="1"/>
    <col min="10011" max="10240" width="9.109375" style="5"/>
    <col min="10241" max="10241" width="4.44140625" style="5" customWidth="1"/>
    <col min="10242" max="10242" width="0.33203125" style="5" customWidth="1"/>
    <col min="10243" max="10243" width="41.109375" style="5" bestFit="1" customWidth="1"/>
    <col min="10244" max="10244" width="8.109375" style="5" customWidth="1"/>
    <col min="10245" max="10245" width="22.33203125" style="5" bestFit="1" customWidth="1"/>
    <col min="10246" max="10246" width="0" style="5" hidden="1" customWidth="1"/>
    <col min="10247" max="10247" width="21.109375" style="5" bestFit="1" customWidth="1"/>
    <col min="10248" max="10248" width="21.109375" style="5" customWidth="1"/>
    <col min="10249" max="10249" width="21.109375" style="5" bestFit="1" customWidth="1"/>
    <col min="10250" max="10250" width="14.88671875" style="5" customWidth="1"/>
    <col min="10251" max="10251" width="20.33203125" style="5" bestFit="1" customWidth="1"/>
    <col min="10252" max="10254" width="0" style="5" hidden="1" customWidth="1"/>
    <col min="10255" max="10255" width="18.109375" style="5" bestFit="1" customWidth="1"/>
    <col min="10256" max="10256" width="21" style="5" bestFit="1" customWidth="1"/>
    <col min="10257" max="10257" width="21.5546875" style="5" bestFit="1" customWidth="1"/>
    <col min="10258" max="10258" width="16.5546875" style="5" customWidth="1"/>
    <col min="10259" max="10260" width="19.109375" style="5" customWidth="1"/>
    <col min="10261" max="10261" width="20.88671875" style="5" customWidth="1"/>
    <col min="10262" max="10262" width="12.88671875" style="5" customWidth="1"/>
    <col min="10263" max="10263" width="13.109375" style="5" bestFit="1" customWidth="1"/>
    <col min="10264" max="10264" width="13.5546875" style="5" customWidth="1"/>
    <col min="10265" max="10265" width="12" style="5" bestFit="1" customWidth="1"/>
    <col min="10266" max="10266" width="10.88671875" style="5" bestFit="1" customWidth="1"/>
    <col min="10267" max="10496" width="9.109375" style="5"/>
    <col min="10497" max="10497" width="4.44140625" style="5" customWidth="1"/>
    <col min="10498" max="10498" width="0.33203125" style="5" customWidth="1"/>
    <col min="10499" max="10499" width="41.109375" style="5" bestFit="1" customWidth="1"/>
    <col min="10500" max="10500" width="8.109375" style="5" customWidth="1"/>
    <col min="10501" max="10501" width="22.33203125" style="5" bestFit="1" customWidth="1"/>
    <col min="10502" max="10502" width="0" style="5" hidden="1" customWidth="1"/>
    <col min="10503" max="10503" width="21.109375" style="5" bestFit="1" customWidth="1"/>
    <col min="10504" max="10504" width="21.109375" style="5" customWidth="1"/>
    <col min="10505" max="10505" width="21.109375" style="5" bestFit="1" customWidth="1"/>
    <col min="10506" max="10506" width="14.88671875" style="5" customWidth="1"/>
    <col min="10507" max="10507" width="20.33203125" style="5" bestFit="1" customWidth="1"/>
    <col min="10508" max="10510" width="0" style="5" hidden="1" customWidth="1"/>
    <col min="10511" max="10511" width="18.109375" style="5" bestFit="1" customWidth="1"/>
    <col min="10512" max="10512" width="21" style="5" bestFit="1" customWidth="1"/>
    <col min="10513" max="10513" width="21.5546875" style="5" bestFit="1" customWidth="1"/>
    <col min="10514" max="10514" width="16.5546875" style="5" customWidth="1"/>
    <col min="10515" max="10516" width="19.109375" style="5" customWidth="1"/>
    <col min="10517" max="10517" width="20.88671875" style="5" customWidth="1"/>
    <col min="10518" max="10518" width="12.88671875" style="5" customWidth="1"/>
    <col min="10519" max="10519" width="13.109375" style="5" bestFit="1" customWidth="1"/>
    <col min="10520" max="10520" width="13.5546875" style="5" customWidth="1"/>
    <col min="10521" max="10521" width="12" style="5" bestFit="1" customWidth="1"/>
    <col min="10522" max="10522" width="10.88671875" style="5" bestFit="1" customWidth="1"/>
    <col min="10523" max="10752" width="9.109375" style="5"/>
    <col min="10753" max="10753" width="4.44140625" style="5" customWidth="1"/>
    <col min="10754" max="10754" width="0.33203125" style="5" customWidth="1"/>
    <col min="10755" max="10755" width="41.109375" style="5" bestFit="1" customWidth="1"/>
    <col min="10756" max="10756" width="8.109375" style="5" customWidth="1"/>
    <col min="10757" max="10757" width="22.33203125" style="5" bestFit="1" customWidth="1"/>
    <col min="10758" max="10758" width="0" style="5" hidden="1" customWidth="1"/>
    <col min="10759" max="10759" width="21.109375" style="5" bestFit="1" customWidth="1"/>
    <col min="10760" max="10760" width="21.109375" style="5" customWidth="1"/>
    <col min="10761" max="10761" width="21.109375" style="5" bestFit="1" customWidth="1"/>
    <col min="10762" max="10762" width="14.88671875" style="5" customWidth="1"/>
    <col min="10763" max="10763" width="20.33203125" style="5" bestFit="1" customWidth="1"/>
    <col min="10764" max="10766" width="0" style="5" hidden="1" customWidth="1"/>
    <col min="10767" max="10767" width="18.109375" style="5" bestFit="1" customWidth="1"/>
    <col min="10768" max="10768" width="21" style="5" bestFit="1" customWidth="1"/>
    <col min="10769" max="10769" width="21.5546875" style="5" bestFit="1" customWidth="1"/>
    <col min="10770" max="10770" width="16.5546875" style="5" customWidth="1"/>
    <col min="10771" max="10772" width="19.109375" style="5" customWidth="1"/>
    <col min="10773" max="10773" width="20.88671875" style="5" customWidth="1"/>
    <col min="10774" max="10774" width="12.88671875" style="5" customWidth="1"/>
    <col min="10775" max="10775" width="13.109375" style="5" bestFit="1" customWidth="1"/>
    <col min="10776" max="10776" width="13.5546875" style="5" customWidth="1"/>
    <col min="10777" max="10777" width="12" style="5" bestFit="1" customWidth="1"/>
    <col min="10778" max="10778" width="10.88671875" style="5" bestFit="1" customWidth="1"/>
    <col min="10779" max="11008" width="9.109375" style="5"/>
    <col min="11009" max="11009" width="4.44140625" style="5" customWidth="1"/>
    <col min="11010" max="11010" width="0.33203125" style="5" customWidth="1"/>
    <col min="11011" max="11011" width="41.109375" style="5" bestFit="1" customWidth="1"/>
    <col min="11012" max="11012" width="8.109375" style="5" customWidth="1"/>
    <col min="11013" max="11013" width="22.33203125" style="5" bestFit="1" customWidth="1"/>
    <col min="11014" max="11014" width="0" style="5" hidden="1" customWidth="1"/>
    <col min="11015" max="11015" width="21.109375" style="5" bestFit="1" customWidth="1"/>
    <col min="11016" max="11016" width="21.109375" style="5" customWidth="1"/>
    <col min="11017" max="11017" width="21.109375" style="5" bestFit="1" customWidth="1"/>
    <col min="11018" max="11018" width="14.88671875" style="5" customWidth="1"/>
    <col min="11019" max="11019" width="20.33203125" style="5" bestFit="1" customWidth="1"/>
    <col min="11020" max="11022" width="0" style="5" hidden="1" customWidth="1"/>
    <col min="11023" max="11023" width="18.109375" style="5" bestFit="1" customWidth="1"/>
    <col min="11024" max="11024" width="21" style="5" bestFit="1" customWidth="1"/>
    <col min="11025" max="11025" width="21.5546875" style="5" bestFit="1" customWidth="1"/>
    <col min="11026" max="11026" width="16.5546875" style="5" customWidth="1"/>
    <col min="11027" max="11028" width="19.109375" style="5" customWidth="1"/>
    <col min="11029" max="11029" width="20.88671875" style="5" customWidth="1"/>
    <col min="11030" max="11030" width="12.88671875" style="5" customWidth="1"/>
    <col min="11031" max="11031" width="13.109375" style="5" bestFit="1" customWidth="1"/>
    <col min="11032" max="11032" width="13.5546875" style="5" customWidth="1"/>
    <col min="11033" max="11033" width="12" style="5" bestFit="1" customWidth="1"/>
    <col min="11034" max="11034" width="10.88671875" style="5" bestFit="1" customWidth="1"/>
    <col min="11035" max="11264" width="9.109375" style="5"/>
    <col min="11265" max="11265" width="4.44140625" style="5" customWidth="1"/>
    <col min="11266" max="11266" width="0.33203125" style="5" customWidth="1"/>
    <col min="11267" max="11267" width="41.109375" style="5" bestFit="1" customWidth="1"/>
    <col min="11268" max="11268" width="8.109375" style="5" customWidth="1"/>
    <col min="11269" max="11269" width="22.33203125" style="5" bestFit="1" customWidth="1"/>
    <col min="11270" max="11270" width="0" style="5" hidden="1" customWidth="1"/>
    <col min="11271" max="11271" width="21.109375" style="5" bestFit="1" customWidth="1"/>
    <col min="11272" max="11272" width="21.109375" style="5" customWidth="1"/>
    <col min="11273" max="11273" width="21.109375" style="5" bestFit="1" customWidth="1"/>
    <col min="11274" max="11274" width="14.88671875" style="5" customWidth="1"/>
    <col min="11275" max="11275" width="20.33203125" style="5" bestFit="1" customWidth="1"/>
    <col min="11276" max="11278" width="0" style="5" hidden="1" customWidth="1"/>
    <col min="11279" max="11279" width="18.109375" style="5" bestFit="1" customWidth="1"/>
    <col min="11280" max="11280" width="21" style="5" bestFit="1" customWidth="1"/>
    <col min="11281" max="11281" width="21.5546875" style="5" bestFit="1" customWidth="1"/>
    <col min="11282" max="11282" width="16.5546875" style="5" customWidth="1"/>
    <col min="11283" max="11284" width="19.109375" style="5" customWidth="1"/>
    <col min="11285" max="11285" width="20.88671875" style="5" customWidth="1"/>
    <col min="11286" max="11286" width="12.88671875" style="5" customWidth="1"/>
    <col min="11287" max="11287" width="13.109375" style="5" bestFit="1" customWidth="1"/>
    <col min="11288" max="11288" width="13.5546875" style="5" customWidth="1"/>
    <col min="11289" max="11289" width="12" style="5" bestFit="1" customWidth="1"/>
    <col min="11290" max="11290" width="10.88671875" style="5" bestFit="1" customWidth="1"/>
    <col min="11291" max="11520" width="9.109375" style="5"/>
    <col min="11521" max="11521" width="4.44140625" style="5" customWidth="1"/>
    <col min="11522" max="11522" width="0.33203125" style="5" customWidth="1"/>
    <col min="11523" max="11523" width="41.109375" style="5" bestFit="1" customWidth="1"/>
    <col min="11524" max="11524" width="8.109375" style="5" customWidth="1"/>
    <col min="11525" max="11525" width="22.33203125" style="5" bestFit="1" customWidth="1"/>
    <col min="11526" max="11526" width="0" style="5" hidden="1" customWidth="1"/>
    <col min="11527" max="11527" width="21.109375" style="5" bestFit="1" customWidth="1"/>
    <col min="11528" max="11528" width="21.109375" style="5" customWidth="1"/>
    <col min="11529" max="11529" width="21.109375" style="5" bestFit="1" customWidth="1"/>
    <col min="11530" max="11530" width="14.88671875" style="5" customWidth="1"/>
    <col min="11531" max="11531" width="20.33203125" style="5" bestFit="1" customWidth="1"/>
    <col min="11532" max="11534" width="0" style="5" hidden="1" customWidth="1"/>
    <col min="11535" max="11535" width="18.109375" style="5" bestFit="1" customWidth="1"/>
    <col min="11536" max="11536" width="21" style="5" bestFit="1" customWidth="1"/>
    <col min="11537" max="11537" width="21.5546875" style="5" bestFit="1" customWidth="1"/>
    <col min="11538" max="11538" width="16.5546875" style="5" customWidth="1"/>
    <col min="11539" max="11540" width="19.109375" style="5" customWidth="1"/>
    <col min="11541" max="11541" width="20.88671875" style="5" customWidth="1"/>
    <col min="11542" max="11542" width="12.88671875" style="5" customWidth="1"/>
    <col min="11543" max="11543" width="13.109375" style="5" bestFit="1" customWidth="1"/>
    <col min="11544" max="11544" width="13.5546875" style="5" customWidth="1"/>
    <col min="11545" max="11545" width="12" style="5" bestFit="1" customWidth="1"/>
    <col min="11546" max="11546" width="10.88671875" style="5" bestFit="1" customWidth="1"/>
    <col min="11547" max="11776" width="9.109375" style="5"/>
    <col min="11777" max="11777" width="4.44140625" style="5" customWidth="1"/>
    <col min="11778" max="11778" width="0.33203125" style="5" customWidth="1"/>
    <col min="11779" max="11779" width="41.109375" style="5" bestFit="1" customWidth="1"/>
    <col min="11780" max="11780" width="8.109375" style="5" customWidth="1"/>
    <col min="11781" max="11781" width="22.33203125" style="5" bestFit="1" customWidth="1"/>
    <col min="11782" max="11782" width="0" style="5" hidden="1" customWidth="1"/>
    <col min="11783" max="11783" width="21.109375" style="5" bestFit="1" customWidth="1"/>
    <col min="11784" max="11784" width="21.109375" style="5" customWidth="1"/>
    <col min="11785" max="11785" width="21.109375" style="5" bestFit="1" customWidth="1"/>
    <col min="11786" max="11786" width="14.88671875" style="5" customWidth="1"/>
    <col min="11787" max="11787" width="20.33203125" style="5" bestFit="1" customWidth="1"/>
    <col min="11788" max="11790" width="0" style="5" hidden="1" customWidth="1"/>
    <col min="11791" max="11791" width="18.109375" style="5" bestFit="1" customWidth="1"/>
    <col min="11792" max="11792" width="21" style="5" bestFit="1" customWidth="1"/>
    <col min="11793" max="11793" width="21.5546875" style="5" bestFit="1" customWidth="1"/>
    <col min="11794" max="11794" width="16.5546875" style="5" customWidth="1"/>
    <col min="11795" max="11796" width="19.109375" style="5" customWidth="1"/>
    <col min="11797" max="11797" width="20.88671875" style="5" customWidth="1"/>
    <col min="11798" max="11798" width="12.88671875" style="5" customWidth="1"/>
    <col min="11799" max="11799" width="13.109375" style="5" bestFit="1" customWidth="1"/>
    <col min="11800" max="11800" width="13.5546875" style="5" customWidth="1"/>
    <col min="11801" max="11801" width="12" style="5" bestFit="1" customWidth="1"/>
    <col min="11802" max="11802" width="10.88671875" style="5" bestFit="1" customWidth="1"/>
    <col min="11803" max="12032" width="9.109375" style="5"/>
    <col min="12033" max="12033" width="4.44140625" style="5" customWidth="1"/>
    <col min="12034" max="12034" width="0.33203125" style="5" customWidth="1"/>
    <col min="12035" max="12035" width="41.109375" style="5" bestFit="1" customWidth="1"/>
    <col min="12036" max="12036" width="8.109375" style="5" customWidth="1"/>
    <col min="12037" max="12037" width="22.33203125" style="5" bestFit="1" customWidth="1"/>
    <col min="12038" max="12038" width="0" style="5" hidden="1" customWidth="1"/>
    <col min="12039" max="12039" width="21.109375" style="5" bestFit="1" customWidth="1"/>
    <col min="12040" max="12040" width="21.109375" style="5" customWidth="1"/>
    <col min="12041" max="12041" width="21.109375" style="5" bestFit="1" customWidth="1"/>
    <col min="12042" max="12042" width="14.88671875" style="5" customWidth="1"/>
    <col min="12043" max="12043" width="20.33203125" style="5" bestFit="1" customWidth="1"/>
    <col min="12044" max="12046" width="0" style="5" hidden="1" customWidth="1"/>
    <col min="12047" max="12047" width="18.109375" style="5" bestFit="1" customWidth="1"/>
    <col min="12048" max="12048" width="21" style="5" bestFit="1" customWidth="1"/>
    <col min="12049" max="12049" width="21.5546875" style="5" bestFit="1" customWidth="1"/>
    <col min="12050" max="12050" width="16.5546875" style="5" customWidth="1"/>
    <col min="12051" max="12052" width="19.109375" style="5" customWidth="1"/>
    <col min="12053" max="12053" width="20.88671875" style="5" customWidth="1"/>
    <col min="12054" max="12054" width="12.88671875" style="5" customWidth="1"/>
    <col min="12055" max="12055" width="13.109375" style="5" bestFit="1" customWidth="1"/>
    <col min="12056" max="12056" width="13.5546875" style="5" customWidth="1"/>
    <col min="12057" max="12057" width="12" style="5" bestFit="1" customWidth="1"/>
    <col min="12058" max="12058" width="10.88671875" style="5" bestFit="1" customWidth="1"/>
    <col min="12059" max="12288" width="9.109375" style="5"/>
    <col min="12289" max="12289" width="4.44140625" style="5" customWidth="1"/>
    <col min="12290" max="12290" width="0.33203125" style="5" customWidth="1"/>
    <col min="12291" max="12291" width="41.109375" style="5" bestFit="1" customWidth="1"/>
    <col min="12292" max="12292" width="8.109375" style="5" customWidth="1"/>
    <col min="12293" max="12293" width="22.33203125" style="5" bestFit="1" customWidth="1"/>
    <col min="12294" max="12294" width="0" style="5" hidden="1" customWidth="1"/>
    <col min="12295" max="12295" width="21.109375" style="5" bestFit="1" customWidth="1"/>
    <col min="12296" max="12296" width="21.109375" style="5" customWidth="1"/>
    <col min="12297" max="12297" width="21.109375" style="5" bestFit="1" customWidth="1"/>
    <col min="12298" max="12298" width="14.88671875" style="5" customWidth="1"/>
    <col min="12299" max="12299" width="20.33203125" style="5" bestFit="1" customWidth="1"/>
    <col min="12300" max="12302" width="0" style="5" hidden="1" customWidth="1"/>
    <col min="12303" max="12303" width="18.109375" style="5" bestFit="1" customWidth="1"/>
    <col min="12304" max="12304" width="21" style="5" bestFit="1" customWidth="1"/>
    <col min="12305" max="12305" width="21.5546875" style="5" bestFit="1" customWidth="1"/>
    <col min="12306" max="12306" width="16.5546875" style="5" customWidth="1"/>
    <col min="12307" max="12308" width="19.109375" style="5" customWidth="1"/>
    <col min="12309" max="12309" width="20.88671875" style="5" customWidth="1"/>
    <col min="12310" max="12310" width="12.88671875" style="5" customWidth="1"/>
    <col min="12311" max="12311" width="13.109375" style="5" bestFit="1" customWidth="1"/>
    <col min="12312" max="12312" width="13.5546875" style="5" customWidth="1"/>
    <col min="12313" max="12313" width="12" style="5" bestFit="1" customWidth="1"/>
    <col min="12314" max="12314" width="10.88671875" style="5" bestFit="1" customWidth="1"/>
    <col min="12315" max="12544" width="9.109375" style="5"/>
    <col min="12545" max="12545" width="4.44140625" style="5" customWidth="1"/>
    <col min="12546" max="12546" width="0.33203125" style="5" customWidth="1"/>
    <col min="12547" max="12547" width="41.109375" style="5" bestFit="1" customWidth="1"/>
    <col min="12548" max="12548" width="8.109375" style="5" customWidth="1"/>
    <col min="12549" max="12549" width="22.33203125" style="5" bestFit="1" customWidth="1"/>
    <col min="12550" max="12550" width="0" style="5" hidden="1" customWidth="1"/>
    <col min="12551" max="12551" width="21.109375" style="5" bestFit="1" customWidth="1"/>
    <col min="12552" max="12552" width="21.109375" style="5" customWidth="1"/>
    <col min="12553" max="12553" width="21.109375" style="5" bestFit="1" customWidth="1"/>
    <col min="12554" max="12554" width="14.88671875" style="5" customWidth="1"/>
    <col min="12555" max="12555" width="20.33203125" style="5" bestFit="1" customWidth="1"/>
    <col min="12556" max="12558" width="0" style="5" hidden="1" customWidth="1"/>
    <col min="12559" max="12559" width="18.109375" style="5" bestFit="1" customWidth="1"/>
    <col min="12560" max="12560" width="21" style="5" bestFit="1" customWidth="1"/>
    <col min="12561" max="12561" width="21.5546875" style="5" bestFit="1" customWidth="1"/>
    <col min="12562" max="12562" width="16.5546875" style="5" customWidth="1"/>
    <col min="12563" max="12564" width="19.109375" style="5" customWidth="1"/>
    <col min="12565" max="12565" width="20.88671875" style="5" customWidth="1"/>
    <col min="12566" max="12566" width="12.88671875" style="5" customWidth="1"/>
    <col min="12567" max="12567" width="13.109375" style="5" bestFit="1" customWidth="1"/>
    <col min="12568" max="12568" width="13.5546875" style="5" customWidth="1"/>
    <col min="12569" max="12569" width="12" style="5" bestFit="1" customWidth="1"/>
    <col min="12570" max="12570" width="10.88671875" style="5" bestFit="1" customWidth="1"/>
    <col min="12571" max="12800" width="9.109375" style="5"/>
    <col min="12801" max="12801" width="4.44140625" style="5" customWidth="1"/>
    <col min="12802" max="12802" width="0.33203125" style="5" customWidth="1"/>
    <col min="12803" max="12803" width="41.109375" style="5" bestFit="1" customWidth="1"/>
    <col min="12804" max="12804" width="8.109375" style="5" customWidth="1"/>
    <col min="12805" max="12805" width="22.33203125" style="5" bestFit="1" customWidth="1"/>
    <col min="12806" max="12806" width="0" style="5" hidden="1" customWidth="1"/>
    <col min="12807" max="12807" width="21.109375" style="5" bestFit="1" customWidth="1"/>
    <col min="12808" max="12808" width="21.109375" style="5" customWidth="1"/>
    <col min="12809" max="12809" width="21.109375" style="5" bestFit="1" customWidth="1"/>
    <col min="12810" max="12810" width="14.88671875" style="5" customWidth="1"/>
    <col min="12811" max="12811" width="20.33203125" style="5" bestFit="1" customWidth="1"/>
    <col min="12812" max="12814" width="0" style="5" hidden="1" customWidth="1"/>
    <col min="12815" max="12815" width="18.109375" style="5" bestFit="1" customWidth="1"/>
    <col min="12816" max="12816" width="21" style="5" bestFit="1" customWidth="1"/>
    <col min="12817" max="12817" width="21.5546875" style="5" bestFit="1" customWidth="1"/>
    <col min="12818" max="12818" width="16.5546875" style="5" customWidth="1"/>
    <col min="12819" max="12820" width="19.109375" style="5" customWidth="1"/>
    <col min="12821" max="12821" width="20.88671875" style="5" customWidth="1"/>
    <col min="12822" max="12822" width="12.88671875" style="5" customWidth="1"/>
    <col min="12823" max="12823" width="13.109375" style="5" bestFit="1" customWidth="1"/>
    <col min="12824" max="12824" width="13.5546875" style="5" customWidth="1"/>
    <col min="12825" max="12825" width="12" style="5" bestFit="1" customWidth="1"/>
    <col min="12826" max="12826" width="10.88671875" style="5" bestFit="1" customWidth="1"/>
    <col min="12827" max="13056" width="9.109375" style="5"/>
    <col min="13057" max="13057" width="4.44140625" style="5" customWidth="1"/>
    <col min="13058" max="13058" width="0.33203125" style="5" customWidth="1"/>
    <col min="13059" max="13059" width="41.109375" style="5" bestFit="1" customWidth="1"/>
    <col min="13060" max="13060" width="8.109375" style="5" customWidth="1"/>
    <col min="13061" max="13061" width="22.33203125" style="5" bestFit="1" customWidth="1"/>
    <col min="13062" max="13062" width="0" style="5" hidden="1" customWidth="1"/>
    <col min="13063" max="13063" width="21.109375" style="5" bestFit="1" customWidth="1"/>
    <col min="13064" max="13064" width="21.109375" style="5" customWidth="1"/>
    <col min="13065" max="13065" width="21.109375" style="5" bestFit="1" customWidth="1"/>
    <col min="13066" max="13066" width="14.88671875" style="5" customWidth="1"/>
    <col min="13067" max="13067" width="20.33203125" style="5" bestFit="1" customWidth="1"/>
    <col min="13068" max="13070" width="0" style="5" hidden="1" customWidth="1"/>
    <col min="13071" max="13071" width="18.109375" style="5" bestFit="1" customWidth="1"/>
    <col min="13072" max="13072" width="21" style="5" bestFit="1" customWidth="1"/>
    <col min="13073" max="13073" width="21.5546875" style="5" bestFit="1" customWidth="1"/>
    <col min="13074" max="13074" width="16.5546875" style="5" customWidth="1"/>
    <col min="13075" max="13076" width="19.109375" style="5" customWidth="1"/>
    <col min="13077" max="13077" width="20.88671875" style="5" customWidth="1"/>
    <col min="13078" max="13078" width="12.88671875" style="5" customWidth="1"/>
    <col min="13079" max="13079" width="13.109375" style="5" bestFit="1" customWidth="1"/>
    <col min="13080" max="13080" width="13.5546875" style="5" customWidth="1"/>
    <col min="13081" max="13081" width="12" style="5" bestFit="1" customWidth="1"/>
    <col min="13082" max="13082" width="10.88671875" style="5" bestFit="1" customWidth="1"/>
    <col min="13083" max="13312" width="9.109375" style="5"/>
    <col min="13313" max="13313" width="4.44140625" style="5" customWidth="1"/>
    <col min="13314" max="13314" width="0.33203125" style="5" customWidth="1"/>
    <col min="13315" max="13315" width="41.109375" style="5" bestFit="1" customWidth="1"/>
    <col min="13316" max="13316" width="8.109375" style="5" customWidth="1"/>
    <col min="13317" max="13317" width="22.33203125" style="5" bestFit="1" customWidth="1"/>
    <col min="13318" max="13318" width="0" style="5" hidden="1" customWidth="1"/>
    <col min="13319" max="13319" width="21.109375" style="5" bestFit="1" customWidth="1"/>
    <col min="13320" max="13320" width="21.109375" style="5" customWidth="1"/>
    <col min="13321" max="13321" width="21.109375" style="5" bestFit="1" customWidth="1"/>
    <col min="13322" max="13322" width="14.88671875" style="5" customWidth="1"/>
    <col min="13323" max="13323" width="20.33203125" style="5" bestFit="1" customWidth="1"/>
    <col min="13324" max="13326" width="0" style="5" hidden="1" customWidth="1"/>
    <col min="13327" max="13327" width="18.109375" style="5" bestFit="1" customWidth="1"/>
    <col min="13328" max="13328" width="21" style="5" bestFit="1" customWidth="1"/>
    <col min="13329" max="13329" width="21.5546875" style="5" bestFit="1" customWidth="1"/>
    <col min="13330" max="13330" width="16.5546875" style="5" customWidth="1"/>
    <col min="13331" max="13332" width="19.109375" style="5" customWidth="1"/>
    <col min="13333" max="13333" width="20.88671875" style="5" customWidth="1"/>
    <col min="13334" max="13334" width="12.88671875" style="5" customWidth="1"/>
    <col min="13335" max="13335" width="13.109375" style="5" bestFit="1" customWidth="1"/>
    <col min="13336" max="13336" width="13.5546875" style="5" customWidth="1"/>
    <col min="13337" max="13337" width="12" style="5" bestFit="1" customWidth="1"/>
    <col min="13338" max="13338" width="10.88671875" style="5" bestFit="1" customWidth="1"/>
    <col min="13339" max="13568" width="9.109375" style="5"/>
    <col min="13569" max="13569" width="4.44140625" style="5" customWidth="1"/>
    <col min="13570" max="13570" width="0.33203125" style="5" customWidth="1"/>
    <col min="13571" max="13571" width="41.109375" style="5" bestFit="1" customWidth="1"/>
    <col min="13572" max="13572" width="8.109375" style="5" customWidth="1"/>
    <col min="13573" max="13573" width="22.33203125" style="5" bestFit="1" customWidth="1"/>
    <col min="13574" max="13574" width="0" style="5" hidden="1" customWidth="1"/>
    <col min="13575" max="13575" width="21.109375" style="5" bestFit="1" customWidth="1"/>
    <col min="13576" max="13576" width="21.109375" style="5" customWidth="1"/>
    <col min="13577" max="13577" width="21.109375" style="5" bestFit="1" customWidth="1"/>
    <col min="13578" max="13578" width="14.88671875" style="5" customWidth="1"/>
    <col min="13579" max="13579" width="20.33203125" style="5" bestFit="1" customWidth="1"/>
    <col min="13580" max="13582" width="0" style="5" hidden="1" customWidth="1"/>
    <col min="13583" max="13583" width="18.109375" style="5" bestFit="1" customWidth="1"/>
    <col min="13584" max="13584" width="21" style="5" bestFit="1" customWidth="1"/>
    <col min="13585" max="13585" width="21.5546875" style="5" bestFit="1" customWidth="1"/>
    <col min="13586" max="13586" width="16.5546875" style="5" customWidth="1"/>
    <col min="13587" max="13588" width="19.109375" style="5" customWidth="1"/>
    <col min="13589" max="13589" width="20.88671875" style="5" customWidth="1"/>
    <col min="13590" max="13590" width="12.88671875" style="5" customWidth="1"/>
    <col min="13591" max="13591" width="13.109375" style="5" bestFit="1" customWidth="1"/>
    <col min="13592" max="13592" width="13.5546875" style="5" customWidth="1"/>
    <col min="13593" max="13593" width="12" style="5" bestFit="1" customWidth="1"/>
    <col min="13594" max="13594" width="10.88671875" style="5" bestFit="1" customWidth="1"/>
    <col min="13595" max="13824" width="9.109375" style="5"/>
    <col min="13825" max="13825" width="4.44140625" style="5" customWidth="1"/>
    <col min="13826" max="13826" width="0.33203125" style="5" customWidth="1"/>
    <col min="13827" max="13827" width="41.109375" style="5" bestFit="1" customWidth="1"/>
    <col min="13828" max="13828" width="8.109375" style="5" customWidth="1"/>
    <col min="13829" max="13829" width="22.33203125" style="5" bestFit="1" customWidth="1"/>
    <col min="13830" max="13830" width="0" style="5" hidden="1" customWidth="1"/>
    <col min="13831" max="13831" width="21.109375" style="5" bestFit="1" customWidth="1"/>
    <col min="13832" max="13832" width="21.109375" style="5" customWidth="1"/>
    <col min="13833" max="13833" width="21.109375" style="5" bestFit="1" customWidth="1"/>
    <col min="13834" max="13834" width="14.88671875" style="5" customWidth="1"/>
    <col min="13835" max="13835" width="20.33203125" style="5" bestFit="1" customWidth="1"/>
    <col min="13836" max="13838" width="0" style="5" hidden="1" customWidth="1"/>
    <col min="13839" max="13839" width="18.109375" style="5" bestFit="1" customWidth="1"/>
    <col min="13840" max="13840" width="21" style="5" bestFit="1" customWidth="1"/>
    <col min="13841" max="13841" width="21.5546875" style="5" bestFit="1" customWidth="1"/>
    <col min="13842" max="13842" width="16.5546875" style="5" customWidth="1"/>
    <col min="13843" max="13844" width="19.109375" style="5" customWidth="1"/>
    <col min="13845" max="13845" width="20.88671875" style="5" customWidth="1"/>
    <col min="13846" max="13846" width="12.88671875" style="5" customWidth="1"/>
    <col min="13847" max="13847" width="13.109375" style="5" bestFit="1" customWidth="1"/>
    <col min="13848" max="13848" width="13.5546875" style="5" customWidth="1"/>
    <col min="13849" max="13849" width="12" style="5" bestFit="1" customWidth="1"/>
    <col min="13850" max="13850" width="10.88671875" style="5" bestFit="1" customWidth="1"/>
    <col min="13851" max="14080" width="9.109375" style="5"/>
    <col min="14081" max="14081" width="4.44140625" style="5" customWidth="1"/>
    <col min="14082" max="14082" width="0.33203125" style="5" customWidth="1"/>
    <col min="14083" max="14083" width="41.109375" style="5" bestFit="1" customWidth="1"/>
    <col min="14084" max="14084" width="8.109375" style="5" customWidth="1"/>
    <col min="14085" max="14085" width="22.33203125" style="5" bestFit="1" customWidth="1"/>
    <col min="14086" max="14086" width="0" style="5" hidden="1" customWidth="1"/>
    <col min="14087" max="14087" width="21.109375" style="5" bestFit="1" customWidth="1"/>
    <col min="14088" max="14088" width="21.109375" style="5" customWidth="1"/>
    <col min="14089" max="14089" width="21.109375" style="5" bestFit="1" customWidth="1"/>
    <col min="14090" max="14090" width="14.88671875" style="5" customWidth="1"/>
    <col min="14091" max="14091" width="20.33203125" style="5" bestFit="1" customWidth="1"/>
    <col min="14092" max="14094" width="0" style="5" hidden="1" customWidth="1"/>
    <col min="14095" max="14095" width="18.109375" style="5" bestFit="1" customWidth="1"/>
    <col min="14096" max="14096" width="21" style="5" bestFit="1" customWidth="1"/>
    <col min="14097" max="14097" width="21.5546875" style="5" bestFit="1" customWidth="1"/>
    <col min="14098" max="14098" width="16.5546875" style="5" customWidth="1"/>
    <col min="14099" max="14100" width="19.109375" style="5" customWidth="1"/>
    <col min="14101" max="14101" width="20.88671875" style="5" customWidth="1"/>
    <col min="14102" max="14102" width="12.88671875" style="5" customWidth="1"/>
    <col min="14103" max="14103" width="13.109375" style="5" bestFit="1" customWidth="1"/>
    <col min="14104" max="14104" width="13.5546875" style="5" customWidth="1"/>
    <col min="14105" max="14105" width="12" style="5" bestFit="1" customWidth="1"/>
    <col min="14106" max="14106" width="10.88671875" style="5" bestFit="1" customWidth="1"/>
    <col min="14107" max="14336" width="9.109375" style="5"/>
    <col min="14337" max="14337" width="4.44140625" style="5" customWidth="1"/>
    <col min="14338" max="14338" width="0.33203125" style="5" customWidth="1"/>
    <col min="14339" max="14339" width="41.109375" style="5" bestFit="1" customWidth="1"/>
    <col min="14340" max="14340" width="8.109375" style="5" customWidth="1"/>
    <col min="14341" max="14341" width="22.33203125" style="5" bestFit="1" customWidth="1"/>
    <col min="14342" max="14342" width="0" style="5" hidden="1" customWidth="1"/>
    <col min="14343" max="14343" width="21.109375" style="5" bestFit="1" customWidth="1"/>
    <col min="14344" max="14344" width="21.109375" style="5" customWidth="1"/>
    <col min="14345" max="14345" width="21.109375" style="5" bestFit="1" customWidth="1"/>
    <col min="14346" max="14346" width="14.88671875" style="5" customWidth="1"/>
    <col min="14347" max="14347" width="20.33203125" style="5" bestFit="1" customWidth="1"/>
    <col min="14348" max="14350" width="0" style="5" hidden="1" customWidth="1"/>
    <col min="14351" max="14351" width="18.109375" style="5" bestFit="1" customWidth="1"/>
    <col min="14352" max="14352" width="21" style="5" bestFit="1" customWidth="1"/>
    <col min="14353" max="14353" width="21.5546875" style="5" bestFit="1" customWidth="1"/>
    <col min="14354" max="14354" width="16.5546875" style="5" customWidth="1"/>
    <col min="14355" max="14356" width="19.109375" style="5" customWidth="1"/>
    <col min="14357" max="14357" width="20.88671875" style="5" customWidth="1"/>
    <col min="14358" max="14358" width="12.88671875" style="5" customWidth="1"/>
    <col min="14359" max="14359" width="13.109375" style="5" bestFit="1" customWidth="1"/>
    <col min="14360" max="14360" width="13.5546875" style="5" customWidth="1"/>
    <col min="14361" max="14361" width="12" style="5" bestFit="1" customWidth="1"/>
    <col min="14362" max="14362" width="10.88671875" style="5" bestFit="1" customWidth="1"/>
    <col min="14363" max="14592" width="9.109375" style="5"/>
    <col min="14593" max="14593" width="4.44140625" style="5" customWidth="1"/>
    <col min="14594" max="14594" width="0.33203125" style="5" customWidth="1"/>
    <col min="14595" max="14595" width="41.109375" style="5" bestFit="1" customWidth="1"/>
    <col min="14596" max="14596" width="8.109375" style="5" customWidth="1"/>
    <col min="14597" max="14597" width="22.33203125" style="5" bestFit="1" customWidth="1"/>
    <col min="14598" max="14598" width="0" style="5" hidden="1" customWidth="1"/>
    <col min="14599" max="14599" width="21.109375" style="5" bestFit="1" customWidth="1"/>
    <col min="14600" max="14600" width="21.109375" style="5" customWidth="1"/>
    <col min="14601" max="14601" width="21.109375" style="5" bestFit="1" customWidth="1"/>
    <col min="14602" max="14602" width="14.88671875" style="5" customWidth="1"/>
    <col min="14603" max="14603" width="20.33203125" style="5" bestFit="1" customWidth="1"/>
    <col min="14604" max="14606" width="0" style="5" hidden="1" customWidth="1"/>
    <col min="14607" max="14607" width="18.109375" style="5" bestFit="1" customWidth="1"/>
    <col min="14608" max="14608" width="21" style="5" bestFit="1" customWidth="1"/>
    <col min="14609" max="14609" width="21.5546875" style="5" bestFit="1" customWidth="1"/>
    <col min="14610" max="14610" width="16.5546875" style="5" customWidth="1"/>
    <col min="14611" max="14612" width="19.109375" style="5" customWidth="1"/>
    <col min="14613" max="14613" width="20.88671875" style="5" customWidth="1"/>
    <col min="14614" max="14614" width="12.88671875" style="5" customWidth="1"/>
    <col min="14615" max="14615" width="13.109375" style="5" bestFit="1" customWidth="1"/>
    <col min="14616" max="14616" width="13.5546875" style="5" customWidth="1"/>
    <col min="14617" max="14617" width="12" style="5" bestFit="1" customWidth="1"/>
    <col min="14618" max="14618" width="10.88671875" style="5" bestFit="1" customWidth="1"/>
    <col min="14619" max="14848" width="9.109375" style="5"/>
    <col min="14849" max="14849" width="4.44140625" style="5" customWidth="1"/>
    <col min="14850" max="14850" width="0.33203125" style="5" customWidth="1"/>
    <col min="14851" max="14851" width="41.109375" style="5" bestFit="1" customWidth="1"/>
    <col min="14852" max="14852" width="8.109375" style="5" customWidth="1"/>
    <col min="14853" max="14853" width="22.33203125" style="5" bestFit="1" customWidth="1"/>
    <col min="14854" max="14854" width="0" style="5" hidden="1" customWidth="1"/>
    <col min="14855" max="14855" width="21.109375" style="5" bestFit="1" customWidth="1"/>
    <col min="14856" max="14856" width="21.109375" style="5" customWidth="1"/>
    <col min="14857" max="14857" width="21.109375" style="5" bestFit="1" customWidth="1"/>
    <col min="14858" max="14858" width="14.88671875" style="5" customWidth="1"/>
    <col min="14859" max="14859" width="20.33203125" style="5" bestFit="1" customWidth="1"/>
    <col min="14860" max="14862" width="0" style="5" hidden="1" customWidth="1"/>
    <col min="14863" max="14863" width="18.109375" style="5" bestFit="1" customWidth="1"/>
    <col min="14864" max="14864" width="21" style="5" bestFit="1" customWidth="1"/>
    <col min="14865" max="14865" width="21.5546875" style="5" bestFit="1" customWidth="1"/>
    <col min="14866" max="14866" width="16.5546875" style="5" customWidth="1"/>
    <col min="14867" max="14868" width="19.109375" style="5" customWidth="1"/>
    <col min="14869" max="14869" width="20.88671875" style="5" customWidth="1"/>
    <col min="14870" max="14870" width="12.88671875" style="5" customWidth="1"/>
    <col min="14871" max="14871" width="13.109375" style="5" bestFit="1" customWidth="1"/>
    <col min="14872" max="14872" width="13.5546875" style="5" customWidth="1"/>
    <col min="14873" max="14873" width="12" style="5" bestFit="1" customWidth="1"/>
    <col min="14874" max="14874" width="10.88671875" style="5" bestFit="1" customWidth="1"/>
    <col min="14875" max="15104" width="9.109375" style="5"/>
    <col min="15105" max="15105" width="4.44140625" style="5" customWidth="1"/>
    <col min="15106" max="15106" width="0.33203125" style="5" customWidth="1"/>
    <col min="15107" max="15107" width="41.109375" style="5" bestFit="1" customWidth="1"/>
    <col min="15108" max="15108" width="8.109375" style="5" customWidth="1"/>
    <col min="15109" max="15109" width="22.33203125" style="5" bestFit="1" customWidth="1"/>
    <col min="15110" max="15110" width="0" style="5" hidden="1" customWidth="1"/>
    <col min="15111" max="15111" width="21.109375" style="5" bestFit="1" customWidth="1"/>
    <col min="15112" max="15112" width="21.109375" style="5" customWidth="1"/>
    <col min="15113" max="15113" width="21.109375" style="5" bestFit="1" customWidth="1"/>
    <col min="15114" max="15114" width="14.88671875" style="5" customWidth="1"/>
    <col min="15115" max="15115" width="20.33203125" style="5" bestFit="1" customWidth="1"/>
    <col min="15116" max="15118" width="0" style="5" hidden="1" customWidth="1"/>
    <col min="15119" max="15119" width="18.109375" style="5" bestFit="1" customWidth="1"/>
    <col min="15120" max="15120" width="21" style="5" bestFit="1" customWidth="1"/>
    <col min="15121" max="15121" width="21.5546875" style="5" bestFit="1" customWidth="1"/>
    <col min="15122" max="15122" width="16.5546875" style="5" customWidth="1"/>
    <col min="15123" max="15124" width="19.109375" style="5" customWidth="1"/>
    <col min="15125" max="15125" width="20.88671875" style="5" customWidth="1"/>
    <col min="15126" max="15126" width="12.88671875" style="5" customWidth="1"/>
    <col min="15127" max="15127" width="13.109375" style="5" bestFit="1" customWidth="1"/>
    <col min="15128" max="15128" width="13.5546875" style="5" customWidth="1"/>
    <col min="15129" max="15129" width="12" style="5" bestFit="1" customWidth="1"/>
    <col min="15130" max="15130" width="10.88671875" style="5" bestFit="1" customWidth="1"/>
    <col min="15131" max="15360" width="9.109375" style="5"/>
    <col min="15361" max="15361" width="4.44140625" style="5" customWidth="1"/>
    <col min="15362" max="15362" width="0.33203125" style="5" customWidth="1"/>
    <col min="15363" max="15363" width="41.109375" style="5" bestFit="1" customWidth="1"/>
    <col min="15364" max="15364" width="8.109375" style="5" customWidth="1"/>
    <col min="15365" max="15365" width="22.33203125" style="5" bestFit="1" customWidth="1"/>
    <col min="15366" max="15366" width="0" style="5" hidden="1" customWidth="1"/>
    <col min="15367" max="15367" width="21.109375" style="5" bestFit="1" customWidth="1"/>
    <col min="15368" max="15368" width="21.109375" style="5" customWidth="1"/>
    <col min="15369" max="15369" width="21.109375" style="5" bestFit="1" customWidth="1"/>
    <col min="15370" max="15370" width="14.88671875" style="5" customWidth="1"/>
    <col min="15371" max="15371" width="20.33203125" style="5" bestFit="1" customWidth="1"/>
    <col min="15372" max="15374" width="0" style="5" hidden="1" customWidth="1"/>
    <col min="15375" max="15375" width="18.109375" style="5" bestFit="1" customWidth="1"/>
    <col min="15376" max="15376" width="21" style="5" bestFit="1" customWidth="1"/>
    <col min="15377" max="15377" width="21.5546875" style="5" bestFit="1" customWidth="1"/>
    <col min="15378" max="15378" width="16.5546875" style="5" customWidth="1"/>
    <col min="15379" max="15380" width="19.109375" style="5" customWidth="1"/>
    <col min="15381" max="15381" width="20.88671875" style="5" customWidth="1"/>
    <col min="15382" max="15382" width="12.88671875" style="5" customWidth="1"/>
    <col min="15383" max="15383" width="13.109375" style="5" bestFit="1" customWidth="1"/>
    <col min="15384" max="15384" width="13.5546875" style="5" customWidth="1"/>
    <col min="15385" max="15385" width="12" style="5" bestFit="1" customWidth="1"/>
    <col min="15386" max="15386" width="10.88671875" style="5" bestFit="1" customWidth="1"/>
    <col min="15387" max="15616" width="9.109375" style="5"/>
    <col min="15617" max="15617" width="4.44140625" style="5" customWidth="1"/>
    <col min="15618" max="15618" width="0.33203125" style="5" customWidth="1"/>
    <col min="15619" max="15619" width="41.109375" style="5" bestFit="1" customWidth="1"/>
    <col min="15620" max="15620" width="8.109375" style="5" customWidth="1"/>
    <col min="15621" max="15621" width="22.33203125" style="5" bestFit="1" customWidth="1"/>
    <col min="15622" max="15622" width="0" style="5" hidden="1" customWidth="1"/>
    <col min="15623" max="15623" width="21.109375" style="5" bestFit="1" customWidth="1"/>
    <col min="15624" max="15624" width="21.109375" style="5" customWidth="1"/>
    <col min="15625" max="15625" width="21.109375" style="5" bestFit="1" customWidth="1"/>
    <col min="15626" max="15626" width="14.88671875" style="5" customWidth="1"/>
    <col min="15627" max="15627" width="20.33203125" style="5" bestFit="1" customWidth="1"/>
    <col min="15628" max="15630" width="0" style="5" hidden="1" customWidth="1"/>
    <col min="15631" max="15631" width="18.109375" style="5" bestFit="1" customWidth="1"/>
    <col min="15632" max="15632" width="21" style="5" bestFit="1" customWidth="1"/>
    <col min="15633" max="15633" width="21.5546875" style="5" bestFit="1" customWidth="1"/>
    <col min="15634" max="15634" width="16.5546875" style="5" customWidth="1"/>
    <col min="15635" max="15636" width="19.109375" style="5" customWidth="1"/>
    <col min="15637" max="15637" width="20.88671875" style="5" customWidth="1"/>
    <col min="15638" max="15638" width="12.88671875" style="5" customWidth="1"/>
    <col min="15639" max="15639" width="13.109375" style="5" bestFit="1" customWidth="1"/>
    <col min="15640" max="15640" width="13.5546875" style="5" customWidth="1"/>
    <col min="15641" max="15641" width="12" style="5" bestFit="1" customWidth="1"/>
    <col min="15642" max="15642" width="10.88671875" style="5" bestFit="1" customWidth="1"/>
    <col min="15643" max="15872" width="9.109375" style="5"/>
    <col min="15873" max="15873" width="4.44140625" style="5" customWidth="1"/>
    <col min="15874" max="15874" width="0.33203125" style="5" customWidth="1"/>
    <col min="15875" max="15875" width="41.109375" style="5" bestFit="1" customWidth="1"/>
    <col min="15876" max="15876" width="8.109375" style="5" customWidth="1"/>
    <col min="15877" max="15877" width="22.33203125" style="5" bestFit="1" customWidth="1"/>
    <col min="15878" max="15878" width="0" style="5" hidden="1" customWidth="1"/>
    <col min="15879" max="15879" width="21.109375" style="5" bestFit="1" customWidth="1"/>
    <col min="15880" max="15880" width="21.109375" style="5" customWidth="1"/>
    <col min="15881" max="15881" width="21.109375" style="5" bestFit="1" customWidth="1"/>
    <col min="15882" max="15882" width="14.88671875" style="5" customWidth="1"/>
    <col min="15883" max="15883" width="20.33203125" style="5" bestFit="1" customWidth="1"/>
    <col min="15884" max="15886" width="0" style="5" hidden="1" customWidth="1"/>
    <col min="15887" max="15887" width="18.109375" style="5" bestFit="1" customWidth="1"/>
    <col min="15888" max="15888" width="21" style="5" bestFit="1" customWidth="1"/>
    <col min="15889" max="15889" width="21.5546875" style="5" bestFit="1" customWidth="1"/>
    <col min="15890" max="15890" width="16.5546875" style="5" customWidth="1"/>
    <col min="15891" max="15892" width="19.109375" style="5" customWidth="1"/>
    <col min="15893" max="15893" width="20.88671875" style="5" customWidth="1"/>
    <col min="15894" max="15894" width="12.88671875" style="5" customWidth="1"/>
    <col min="15895" max="15895" width="13.109375" style="5" bestFit="1" customWidth="1"/>
    <col min="15896" max="15896" width="13.5546875" style="5" customWidth="1"/>
    <col min="15897" max="15897" width="12" style="5" bestFit="1" customWidth="1"/>
    <col min="15898" max="15898" width="10.88671875" style="5" bestFit="1" customWidth="1"/>
    <col min="15899" max="16128" width="9.109375" style="5"/>
    <col min="16129" max="16129" width="4.44140625" style="5" customWidth="1"/>
    <col min="16130" max="16130" width="0.33203125" style="5" customWidth="1"/>
    <col min="16131" max="16131" width="41.109375" style="5" bestFit="1" customWidth="1"/>
    <col min="16132" max="16132" width="8.109375" style="5" customWidth="1"/>
    <col min="16133" max="16133" width="22.33203125" style="5" bestFit="1" customWidth="1"/>
    <col min="16134" max="16134" width="0" style="5" hidden="1" customWidth="1"/>
    <col min="16135" max="16135" width="21.109375" style="5" bestFit="1" customWidth="1"/>
    <col min="16136" max="16136" width="21.109375" style="5" customWidth="1"/>
    <col min="16137" max="16137" width="21.109375" style="5" bestFit="1" customWidth="1"/>
    <col min="16138" max="16138" width="14.88671875" style="5" customWidth="1"/>
    <col min="16139" max="16139" width="20.33203125" style="5" bestFit="1" customWidth="1"/>
    <col min="16140" max="16142" width="0" style="5" hidden="1" customWidth="1"/>
    <col min="16143" max="16143" width="18.109375" style="5" bestFit="1" customWidth="1"/>
    <col min="16144" max="16144" width="21" style="5" bestFit="1" customWidth="1"/>
    <col min="16145" max="16145" width="21.5546875" style="5" bestFit="1" customWidth="1"/>
    <col min="16146" max="16146" width="16.5546875" style="5" customWidth="1"/>
    <col min="16147" max="16148" width="19.109375" style="5" customWidth="1"/>
    <col min="16149" max="16149" width="20.88671875" style="5" customWidth="1"/>
    <col min="16150" max="16150" width="12.88671875" style="5" customWidth="1"/>
    <col min="16151" max="16151" width="13.109375" style="5" bestFit="1" customWidth="1"/>
    <col min="16152" max="16152" width="13.5546875" style="5" customWidth="1"/>
    <col min="16153" max="16153" width="12" style="5" bestFit="1" customWidth="1"/>
    <col min="16154" max="16154" width="10.88671875" style="5" bestFit="1" customWidth="1"/>
    <col min="16155" max="16384" width="9.109375" style="5"/>
  </cols>
  <sheetData>
    <row r="1" spans="1:26" ht="14.4" customHeight="1" x14ac:dyDescent="0.35">
      <c r="U1" s="784" t="s">
        <v>173</v>
      </c>
      <c r="V1" s="784"/>
    </row>
    <row r="2" spans="1:26" ht="18" x14ac:dyDescent="0.35">
      <c r="A2" s="785" t="s">
        <v>87</v>
      </c>
      <c r="B2" s="785"/>
      <c r="C2" s="785"/>
      <c r="D2" s="785"/>
      <c r="E2" s="785"/>
      <c r="F2" s="785"/>
      <c r="G2" s="785"/>
      <c r="H2" s="785"/>
      <c r="I2" s="785"/>
      <c r="J2" s="785"/>
      <c r="K2" s="785"/>
      <c r="L2" s="785"/>
      <c r="M2" s="785"/>
      <c r="N2" s="785"/>
      <c r="O2" s="785"/>
      <c r="P2" s="785"/>
      <c r="Q2" s="785"/>
      <c r="R2" s="785"/>
      <c r="S2" s="785"/>
      <c r="T2" s="785"/>
      <c r="U2" s="785"/>
      <c r="V2" s="785"/>
    </row>
    <row r="3" spans="1:26" ht="18" x14ac:dyDescent="0.35">
      <c r="A3" s="786" t="s">
        <v>147</v>
      </c>
      <c r="B3" s="786"/>
      <c r="C3" s="786"/>
      <c r="D3" s="786"/>
      <c r="E3" s="786"/>
      <c r="F3" s="786"/>
      <c r="G3" s="786"/>
      <c r="H3" s="786"/>
      <c r="I3" s="786"/>
      <c r="J3" s="786"/>
      <c r="K3" s="786"/>
      <c r="L3" s="786"/>
      <c r="M3" s="786"/>
      <c r="N3" s="786"/>
      <c r="O3" s="786"/>
      <c r="P3" s="786"/>
      <c r="Q3" s="786"/>
      <c r="R3" s="786"/>
      <c r="S3" s="786"/>
      <c r="T3" s="786"/>
      <c r="U3" s="786"/>
      <c r="V3" s="786"/>
      <c r="W3" s="103"/>
      <c r="X3" s="103"/>
      <c r="Y3" s="103"/>
      <c r="Z3" s="103"/>
    </row>
    <row r="4" spans="1:26" ht="18.600000000000001" thickBot="1" x14ac:dyDescent="0.4">
      <c r="A4" s="787" t="s">
        <v>146</v>
      </c>
      <c r="B4" s="787"/>
      <c r="C4" s="787"/>
      <c r="D4" s="787"/>
      <c r="E4" s="787"/>
      <c r="F4" s="787"/>
      <c r="G4" s="787"/>
      <c r="H4" s="787"/>
      <c r="I4" s="787"/>
      <c r="J4" s="787"/>
      <c r="K4" s="787"/>
      <c r="L4" s="787"/>
      <c r="M4" s="787"/>
      <c r="N4" s="787"/>
      <c r="O4" s="787"/>
      <c r="P4" s="787"/>
      <c r="Q4" s="787"/>
      <c r="R4" s="787"/>
      <c r="S4" s="787"/>
      <c r="T4" s="787"/>
      <c r="U4" s="787"/>
      <c r="V4" s="787"/>
      <c r="W4" s="103"/>
      <c r="X4" s="103"/>
      <c r="Y4" s="103"/>
      <c r="Z4" s="103"/>
    </row>
    <row r="5" spans="1:26" ht="18" customHeight="1" thickTop="1" thickBot="1" x14ac:dyDescent="0.35">
      <c r="A5" s="708" t="s">
        <v>41</v>
      </c>
      <c r="B5" s="708" t="s">
        <v>59</v>
      </c>
      <c r="C5" s="708" t="s">
        <v>42</v>
      </c>
      <c r="D5" s="194"/>
      <c r="E5" s="195"/>
      <c r="F5" s="195"/>
      <c r="G5" s="195"/>
      <c r="H5" s="195"/>
      <c r="I5" s="793" t="s">
        <v>211</v>
      </c>
      <c r="J5" s="793"/>
      <c r="K5" s="793"/>
      <c r="L5" s="793"/>
      <c r="M5" s="793"/>
      <c r="N5" s="793"/>
      <c r="O5" s="794"/>
      <c r="P5" s="711" t="s">
        <v>209</v>
      </c>
      <c r="Q5" s="144"/>
      <c r="R5" s="144"/>
      <c r="S5" s="711" t="s">
        <v>187</v>
      </c>
      <c r="T5" s="711" t="s">
        <v>210</v>
      </c>
      <c r="U5" s="711" t="s">
        <v>88</v>
      </c>
      <c r="V5" s="711" t="s">
        <v>89</v>
      </c>
    </row>
    <row r="6" spans="1:26" s="26" customFormat="1" ht="80.400000000000006" customHeight="1" thickTop="1" thickBot="1" x14ac:dyDescent="0.35">
      <c r="A6" s="788"/>
      <c r="B6" s="788"/>
      <c r="C6" s="789"/>
      <c r="D6" s="25" t="s">
        <v>90</v>
      </c>
      <c r="E6" s="25" t="s">
        <v>142</v>
      </c>
      <c r="F6" s="25" t="s">
        <v>69</v>
      </c>
      <c r="G6" s="25" t="s">
        <v>183</v>
      </c>
      <c r="H6" s="25" t="s">
        <v>200</v>
      </c>
      <c r="I6" s="25" t="s">
        <v>143</v>
      </c>
      <c r="J6" s="25" t="s">
        <v>91</v>
      </c>
      <c r="K6" s="25" t="s">
        <v>149</v>
      </c>
      <c r="L6" s="25" t="s">
        <v>138</v>
      </c>
      <c r="M6" s="25" t="s">
        <v>92</v>
      </c>
      <c r="N6" s="25" t="s">
        <v>199</v>
      </c>
      <c r="O6" s="25" t="s">
        <v>184</v>
      </c>
      <c r="P6" s="782"/>
      <c r="Q6" s="25" t="s">
        <v>185</v>
      </c>
      <c r="R6" s="25" t="s">
        <v>208</v>
      </c>
      <c r="S6" s="782"/>
      <c r="T6" s="782"/>
      <c r="U6" s="782"/>
      <c r="V6" s="782"/>
    </row>
    <row r="7" spans="1:26" ht="34.5" customHeight="1" thickTop="1" x14ac:dyDescent="0.3">
      <c r="A7" s="27">
        <v>1</v>
      </c>
      <c r="B7" s="104"/>
      <c r="C7" s="104" t="s">
        <v>144</v>
      </c>
      <c r="D7" s="28"/>
      <c r="E7" s="279">
        <v>0</v>
      </c>
      <c r="F7" s="279"/>
      <c r="G7" s="279"/>
      <c r="H7" s="279"/>
      <c r="I7" s="279">
        <v>0</v>
      </c>
      <c r="J7" s="279">
        <v>0</v>
      </c>
      <c r="K7" s="279">
        <v>0</v>
      </c>
      <c r="L7" s="279">
        <f>E7-I7-J7-K7</f>
        <v>0</v>
      </c>
      <c r="M7" s="279">
        <v>0</v>
      </c>
      <c r="N7" s="279"/>
      <c r="O7" s="279"/>
      <c r="P7" s="279"/>
      <c r="Q7" s="279"/>
      <c r="R7" s="279"/>
      <c r="S7" s="279"/>
      <c r="T7" s="279"/>
      <c r="U7" s="269"/>
      <c r="V7" s="31"/>
    </row>
    <row r="8" spans="1:26" ht="22.5" customHeight="1" x14ac:dyDescent="0.3">
      <c r="A8" s="32"/>
      <c r="B8" s="33"/>
      <c r="C8" s="33"/>
      <c r="D8" s="35">
        <v>1</v>
      </c>
      <c r="E8" s="280">
        <v>26939769</v>
      </c>
      <c r="F8" s="280"/>
      <c r="G8" s="280">
        <v>5243289</v>
      </c>
      <c r="H8" s="280">
        <v>0</v>
      </c>
      <c r="I8" s="280">
        <f>E8*0.05</f>
        <v>1346988.4500000002</v>
      </c>
      <c r="J8" s="280">
        <v>0</v>
      </c>
      <c r="K8" s="280">
        <f>E8*0.075</f>
        <v>2020482.6749999998</v>
      </c>
      <c r="L8" s="280">
        <f>E8-I8+J8-K8</f>
        <v>23572297.875</v>
      </c>
      <c r="M8" s="280">
        <v>0</v>
      </c>
      <c r="N8" s="280">
        <v>5243289</v>
      </c>
      <c r="O8" s="280">
        <f>N8*0.075</f>
        <v>393246.67499999999</v>
      </c>
      <c r="P8" s="280">
        <f>E8+G8-I8-K8-O8-J8</f>
        <v>28422340.199999999</v>
      </c>
      <c r="Q8" s="280">
        <v>21944957.675000001</v>
      </c>
      <c r="R8" s="280">
        <f>N8-O8</f>
        <v>4850042.3250000002</v>
      </c>
      <c r="S8" s="280">
        <f>Q8+R8</f>
        <v>26795000</v>
      </c>
      <c r="T8" s="280">
        <f>P8-S8</f>
        <v>1627340.1999999993</v>
      </c>
      <c r="U8" s="270">
        <v>51427944</v>
      </c>
      <c r="V8" s="271">
        <v>41913</v>
      </c>
    </row>
    <row r="9" spans="1:26" ht="22.5" customHeight="1" x14ac:dyDescent="0.3">
      <c r="A9" s="32"/>
      <c r="B9" s="33"/>
      <c r="C9" s="33"/>
      <c r="D9" s="35">
        <f>D8+1</f>
        <v>2</v>
      </c>
      <c r="E9" s="280">
        <v>6145718</v>
      </c>
      <c r="F9" s="280"/>
      <c r="G9" s="281">
        <v>5631211</v>
      </c>
      <c r="H9" s="280">
        <v>0</v>
      </c>
      <c r="I9" s="280">
        <f t="shared" ref="I9:I22" si="0">E9*0.05</f>
        <v>307285.90000000002</v>
      </c>
      <c r="J9" s="280">
        <v>0</v>
      </c>
      <c r="K9" s="280">
        <f t="shared" ref="K9:K22" si="1">E9*0.075</f>
        <v>460928.85</v>
      </c>
      <c r="L9" s="280">
        <f>E9-I9+J9-K9</f>
        <v>5377503.25</v>
      </c>
      <c r="M9" s="280">
        <v>0</v>
      </c>
      <c r="N9" s="281">
        <v>5631211</v>
      </c>
      <c r="O9" s="280">
        <f t="shared" ref="O9:O20" si="2">N9*0.075</f>
        <v>422340.82500000001</v>
      </c>
      <c r="P9" s="280">
        <f t="shared" ref="P9:P22" si="3">E9+G9-I9-K9-O9-J9</f>
        <v>10586373.425000001</v>
      </c>
      <c r="Q9" s="280">
        <v>5161129.8250000002</v>
      </c>
      <c r="R9" s="281">
        <v>5208870.1749999998</v>
      </c>
      <c r="S9" s="280">
        <f t="shared" ref="S9:S20" si="4">Q9+R9</f>
        <v>10370000</v>
      </c>
      <c r="T9" s="280">
        <f t="shared" ref="T9:T35" si="5">P9-S9</f>
        <v>216373.42500000075</v>
      </c>
      <c r="U9" s="282">
        <v>53895353</v>
      </c>
      <c r="V9" s="271">
        <v>41978</v>
      </c>
    </row>
    <row r="10" spans="1:26" ht="22.5" customHeight="1" x14ac:dyDescent="0.3">
      <c r="A10" s="32"/>
      <c r="B10" s="33"/>
      <c r="C10" s="33"/>
      <c r="D10" s="35">
        <f t="shared" ref="D10:D22" si="6">D9+1</f>
        <v>3</v>
      </c>
      <c r="E10" s="280">
        <v>0</v>
      </c>
      <c r="F10" s="280"/>
      <c r="G10" s="280">
        <v>7759250</v>
      </c>
      <c r="H10" s="280">
        <v>0</v>
      </c>
      <c r="I10" s="280">
        <f t="shared" si="0"/>
        <v>0</v>
      </c>
      <c r="J10" s="280">
        <v>0</v>
      </c>
      <c r="K10" s="280">
        <f t="shared" si="1"/>
        <v>0</v>
      </c>
      <c r="L10" s="280">
        <f>E10-I10+J10-K10</f>
        <v>0</v>
      </c>
      <c r="M10" s="280">
        <v>0</v>
      </c>
      <c r="N10" s="280">
        <v>7759250</v>
      </c>
      <c r="O10" s="280">
        <f t="shared" si="2"/>
        <v>581943.75</v>
      </c>
      <c r="P10" s="280">
        <f t="shared" si="3"/>
        <v>7177306.25</v>
      </c>
      <c r="Q10" s="280">
        <v>0</v>
      </c>
      <c r="R10" s="281">
        <v>7177306.25</v>
      </c>
      <c r="S10" s="280">
        <f t="shared" si="4"/>
        <v>7177306.25</v>
      </c>
      <c r="T10" s="280">
        <f t="shared" si="5"/>
        <v>0</v>
      </c>
      <c r="U10" s="283">
        <v>53895403</v>
      </c>
      <c r="V10" s="284">
        <v>42009</v>
      </c>
    </row>
    <row r="11" spans="1:26" ht="22.5" customHeight="1" x14ac:dyDescent="0.3">
      <c r="A11" s="32"/>
      <c r="B11" s="33"/>
      <c r="C11" s="285"/>
      <c r="D11" s="35">
        <f t="shared" si="6"/>
        <v>4</v>
      </c>
      <c r="E11" s="280">
        <v>3895028</v>
      </c>
      <c r="F11" s="280"/>
      <c r="G11" s="281">
        <v>0</v>
      </c>
      <c r="H11" s="280">
        <v>0</v>
      </c>
      <c r="I11" s="280">
        <f t="shared" si="0"/>
        <v>194751.40000000002</v>
      </c>
      <c r="J11" s="280">
        <v>0</v>
      </c>
      <c r="K11" s="280">
        <f t="shared" si="1"/>
        <v>292127.09999999998</v>
      </c>
      <c r="L11" s="280">
        <f>E11-I11+J11-K11</f>
        <v>3408149.5</v>
      </c>
      <c r="M11" s="280">
        <v>0</v>
      </c>
      <c r="N11" s="281">
        <v>0</v>
      </c>
      <c r="O11" s="280">
        <f t="shared" si="2"/>
        <v>0</v>
      </c>
      <c r="P11" s="280">
        <f t="shared" si="3"/>
        <v>3408149.5</v>
      </c>
      <c r="Q11" s="280">
        <v>5251863.05</v>
      </c>
      <c r="R11" s="281">
        <v>0</v>
      </c>
      <c r="S11" s="280">
        <f t="shared" si="4"/>
        <v>5251863.05</v>
      </c>
      <c r="T11" s="280">
        <f t="shared" si="5"/>
        <v>-1843713.5499999998</v>
      </c>
      <c r="U11" s="282">
        <v>60596488</v>
      </c>
      <c r="V11" s="271">
        <v>42032</v>
      </c>
    </row>
    <row r="12" spans="1:26" ht="22.5" customHeight="1" x14ac:dyDescent="0.3">
      <c r="A12" s="32"/>
      <c r="B12" s="33"/>
      <c r="C12" s="285"/>
      <c r="D12" s="35">
        <f t="shared" si="6"/>
        <v>5</v>
      </c>
      <c r="E12" s="280">
        <v>2724609</v>
      </c>
      <c r="F12" s="280"/>
      <c r="G12" s="281">
        <v>0</v>
      </c>
      <c r="H12" s="280">
        <v>0</v>
      </c>
      <c r="I12" s="280">
        <f t="shared" si="0"/>
        <v>136230.45000000001</v>
      </c>
      <c r="J12" s="280"/>
      <c r="K12" s="280">
        <f t="shared" si="1"/>
        <v>204345.67499999999</v>
      </c>
      <c r="L12" s="280"/>
      <c r="M12" s="280"/>
      <c r="N12" s="281"/>
      <c r="O12" s="280">
        <f t="shared" si="2"/>
        <v>0</v>
      </c>
      <c r="P12" s="280">
        <f t="shared" si="3"/>
        <v>2384032.875</v>
      </c>
      <c r="Q12" s="280">
        <v>2384033.075000003</v>
      </c>
      <c r="R12" s="281">
        <v>0</v>
      </c>
      <c r="S12" s="280">
        <f t="shared" si="4"/>
        <v>2384033.075000003</v>
      </c>
      <c r="T12" s="280">
        <f t="shared" si="5"/>
        <v>-0.20000000298023224</v>
      </c>
      <c r="U12" s="282">
        <v>605966564</v>
      </c>
      <c r="V12" s="271">
        <v>42069</v>
      </c>
    </row>
    <row r="13" spans="1:26" ht="22.5" customHeight="1" x14ac:dyDescent="0.3">
      <c r="A13" s="32"/>
      <c r="B13" s="33"/>
      <c r="C13" s="285"/>
      <c r="D13" s="35">
        <f t="shared" si="6"/>
        <v>6</v>
      </c>
      <c r="E13" s="280">
        <v>39933946</v>
      </c>
      <c r="F13" s="280"/>
      <c r="G13" s="281">
        <v>0</v>
      </c>
      <c r="H13" s="280">
        <v>0</v>
      </c>
      <c r="I13" s="280">
        <f t="shared" si="0"/>
        <v>1996697.3</v>
      </c>
      <c r="J13" s="280"/>
      <c r="K13" s="280">
        <f t="shared" si="1"/>
        <v>2995045.9499999997</v>
      </c>
      <c r="L13" s="280"/>
      <c r="M13" s="280"/>
      <c r="N13" s="281"/>
      <c r="O13" s="280">
        <f t="shared" si="2"/>
        <v>0</v>
      </c>
      <c r="P13" s="280">
        <f t="shared" si="3"/>
        <v>34942202.75</v>
      </c>
      <c r="Q13" s="280">
        <v>15000000</v>
      </c>
      <c r="R13" s="281">
        <v>0</v>
      </c>
      <c r="S13" s="280">
        <f t="shared" si="4"/>
        <v>15000000</v>
      </c>
      <c r="T13" s="280">
        <f t="shared" si="5"/>
        <v>19942202.75</v>
      </c>
      <c r="U13" s="282">
        <v>64199947</v>
      </c>
      <c r="V13" s="271">
        <v>42083</v>
      </c>
    </row>
    <row r="14" spans="1:26" ht="22.5" customHeight="1" x14ac:dyDescent="0.3">
      <c r="A14" s="32"/>
      <c r="B14" s="33"/>
      <c r="C14" s="285"/>
      <c r="D14" s="35">
        <f t="shared" si="6"/>
        <v>7</v>
      </c>
      <c r="E14" s="280">
        <v>0</v>
      </c>
      <c r="F14" s="280"/>
      <c r="G14" s="281">
        <v>0</v>
      </c>
      <c r="H14" s="280">
        <v>0</v>
      </c>
      <c r="I14" s="280">
        <f t="shared" si="0"/>
        <v>0</v>
      </c>
      <c r="J14" s="280"/>
      <c r="K14" s="280">
        <f t="shared" si="1"/>
        <v>0</v>
      </c>
      <c r="L14" s="280"/>
      <c r="M14" s="280"/>
      <c r="N14" s="281"/>
      <c r="O14" s="280">
        <f t="shared" si="2"/>
        <v>0</v>
      </c>
      <c r="P14" s="280">
        <f t="shared" si="3"/>
        <v>0</v>
      </c>
      <c r="Q14" s="280">
        <v>10000000</v>
      </c>
      <c r="R14" s="281">
        <v>0</v>
      </c>
      <c r="S14" s="280">
        <f t="shared" si="4"/>
        <v>10000000</v>
      </c>
      <c r="T14" s="280">
        <f t="shared" si="5"/>
        <v>-10000000</v>
      </c>
      <c r="U14" s="282">
        <v>64199953</v>
      </c>
      <c r="V14" s="271">
        <v>42089</v>
      </c>
    </row>
    <row r="15" spans="1:26" ht="22.5" customHeight="1" x14ac:dyDescent="0.3">
      <c r="A15" s="32"/>
      <c r="B15" s="33"/>
      <c r="C15" s="285"/>
      <c r="D15" s="35">
        <f t="shared" si="6"/>
        <v>8</v>
      </c>
      <c r="E15" s="280">
        <v>0</v>
      </c>
      <c r="F15" s="280"/>
      <c r="G15" s="281">
        <v>0</v>
      </c>
      <c r="H15" s="280">
        <v>0</v>
      </c>
      <c r="I15" s="280">
        <f t="shared" si="0"/>
        <v>0</v>
      </c>
      <c r="J15" s="280"/>
      <c r="K15" s="280">
        <f t="shared" si="1"/>
        <v>0</v>
      </c>
      <c r="L15" s="280"/>
      <c r="M15" s="280"/>
      <c r="N15" s="281"/>
      <c r="O15" s="280">
        <f t="shared" si="2"/>
        <v>0</v>
      </c>
      <c r="P15" s="280">
        <f t="shared" si="3"/>
        <v>0</v>
      </c>
      <c r="Q15" s="280">
        <v>9942202.75</v>
      </c>
      <c r="R15" s="281">
        <v>0</v>
      </c>
      <c r="S15" s="280">
        <f t="shared" si="4"/>
        <v>9942202.75</v>
      </c>
      <c r="T15" s="280">
        <f t="shared" si="5"/>
        <v>-9942202.75</v>
      </c>
      <c r="U15" s="282">
        <v>64199971</v>
      </c>
      <c r="V15" s="271">
        <v>42101</v>
      </c>
    </row>
    <row r="16" spans="1:26" ht="22.5" customHeight="1" x14ac:dyDescent="0.3">
      <c r="A16" s="32"/>
      <c r="B16" s="33"/>
      <c r="C16" s="285"/>
      <c r="D16" s="35">
        <f t="shared" si="6"/>
        <v>9</v>
      </c>
      <c r="E16" s="280">
        <v>48268222</v>
      </c>
      <c r="F16" s="280"/>
      <c r="G16" s="281">
        <v>0</v>
      </c>
      <c r="H16" s="280">
        <v>0</v>
      </c>
      <c r="I16" s="280">
        <f t="shared" si="0"/>
        <v>2413411.1</v>
      </c>
      <c r="J16" s="280">
        <v>2000000</v>
      </c>
      <c r="K16" s="280">
        <f t="shared" si="1"/>
        <v>3620116.65</v>
      </c>
      <c r="L16" s="280"/>
      <c r="M16" s="280"/>
      <c r="N16" s="281"/>
      <c r="O16" s="280">
        <f t="shared" si="2"/>
        <v>0</v>
      </c>
      <c r="P16" s="280">
        <f t="shared" si="3"/>
        <v>40234694.25</v>
      </c>
      <c r="Q16" s="280">
        <v>20000000</v>
      </c>
      <c r="R16" s="281">
        <v>0</v>
      </c>
      <c r="S16" s="280">
        <f t="shared" si="4"/>
        <v>20000000</v>
      </c>
      <c r="T16" s="280">
        <f t="shared" si="5"/>
        <v>20234694.25</v>
      </c>
      <c r="U16" s="282">
        <v>66942543</v>
      </c>
      <c r="V16" s="271">
        <v>42129</v>
      </c>
    </row>
    <row r="17" spans="1:24" ht="22.5" customHeight="1" x14ac:dyDescent="0.3">
      <c r="A17" s="32"/>
      <c r="B17" s="33"/>
      <c r="C17" s="285"/>
      <c r="D17" s="35">
        <f t="shared" si="6"/>
        <v>10</v>
      </c>
      <c r="E17" s="280">
        <v>0</v>
      </c>
      <c r="F17" s="280"/>
      <c r="G17" s="281">
        <v>0</v>
      </c>
      <c r="H17" s="280">
        <v>0</v>
      </c>
      <c r="I17" s="280">
        <f t="shared" si="0"/>
        <v>0</v>
      </c>
      <c r="J17" s="280"/>
      <c r="K17" s="280">
        <f t="shared" si="1"/>
        <v>0</v>
      </c>
      <c r="L17" s="280"/>
      <c r="M17" s="280"/>
      <c r="N17" s="281"/>
      <c r="O17" s="280">
        <f t="shared" si="2"/>
        <v>0</v>
      </c>
      <c r="P17" s="280">
        <f t="shared" si="3"/>
        <v>0</v>
      </c>
      <c r="Q17" s="280">
        <v>10000000</v>
      </c>
      <c r="R17" s="281">
        <v>0</v>
      </c>
      <c r="S17" s="280">
        <f t="shared" si="4"/>
        <v>10000000</v>
      </c>
      <c r="T17" s="280">
        <f t="shared" si="5"/>
        <v>-10000000</v>
      </c>
      <c r="U17" s="282">
        <v>66942593</v>
      </c>
      <c r="V17" s="271">
        <v>42145</v>
      </c>
    </row>
    <row r="18" spans="1:24" ht="22.5" customHeight="1" x14ac:dyDescent="0.3">
      <c r="A18" s="32"/>
      <c r="B18" s="33"/>
      <c r="C18" s="285"/>
      <c r="D18" s="35">
        <f t="shared" si="6"/>
        <v>11</v>
      </c>
      <c r="E18" s="281">
        <v>0</v>
      </c>
      <c r="F18" s="280"/>
      <c r="G18" s="281">
        <v>0</v>
      </c>
      <c r="H18" s="280">
        <v>0</v>
      </c>
      <c r="I18" s="280">
        <f t="shared" si="0"/>
        <v>0</v>
      </c>
      <c r="J18" s="280"/>
      <c r="K18" s="280">
        <f t="shared" si="1"/>
        <v>0</v>
      </c>
      <c r="L18" s="280"/>
      <c r="M18" s="280"/>
      <c r="N18" s="281"/>
      <c r="O18" s="280">
        <f t="shared" si="2"/>
        <v>0</v>
      </c>
      <c r="P18" s="280">
        <f t="shared" si="3"/>
        <v>0</v>
      </c>
      <c r="Q18" s="280">
        <v>10234695</v>
      </c>
      <c r="R18" s="281">
        <v>0</v>
      </c>
      <c r="S18" s="280">
        <f t="shared" si="4"/>
        <v>10234695</v>
      </c>
      <c r="T18" s="280">
        <f t="shared" si="5"/>
        <v>-10234695</v>
      </c>
      <c r="U18" s="282">
        <v>69695108</v>
      </c>
      <c r="V18" s="271">
        <v>42170</v>
      </c>
    </row>
    <row r="19" spans="1:24" ht="22.5" customHeight="1" x14ac:dyDescent="0.3">
      <c r="A19" s="32"/>
      <c r="B19" s="33"/>
      <c r="C19" s="285"/>
      <c r="D19" s="35">
        <f t="shared" si="6"/>
        <v>12</v>
      </c>
      <c r="E19" s="280">
        <v>23535361</v>
      </c>
      <c r="F19" s="280"/>
      <c r="G19" s="281">
        <v>0</v>
      </c>
      <c r="H19" s="280">
        <v>0</v>
      </c>
      <c r="I19" s="280">
        <f t="shared" si="0"/>
        <v>1176768.05</v>
      </c>
      <c r="J19" s="280"/>
      <c r="K19" s="280">
        <f t="shared" si="1"/>
        <v>1765152.075</v>
      </c>
      <c r="L19" s="280"/>
      <c r="M19" s="280"/>
      <c r="N19" s="281"/>
      <c r="O19" s="280">
        <f t="shared" si="2"/>
        <v>0</v>
      </c>
      <c r="P19" s="280">
        <f t="shared" si="3"/>
        <v>20593440.875</v>
      </c>
      <c r="Q19" s="280">
        <v>20593441</v>
      </c>
      <c r="R19" s="281">
        <v>0</v>
      </c>
      <c r="S19" s="280">
        <f t="shared" si="4"/>
        <v>20593441</v>
      </c>
      <c r="T19" s="280">
        <f t="shared" si="5"/>
        <v>-0.125</v>
      </c>
      <c r="U19" s="282">
        <v>69695149</v>
      </c>
      <c r="V19" s="271">
        <v>42185</v>
      </c>
    </row>
    <row r="20" spans="1:24" ht="22.5" customHeight="1" x14ac:dyDescent="0.3">
      <c r="A20" s="32"/>
      <c r="B20" s="33"/>
      <c r="C20" s="285"/>
      <c r="D20" s="35">
        <f t="shared" si="6"/>
        <v>13</v>
      </c>
      <c r="E20" s="280">
        <v>34546155</v>
      </c>
      <c r="F20" s="280"/>
      <c r="G20" s="281">
        <v>0</v>
      </c>
      <c r="H20" s="280">
        <v>0</v>
      </c>
      <c r="I20" s="280">
        <f t="shared" si="0"/>
        <v>1727307.75</v>
      </c>
      <c r="J20" s="280"/>
      <c r="K20" s="280">
        <f t="shared" si="1"/>
        <v>2590961.625</v>
      </c>
      <c r="L20" s="280"/>
      <c r="M20" s="280"/>
      <c r="N20" s="281"/>
      <c r="O20" s="280">
        <f t="shared" si="2"/>
        <v>0</v>
      </c>
      <c r="P20" s="280">
        <f t="shared" si="3"/>
        <v>30227885.625</v>
      </c>
      <c r="Q20" s="280">
        <v>30227886</v>
      </c>
      <c r="R20" s="281">
        <v>0</v>
      </c>
      <c r="S20" s="280">
        <f t="shared" si="4"/>
        <v>30227886</v>
      </c>
      <c r="T20" s="280">
        <f t="shared" si="5"/>
        <v>-0.375</v>
      </c>
      <c r="U20" s="282">
        <v>71820676</v>
      </c>
      <c r="V20" s="271">
        <v>42198</v>
      </c>
    </row>
    <row r="21" spans="1:24" ht="22.5" customHeight="1" x14ac:dyDescent="0.3">
      <c r="A21" s="32"/>
      <c r="B21" s="33"/>
      <c r="C21" s="285"/>
      <c r="D21" s="35">
        <f t="shared" si="6"/>
        <v>14</v>
      </c>
      <c r="E21" s="280">
        <v>14042998</v>
      </c>
      <c r="F21" s="280"/>
      <c r="G21" s="281"/>
      <c r="H21" s="280"/>
      <c r="I21" s="280">
        <f t="shared" si="0"/>
        <v>702149.9</v>
      </c>
      <c r="J21" s="280">
        <v>2050000</v>
      </c>
      <c r="K21" s="280">
        <f t="shared" si="1"/>
        <v>1053224.8499999999</v>
      </c>
      <c r="L21" s="280"/>
      <c r="M21" s="280"/>
      <c r="N21" s="281"/>
      <c r="O21" s="280"/>
      <c r="P21" s="280">
        <f t="shared" si="3"/>
        <v>10237623.25</v>
      </c>
      <c r="Q21" s="280">
        <f>P21</f>
        <v>10237623.25</v>
      </c>
      <c r="R21" s="281"/>
      <c r="S21" s="280">
        <f>Q21</f>
        <v>10237623.25</v>
      </c>
      <c r="T21" s="280">
        <f t="shared" si="5"/>
        <v>0</v>
      </c>
      <c r="U21" s="282" t="s">
        <v>396</v>
      </c>
      <c r="V21" s="271">
        <v>42251</v>
      </c>
    </row>
    <row r="22" spans="1:24" ht="22.5" customHeight="1" x14ac:dyDescent="0.3">
      <c r="A22" s="32"/>
      <c r="B22" s="33"/>
      <c r="C22" s="285"/>
      <c r="D22" s="35">
        <f t="shared" si="6"/>
        <v>15</v>
      </c>
      <c r="E22" s="280">
        <v>28433331</v>
      </c>
      <c r="F22" s="280"/>
      <c r="G22" s="281"/>
      <c r="H22" s="280"/>
      <c r="I22" s="280">
        <f t="shared" si="0"/>
        <v>1421666.55</v>
      </c>
      <c r="J22" s="280">
        <v>1879165</v>
      </c>
      <c r="K22" s="280">
        <f t="shared" si="1"/>
        <v>2132499.8249999997</v>
      </c>
      <c r="L22" s="280"/>
      <c r="M22" s="280"/>
      <c r="N22" s="281"/>
      <c r="O22" s="280"/>
      <c r="P22" s="280">
        <f t="shared" si="3"/>
        <v>22999999.625</v>
      </c>
      <c r="Q22" s="280">
        <v>8000000</v>
      </c>
      <c r="R22" s="281"/>
      <c r="S22" s="280">
        <f>Q22</f>
        <v>8000000</v>
      </c>
      <c r="T22" s="280">
        <f t="shared" si="5"/>
        <v>14999999.625</v>
      </c>
      <c r="U22" s="282" t="s">
        <v>397</v>
      </c>
      <c r="V22" s="271">
        <v>42255</v>
      </c>
    </row>
    <row r="23" spans="1:24" ht="22.5" customHeight="1" x14ac:dyDescent="0.3">
      <c r="A23" s="32"/>
      <c r="B23" s="33"/>
      <c r="C23" s="285"/>
      <c r="D23" s="35"/>
      <c r="E23" s="280"/>
      <c r="F23" s="280"/>
      <c r="G23" s="281"/>
      <c r="H23" s="280"/>
      <c r="I23" s="280"/>
      <c r="J23" s="280"/>
      <c r="K23" s="280"/>
      <c r="L23" s="280"/>
      <c r="M23" s="280"/>
      <c r="N23" s="281"/>
      <c r="O23" s="280"/>
      <c r="P23" s="280"/>
      <c r="Q23" s="280">
        <v>15000000</v>
      </c>
      <c r="R23" s="281"/>
      <c r="S23" s="280">
        <v>15000000</v>
      </c>
      <c r="T23" s="280">
        <f t="shared" si="5"/>
        <v>-15000000</v>
      </c>
      <c r="U23" s="282" t="s">
        <v>400</v>
      </c>
      <c r="V23" s="271">
        <v>42270</v>
      </c>
    </row>
    <row r="24" spans="1:24" ht="22.5" customHeight="1" x14ac:dyDescent="0.3">
      <c r="A24" s="32"/>
      <c r="B24" s="33"/>
      <c r="C24" s="285"/>
      <c r="D24" s="35" t="s">
        <v>401</v>
      </c>
      <c r="E24" s="280">
        <v>25698513</v>
      </c>
      <c r="F24" s="280"/>
      <c r="G24" s="281"/>
      <c r="H24" s="280"/>
      <c r="I24" s="280">
        <v>2569851</v>
      </c>
      <c r="J24" s="280">
        <v>-899586</v>
      </c>
      <c r="K24" s="280">
        <f>E24*0.075</f>
        <v>1927388.4749999999</v>
      </c>
      <c r="L24" s="280"/>
      <c r="M24" s="280"/>
      <c r="N24" s="281"/>
      <c r="O24" s="280"/>
      <c r="P24" s="280">
        <f>E24+G24-I24-K24-O24+J24</f>
        <v>20301687.524999999</v>
      </c>
      <c r="Q24" s="280">
        <v>20000000</v>
      </c>
      <c r="R24" s="281"/>
      <c r="S24" s="280">
        <f>Q24</f>
        <v>20000000</v>
      </c>
      <c r="T24" s="280">
        <f>P24-S24</f>
        <v>301687.52499999851</v>
      </c>
      <c r="U24" s="282" t="s">
        <v>402</v>
      </c>
      <c r="V24" s="271">
        <v>42290</v>
      </c>
    </row>
    <row r="25" spans="1:24" ht="22.5" customHeight="1" x14ac:dyDescent="0.3">
      <c r="A25" s="32"/>
      <c r="B25" s="33"/>
      <c r="C25" s="285"/>
      <c r="D25" s="35">
        <v>16</v>
      </c>
      <c r="E25" s="280">
        <v>10786809</v>
      </c>
      <c r="F25" s="280"/>
      <c r="G25" s="281"/>
      <c r="H25" s="280"/>
      <c r="I25" s="280">
        <v>1078681</v>
      </c>
      <c r="J25" s="280">
        <v>295024</v>
      </c>
      <c r="K25" s="280">
        <v>413104</v>
      </c>
      <c r="L25" s="280"/>
      <c r="M25" s="280"/>
      <c r="N25" s="281"/>
      <c r="O25" s="280"/>
      <c r="P25" s="280">
        <f t="shared" ref="P25:P35" si="7">E25+G25-I25-K25-O25-J25</f>
        <v>9000000</v>
      </c>
      <c r="Q25" s="280">
        <v>9000000</v>
      </c>
      <c r="R25" s="281"/>
      <c r="S25" s="280">
        <v>9000000</v>
      </c>
      <c r="T25" s="280">
        <f t="shared" si="5"/>
        <v>0</v>
      </c>
      <c r="U25" s="282" t="s">
        <v>413</v>
      </c>
      <c r="V25" s="271">
        <v>42315</v>
      </c>
    </row>
    <row r="26" spans="1:24" ht="22.5" customHeight="1" x14ac:dyDescent="0.3">
      <c r="A26" s="32"/>
      <c r="B26" s="33"/>
      <c r="C26" s="285"/>
      <c r="D26" s="35">
        <v>17</v>
      </c>
      <c r="E26" s="280">
        <v>31393939</v>
      </c>
      <c r="F26" s="280"/>
      <c r="G26" s="281"/>
      <c r="H26" s="280"/>
      <c r="I26" s="280">
        <v>3139394</v>
      </c>
      <c r="J26" s="280"/>
      <c r="K26" s="280">
        <v>2354545</v>
      </c>
      <c r="L26" s="280"/>
      <c r="M26" s="280"/>
      <c r="N26" s="281"/>
      <c r="O26" s="280"/>
      <c r="P26" s="280">
        <f t="shared" si="7"/>
        <v>25900000</v>
      </c>
      <c r="Q26" s="280">
        <v>13000000</v>
      </c>
      <c r="R26" s="281"/>
      <c r="S26" s="280">
        <f t="shared" ref="S26:S32" si="8">Q26</f>
        <v>13000000</v>
      </c>
      <c r="T26" s="280">
        <f t="shared" si="5"/>
        <v>12900000</v>
      </c>
      <c r="U26" s="282"/>
      <c r="V26" s="271">
        <v>42348</v>
      </c>
    </row>
    <row r="27" spans="1:24" ht="22.5" customHeight="1" x14ac:dyDescent="0.3">
      <c r="A27" s="32"/>
      <c r="B27" s="33"/>
      <c r="C27" s="285"/>
      <c r="D27" s="35"/>
      <c r="E27" s="280"/>
      <c r="F27" s="280"/>
      <c r="G27" s="281"/>
      <c r="H27" s="280"/>
      <c r="I27" s="280"/>
      <c r="J27" s="280"/>
      <c r="K27" s="280"/>
      <c r="L27" s="280"/>
      <c r="M27" s="280"/>
      <c r="N27" s="281"/>
      <c r="O27" s="280"/>
      <c r="P27" s="280">
        <f t="shared" si="7"/>
        <v>0</v>
      </c>
      <c r="Q27" s="280">
        <v>12900000</v>
      </c>
      <c r="R27" s="281"/>
      <c r="S27" s="280">
        <f t="shared" si="8"/>
        <v>12900000</v>
      </c>
      <c r="T27" s="280">
        <f t="shared" si="5"/>
        <v>-12900000</v>
      </c>
      <c r="U27" s="282"/>
      <c r="V27" s="271">
        <v>42356</v>
      </c>
    </row>
    <row r="28" spans="1:24" ht="22.5" customHeight="1" x14ac:dyDescent="0.3">
      <c r="A28" s="32"/>
      <c r="B28" s="33"/>
      <c r="C28" s="285"/>
      <c r="D28" s="35">
        <v>18</v>
      </c>
      <c r="E28" s="280">
        <v>18181818</v>
      </c>
      <c r="F28" s="280"/>
      <c r="G28" s="281"/>
      <c r="H28" s="280"/>
      <c r="I28" s="280">
        <v>1818182</v>
      </c>
      <c r="J28" s="280"/>
      <c r="K28" s="280">
        <v>1363636</v>
      </c>
      <c r="L28" s="280"/>
      <c r="M28" s="280"/>
      <c r="N28" s="281"/>
      <c r="O28" s="280"/>
      <c r="P28" s="280">
        <f t="shared" si="7"/>
        <v>15000000</v>
      </c>
      <c r="Q28" s="280">
        <v>15000000</v>
      </c>
      <c r="R28" s="281"/>
      <c r="S28" s="280">
        <f t="shared" si="8"/>
        <v>15000000</v>
      </c>
      <c r="T28" s="280">
        <f t="shared" si="5"/>
        <v>0</v>
      </c>
      <c r="U28" s="282" t="s">
        <v>417</v>
      </c>
      <c r="V28" s="271">
        <v>42375</v>
      </c>
    </row>
    <row r="29" spans="1:24" ht="22.5" customHeight="1" x14ac:dyDescent="0.3">
      <c r="A29" s="32"/>
      <c r="B29" s="33"/>
      <c r="C29" s="285"/>
      <c r="D29" s="35">
        <v>19</v>
      </c>
      <c r="E29" s="280">
        <v>21818182</v>
      </c>
      <c r="F29" s="280"/>
      <c r="G29" s="281">
        <v>-8000000</v>
      </c>
      <c r="H29" s="280"/>
      <c r="I29" s="280">
        <v>2181818</v>
      </c>
      <c r="J29" s="280"/>
      <c r="K29" s="280">
        <v>1636364</v>
      </c>
      <c r="L29" s="280"/>
      <c r="M29" s="280"/>
      <c r="N29" s="281"/>
      <c r="O29" s="281"/>
      <c r="P29" s="280">
        <f t="shared" si="7"/>
        <v>10000000</v>
      </c>
      <c r="Q29" s="280">
        <v>10000000</v>
      </c>
      <c r="R29" s="281"/>
      <c r="S29" s="280">
        <f t="shared" si="8"/>
        <v>10000000</v>
      </c>
      <c r="T29" s="280">
        <f t="shared" si="5"/>
        <v>0</v>
      </c>
      <c r="U29" s="282">
        <v>81511431</v>
      </c>
      <c r="V29" s="272">
        <v>42402</v>
      </c>
    </row>
    <row r="30" spans="1:24" ht="22.5" customHeight="1" x14ac:dyDescent="0.3">
      <c r="A30" s="32"/>
      <c r="B30" s="33"/>
      <c r="C30" s="285"/>
      <c r="D30" s="35">
        <v>20</v>
      </c>
      <c r="E30" s="280">
        <v>13939394</v>
      </c>
      <c r="F30" s="280"/>
      <c r="G30" s="281">
        <v>-2000000</v>
      </c>
      <c r="H30" s="280"/>
      <c r="I30" s="280">
        <v>1393939</v>
      </c>
      <c r="J30" s="280"/>
      <c r="K30" s="280">
        <v>1045455</v>
      </c>
      <c r="L30" s="280"/>
      <c r="M30" s="280"/>
      <c r="N30" s="281"/>
      <c r="O30" s="281"/>
      <c r="P30" s="280">
        <f t="shared" si="7"/>
        <v>9500000</v>
      </c>
      <c r="Q30" s="280">
        <v>5000000</v>
      </c>
      <c r="R30" s="281"/>
      <c r="S30" s="281">
        <f t="shared" si="8"/>
        <v>5000000</v>
      </c>
      <c r="T30" s="280">
        <f t="shared" si="5"/>
        <v>4500000</v>
      </c>
      <c r="U30" s="282">
        <v>81511463</v>
      </c>
      <c r="V30" s="272">
        <v>42415</v>
      </c>
    </row>
    <row r="31" spans="1:24" ht="22.5" customHeight="1" x14ac:dyDescent="0.3">
      <c r="A31" s="32"/>
      <c r="B31" s="33"/>
      <c r="C31" s="285"/>
      <c r="D31" s="35"/>
      <c r="E31" s="280"/>
      <c r="F31" s="280"/>
      <c r="G31" s="281"/>
      <c r="H31" s="280"/>
      <c r="I31" s="280"/>
      <c r="J31" s="280"/>
      <c r="K31" s="280"/>
      <c r="L31" s="280"/>
      <c r="M31" s="280"/>
      <c r="N31" s="281"/>
      <c r="O31" s="281"/>
      <c r="P31" s="280">
        <f t="shared" si="7"/>
        <v>0</v>
      </c>
      <c r="Q31" s="280">
        <v>4500000</v>
      </c>
      <c r="R31" s="281"/>
      <c r="S31" s="281">
        <f t="shared" si="8"/>
        <v>4500000</v>
      </c>
      <c r="T31" s="280">
        <f t="shared" si="5"/>
        <v>-4500000</v>
      </c>
      <c r="U31" s="282" t="s">
        <v>418</v>
      </c>
      <c r="V31" s="272">
        <v>42419</v>
      </c>
    </row>
    <row r="32" spans="1:24" ht="22.5" customHeight="1" x14ac:dyDescent="0.3">
      <c r="A32" s="32"/>
      <c r="B32" s="33"/>
      <c r="C32" s="285"/>
      <c r="D32" s="35">
        <v>21</v>
      </c>
      <c r="E32" s="280">
        <v>6060606</v>
      </c>
      <c r="F32" s="280"/>
      <c r="G32" s="281">
        <v>-1000000</v>
      </c>
      <c r="H32" s="280"/>
      <c r="I32" s="280">
        <v>606061</v>
      </c>
      <c r="J32" s="280"/>
      <c r="K32" s="280">
        <v>454545</v>
      </c>
      <c r="L32" s="280"/>
      <c r="M32" s="280"/>
      <c r="N32" s="281"/>
      <c r="O32" s="281"/>
      <c r="P32" s="280">
        <f t="shared" si="7"/>
        <v>4000000</v>
      </c>
      <c r="Q32" s="280">
        <v>4000000</v>
      </c>
      <c r="R32" s="281"/>
      <c r="S32" s="281">
        <f t="shared" si="8"/>
        <v>4000000</v>
      </c>
      <c r="T32" s="280">
        <f t="shared" si="5"/>
        <v>0</v>
      </c>
      <c r="U32" s="282" t="s">
        <v>419</v>
      </c>
      <c r="V32" s="272">
        <v>42430</v>
      </c>
      <c r="X32" s="120"/>
    </row>
    <row r="33" spans="1:25" ht="22.5" customHeight="1" x14ac:dyDescent="0.3">
      <c r="A33" s="32"/>
      <c r="B33" s="33"/>
      <c r="C33" s="285"/>
      <c r="D33" s="35">
        <v>22</v>
      </c>
      <c r="E33" s="280">
        <v>7272728</v>
      </c>
      <c r="F33" s="280"/>
      <c r="G33" s="281">
        <v>-1000000</v>
      </c>
      <c r="H33" s="280"/>
      <c r="I33" s="280">
        <v>545455</v>
      </c>
      <c r="J33" s="280"/>
      <c r="K33" s="280">
        <v>727273</v>
      </c>
      <c r="L33" s="280"/>
      <c r="M33" s="280"/>
      <c r="N33" s="281"/>
      <c r="O33" s="281"/>
      <c r="P33" s="280">
        <f t="shared" si="7"/>
        <v>5000000</v>
      </c>
      <c r="Q33" s="280">
        <v>5000000</v>
      </c>
      <c r="R33" s="281"/>
      <c r="S33" s="281">
        <v>5000000</v>
      </c>
      <c r="T33" s="280">
        <f t="shared" si="5"/>
        <v>0</v>
      </c>
      <c r="U33" s="282" t="s">
        <v>420</v>
      </c>
      <c r="V33" s="272">
        <v>42444</v>
      </c>
    </row>
    <row r="34" spans="1:25" ht="22.5" customHeight="1" x14ac:dyDescent="0.3">
      <c r="A34" s="32"/>
      <c r="B34" s="33"/>
      <c r="C34" s="285"/>
      <c r="D34" s="35">
        <v>23</v>
      </c>
      <c r="E34" s="280">
        <v>20606061</v>
      </c>
      <c r="F34" s="280"/>
      <c r="G34" s="281">
        <v>-4000000</v>
      </c>
      <c r="H34" s="280"/>
      <c r="I34" s="280">
        <v>2060606</v>
      </c>
      <c r="J34" s="280"/>
      <c r="K34" s="280">
        <v>1545455</v>
      </c>
      <c r="L34" s="280"/>
      <c r="M34" s="280"/>
      <c r="N34" s="281"/>
      <c r="O34" s="281"/>
      <c r="P34" s="280">
        <f t="shared" si="7"/>
        <v>13000000</v>
      </c>
      <c r="Q34" s="280">
        <v>13000000</v>
      </c>
      <c r="R34" s="281"/>
      <c r="S34" s="281">
        <f>Q34</f>
        <v>13000000</v>
      </c>
      <c r="T34" s="280">
        <f t="shared" si="5"/>
        <v>0</v>
      </c>
      <c r="U34" s="282" t="s">
        <v>451</v>
      </c>
      <c r="V34" s="272">
        <v>42480</v>
      </c>
      <c r="W34" s="311"/>
    </row>
    <row r="35" spans="1:25" ht="22.5" customHeight="1" x14ac:dyDescent="0.3">
      <c r="A35" s="32"/>
      <c r="B35" s="33"/>
      <c r="C35" s="285"/>
      <c r="D35" s="35">
        <v>24</v>
      </c>
      <c r="E35" s="280">
        <v>12571428</v>
      </c>
      <c r="F35" s="280"/>
      <c r="G35" s="281"/>
      <c r="H35" s="280"/>
      <c r="I35" s="280">
        <v>628571</v>
      </c>
      <c r="J35" s="280"/>
      <c r="K35" s="280">
        <v>942857</v>
      </c>
      <c r="L35" s="280"/>
      <c r="M35" s="280"/>
      <c r="N35" s="281"/>
      <c r="O35" s="281"/>
      <c r="P35" s="280">
        <f t="shared" si="7"/>
        <v>11000000</v>
      </c>
      <c r="Q35" s="280">
        <v>11000000</v>
      </c>
      <c r="R35" s="281"/>
      <c r="S35" s="281">
        <f>Q35</f>
        <v>11000000</v>
      </c>
      <c r="T35" s="280">
        <f t="shared" si="5"/>
        <v>0</v>
      </c>
      <c r="U35" s="282" t="s">
        <v>452</v>
      </c>
      <c r="V35" s="272">
        <v>42486</v>
      </c>
      <c r="W35" s="311">
        <v>20000000</v>
      </c>
      <c r="X35" s="21">
        <f>W35+S35+S34+S33+S32+S31+S30+S29+S28+S27+S26</f>
        <v>113400000</v>
      </c>
    </row>
    <row r="36" spans="1:25" ht="22.5" customHeight="1" x14ac:dyDescent="0.3">
      <c r="A36" s="32"/>
      <c r="B36" s="33"/>
      <c r="C36" s="285"/>
      <c r="D36" s="35"/>
      <c r="E36" s="280"/>
      <c r="F36" s="280"/>
      <c r="G36" s="281"/>
      <c r="H36" s="280"/>
      <c r="I36" s="280"/>
      <c r="J36" s="280"/>
      <c r="K36" s="280"/>
      <c r="L36" s="280"/>
      <c r="M36" s="280"/>
      <c r="N36" s="281"/>
      <c r="O36" s="281"/>
      <c r="P36" s="280"/>
      <c r="Q36" s="280"/>
      <c r="R36" s="281"/>
      <c r="S36" s="281"/>
      <c r="T36" s="280"/>
      <c r="U36" s="282"/>
      <c r="V36" s="272"/>
      <c r="W36" s="311"/>
      <c r="X36" s="21"/>
    </row>
    <row r="37" spans="1:25" ht="22.5" customHeight="1" x14ac:dyDescent="0.3">
      <c r="A37" s="32"/>
      <c r="B37" s="783" t="s">
        <v>93</v>
      </c>
      <c r="C37" s="783"/>
      <c r="D37" s="783"/>
      <c r="E37" s="286">
        <f>SUM(E8:E35)</f>
        <v>396794615</v>
      </c>
      <c r="F37" s="286">
        <f>SUM(F8:F11)</f>
        <v>0</v>
      </c>
      <c r="G37" s="286">
        <f t="shared" ref="G37:T37" si="9">SUM(G8:G35)</f>
        <v>2633750</v>
      </c>
      <c r="H37" s="286">
        <f t="shared" si="9"/>
        <v>0</v>
      </c>
      <c r="I37" s="286">
        <f t="shared" si="9"/>
        <v>27445814.850000001</v>
      </c>
      <c r="J37" s="286">
        <f t="shared" si="9"/>
        <v>5324603</v>
      </c>
      <c r="K37" s="286">
        <f t="shared" si="9"/>
        <v>29545507.75</v>
      </c>
      <c r="L37" s="286">
        <f t="shared" si="9"/>
        <v>32357950.625</v>
      </c>
      <c r="M37" s="286">
        <f t="shared" si="9"/>
        <v>0</v>
      </c>
      <c r="N37" s="286">
        <f t="shared" si="9"/>
        <v>18633750</v>
      </c>
      <c r="O37" s="286">
        <f t="shared" si="9"/>
        <v>1397531.25</v>
      </c>
      <c r="P37" s="286">
        <f t="shared" si="9"/>
        <v>333915736.14999998</v>
      </c>
      <c r="Q37" s="286">
        <f t="shared" si="9"/>
        <v>316377831.625</v>
      </c>
      <c r="R37" s="286">
        <f t="shared" si="9"/>
        <v>17236218.75</v>
      </c>
      <c r="S37" s="286">
        <f t="shared" si="9"/>
        <v>333614050.375</v>
      </c>
      <c r="T37" s="286">
        <f t="shared" si="9"/>
        <v>301685.77499999478</v>
      </c>
      <c r="U37" s="286">
        <v>0</v>
      </c>
      <c r="V37" s="286">
        <v>0</v>
      </c>
      <c r="W37" s="120"/>
      <c r="X37" s="120">
        <f>X35-S26-S27</f>
        <v>87500000</v>
      </c>
      <c r="Y37" s="120"/>
    </row>
    <row r="38" spans="1:25" ht="22.5" customHeight="1" x14ac:dyDescent="0.3">
      <c r="A38" s="47"/>
      <c r="B38" s="46"/>
      <c r="C38" s="46"/>
      <c r="D38" s="46"/>
      <c r="E38" s="287"/>
      <c r="F38" s="287"/>
      <c r="G38" s="288"/>
      <c r="H38" s="288"/>
      <c r="I38" s="287"/>
      <c r="J38" s="287"/>
      <c r="K38" s="287"/>
      <c r="L38" s="289">
        <f>E38-I38-J38-K38</f>
        <v>0</v>
      </c>
      <c r="M38" s="280">
        <f>L38-Q38</f>
        <v>0</v>
      </c>
      <c r="N38" s="288"/>
      <c r="O38" s="288"/>
      <c r="P38" s="288"/>
      <c r="Q38" s="287"/>
      <c r="R38" s="288"/>
      <c r="S38" s="288"/>
      <c r="T38" s="288"/>
      <c r="U38" s="273"/>
      <c r="V38" s="274"/>
    </row>
    <row r="39" spans="1:25" ht="31.5" customHeight="1" x14ac:dyDescent="0.3">
      <c r="A39" s="118">
        <v>2</v>
      </c>
      <c r="B39" s="105"/>
      <c r="C39" s="105" t="s">
        <v>145</v>
      </c>
      <c r="D39" s="35"/>
      <c r="E39" s="280">
        <v>0</v>
      </c>
      <c r="F39" s="280"/>
      <c r="G39" s="280"/>
      <c r="H39" s="280"/>
      <c r="I39" s="280">
        <v>0</v>
      </c>
      <c r="J39" s="280">
        <v>0</v>
      </c>
      <c r="K39" s="280">
        <v>0</v>
      </c>
      <c r="L39" s="280">
        <f>E39-I39-J39-K39</f>
        <v>0</v>
      </c>
      <c r="M39" s="280">
        <f>L39-Q39</f>
        <v>0</v>
      </c>
      <c r="N39" s="280"/>
      <c r="O39" s="280"/>
      <c r="P39" s="280"/>
      <c r="Q39" s="280">
        <v>0</v>
      </c>
      <c r="R39" s="280"/>
      <c r="S39" s="280"/>
      <c r="T39" s="280"/>
      <c r="U39" s="275"/>
      <c r="V39" s="290"/>
      <c r="Y39" s="120"/>
    </row>
    <row r="40" spans="1:25" ht="22.5" customHeight="1" x14ac:dyDescent="0.3">
      <c r="A40" s="32"/>
      <c r="B40" s="33"/>
      <c r="C40" s="285"/>
      <c r="D40" s="35">
        <v>1</v>
      </c>
      <c r="E40" s="280">
        <v>948457</v>
      </c>
      <c r="F40" s="280"/>
      <c r="G40" s="280">
        <v>1674432</v>
      </c>
      <c r="H40" s="280">
        <v>0</v>
      </c>
      <c r="I40" s="280">
        <f>E40*0.05</f>
        <v>47422.850000000006</v>
      </c>
      <c r="J40" s="280">
        <v>0</v>
      </c>
      <c r="K40" s="280">
        <f>E40*0.075</f>
        <v>71134.274999999994</v>
      </c>
      <c r="L40" s="280">
        <f>E40-I40+J40-K40</f>
        <v>829899.875</v>
      </c>
      <c r="M40" s="280">
        <f>L40-Q40</f>
        <v>78749.875</v>
      </c>
      <c r="N40" s="280">
        <v>1674432</v>
      </c>
      <c r="O40" s="280">
        <f>G40*0.075</f>
        <v>125582.39999999999</v>
      </c>
      <c r="P40" s="280">
        <f t="shared" ref="P40:P70" si="10">E40+G40-I40-K40-O40-J40</f>
        <v>2378749.4750000001</v>
      </c>
      <c r="Q40" s="280">
        <v>751150</v>
      </c>
      <c r="R40" s="280">
        <v>1548849.9975000003</v>
      </c>
      <c r="S40" s="280">
        <f>R40+Q40</f>
        <v>2299999.9975000005</v>
      </c>
      <c r="T40" s="280">
        <f t="shared" ref="T40:T70" si="11">P40-S40</f>
        <v>78749.477499999572</v>
      </c>
      <c r="U40" s="270">
        <v>53895322</v>
      </c>
      <c r="V40" s="271">
        <v>41914</v>
      </c>
    </row>
    <row r="41" spans="1:25" ht="22.5" customHeight="1" x14ac:dyDescent="0.3">
      <c r="A41" s="32"/>
      <c r="B41" s="33"/>
      <c r="C41" s="33"/>
      <c r="D41" s="259">
        <f>D40+1</f>
        <v>2</v>
      </c>
      <c r="E41" s="291">
        <v>5834105</v>
      </c>
      <c r="F41" s="292">
        <v>5834105</v>
      </c>
      <c r="G41" s="280">
        <v>0</v>
      </c>
      <c r="H41" s="280">
        <v>0</v>
      </c>
      <c r="I41" s="280">
        <f t="shared" ref="I41:I57" si="12">E41*0.05</f>
        <v>291705.25</v>
      </c>
      <c r="J41" s="292">
        <v>0</v>
      </c>
      <c r="K41" s="280">
        <f t="shared" ref="K41:K59" si="13">E41*0.075</f>
        <v>437557.875</v>
      </c>
      <c r="L41" s="280">
        <f>E41-I41-J41-K41</f>
        <v>5104841.875</v>
      </c>
      <c r="M41" s="280">
        <v>0</v>
      </c>
      <c r="N41" s="280">
        <v>0</v>
      </c>
      <c r="O41" s="280">
        <f t="shared" ref="O41:O55" si="14">G41*0.075</f>
        <v>0</v>
      </c>
      <c r="P41" s="280">
        <f t="shared" si="10"/>
        <v>5104841.875</v>
      </c>
      <c r="Q41" s="293">
        <v>3500000</v>
      </c>
      <c r="R41" s="280">
        <v>0</v>
      </c>
      <c r="S41" s="280">
        <f t="shared" ref="S41:S70" si="15">R41+Q41</f>
        <v>3500000</v>
      </c>
      <c r="T41" s="280">
        <f t="shared" si="11"/>
        <v>1604841.875</v>
      </c>
      <c r="U41" s="270">
        <v>53895364</v>
      </c>
      <c r="V41" s="271">
        <v>41985</v>
      </c>
    </row>
    <row r="42" spans="1:25" ht="22.5" customHeight="1" x14ac:dyDescent="0.3">
      <c r="A42" s="32"/>
      <c r="B42" s="33"/>
      <c r="C42" s="127"/>
      <c r="D42" s="259">
        <f t="shared" ref="D42:D51" si="16">D41+1</f>
        <v>3</v>
      </c>
      <c r="E42" s="291">
        <v>0</v>
      </c>
      <c r="F42" s="292">
        <v>0</v>
      </c>
      <c r="G42" s="280">
        <v>0</v>
      </c>
      <c r="H42" s="280">
        <v>0</v>
      </c>
      <c r="I42" s="280">
        <f t="shared" si="12"/>
        <v>0</v>
      </c>
      <c r="J42" s="292">
        <v>0</v>
      </c>
      <c r="K42" s="280">
        <f t="shared" si="13"/>
        <v>0</v>
      </c>
      <c r="L42" s="280">
        <f>E42-I42-J42-K42</f>
        <v>0</v>
      </c>
      <c r="M42" s="280">
        <v>0</v>
      </c>
      <c r="N42" s="280">
        <v>0</v>
      </c>
      <c r="O42" s="280">
        <f t="shared" si="14"/>
        <v>0</v>
      </c>
      <c r="P42" s="280">
        <f t="shared" si="10"/>
        <v>0</v>
      </c>
      <c r="Q42" s="292">
        <v>1344463</v>
      </c>
      <c r="R42" s="280">
        <v>0</v>
      </c>
      <c r="S42" s="280">
        <f t="shared" si="15"/>
        <v>1344463</v>
      </c>
      <c r="T42" s="280">
        <f t="shared" si="11"/>
        <v>-1344463</v>
      </c>
      <c r="U42" s="282">
        <v>53895398</v>
      </c>
      <c r="V42" s="271">
        <v>42006</v>
      </c>
    </row>
    <row r="43" spans="1:25" ht="22.5" customHeight="1" x14ac:dyDescent="0.3">
      <c r="A43" s="32"/>
      <c r="B43" s="33"/>
      <c r="C43" s="127"/>
      <c r="D43" s="259">
        <f t="shared" si="16"/>
        <v>4</v>
      </c>
      <c r="E43" s="291">
        <v>1367553</v>
      </c>
      <c r="F43" s="292">
        <v>1367553</v>
      </c>
      <c r="G43" s="280">
        <v>0</v>
      </c>
      <c r="H43" s="280">
        <v>0</v>
      </c>
      <c r="I43" s="280">
        <f t="shared" si="12"/>
        <v>68377.650000000009</v>
      </c>
      <c r="J43" s="292">
        <v>0</v>
      </c>
      <c r="K43" s="280">
        <f t="shared" si="13"/>
        <v>102566.47499999999</v>
      </c>
      <c r="L43" s="280">
        <f>E43-I43-J43-K43</f>
        <v>1196608.875</v>
      </c>
      <c r="M43" s="280"/>
      <c r="N43" s="280"/>
      <c r="O43" s="280">
        <f t="shared" si="14"/>
        <v>0</v>
      </c>
      <c r="P43" s="280">
        <f t="shared" si="10"/>
        <v>1196608.875</v>
      </c>
      <c r="Q43" s="294">
        <v>1100000</v>
      </c>
      <c r="R43" s="280">
        <v>0</v>
      </c>
      <c r="S43" s="280">
        <f t="shared" si="15"/>
        <v>1100000</v>
      </c>
      <c r="T43" s="280">
        <f t="shared" si="11"/>
        <v>96608.875</v>
      </c>
      <c r="U43" s="260">
        <v>53895417</v>
      </c>
      <c r="V43" s="271">
        <v>42019</v>
      </c>
    </row>
    <row r="44" spans="1:25" ht="22.5" customHeight="1" x14ac:dyDescent="0.3">
      <c r="A44" s="32"/>
      <c r="B44" s="33"/>
      <c r="C44" s="127"/>
      <c r="D44" s="259">
        <f t="shared" si="16"/>
        <v>5</v>
      </c>
      <c r="E44" s="291">
        <v>0</v>
      </c>
      <c r="F44" s="292">
        <v>0</v>
      </c>
      <c r="G44" s="280">
        <v>1271658</v>
      </c>
      <c r="H44" s="280">
        <v>0</v>
      </c>
      <c r="I44" s="280">
        <f t="shared" si="12"/>
        <v>0</v>
      </c>
      <c r="J44" s="292"/>
      <c r="K44" s="280">
        <f t="shared" si="13"/>
        <v>0</v>
      </c>
      <c r="L44" s="280"/>
      <c r="M44" s="280"/>
      <c r="N44" s="280"/>
      <c r="O44" s="280">
        <f t="shared" si="14"/>
        <v>95374.349999999991</v>
      </c>
      <c r="P44" s="280">
        <f t="shared" si="10"/>
        <v>1176283.6499999999</v>
      </c>
      <c r="Q44" s="294">
        <v>0</v>
      </c>
      <c r="R44" s="280">
        <v>1176283.6500000001</v>
      </c>
      <c r="S44" s="280">
        <f t="shared" si="15"/>
        <v>1176283.6500000001</v>
      </c>
      <c r="T44" s="280">
        <f t="shared" si="11"/>
        <v>0</v>
      </c>
      <c r="U44" s="260">
        <v>60596500</v>
      </c>
      <c r="V44" s="271">
        <v>42041</v>
      </c>
    </row>
    <row r="45" spans="1:25" ht="22.5" customHeight="1" x14ac:dyDescent="0.3">
      <c r="A45" s="32"/>
      <c r="B45" s="33"/>
      <c r="C45" s="127"/>
      <c r="D45" s="259">
        <f t="shared" si="16"/>
        <v>6</v>
      </c>
      <c r="E45" s="291">
        <v>1421717</v>
      </c>
      <c r="F45" s="292">
        <v>1421717</v>
      </c>
      <c r="G45" s="280">
        <v>0</v>
      </c>
      <c r="H45" s="280">
        <v>0</v>
      </c>
      <c r="I45" s="280">
        <f t="shared" si="12"/>
        <v>71085.850000000006</v>
      </c>
      <c r="J45" s="292"/>
      <c r="K45" s="280">
        <f t="shared" si="13"/>
        <v>106628.77499999999</v>
      </c>
      <c r="L45" s="280"/>
      <c r="M45" s="280"/>
      <c r="N45" s="280"/>
      <c r="O45" s="280">
        <f t="shared" si="14"/>
        <v>0</v>
      </c>
      <c r="P45" s="280">
        <f t="shared" si="10"/>
        <v>1244002.375</v>
      </c>
      <c r="Q45" s="294">
        <v>1679739</v>
      </c>
      <c r="R45" s="280">
        <v>0</v>
      </c>
      <c r="S45" s="280">
        <f t="shared" si="15"/>
        <v>1679739</v>
      </c>
      <c r="T45" s="280">
        <f t="shared" si="11"/>
        <v>-435736.625</v>
      </c>
      <c r="U45" s="260">
        <v>60596501</v>
      </c>
      <c r="V45" s="271">
        <v>42041</v>
      </c>
    </row>
    <row r="46" spans="1:25" ht="22.5" customHeight="1" x14ac:dyDescent="0.3">
      <c r="A46" s="32"/>
      <c r="B46" s="33"/>
      <c r="C46" s="127"/>
      <c r="D46" s="259">
        <f t="shared" si="16"/>
        <v>7</v>
      </c>
      <c r="E46" s="291">
        <v>1463333</v>
      </c>
      <c r="F46" s="292">
        <v>1463333</v>
      </c>
      <c r="G46" s="280">
        <v>0</v>
      </c>
      <c r="H46" s="280">
        <v>0</v>
      </c>
      <c r="I46" s="280">
        <f t="shared" si="12"/>
        <v>73166.650000000009</v>
      </c>
      <c r="J46" s="292"/>
      <c r="K46" s="280">
        <f t="shared" si="13"/>
        <v>109749.97499999999</v>
      </c>
      <c r="L46" s="280"/>
      <c r="M46" s="280"/>
      <c r="N46" s="280"/>
      <c r="O46" s="280">
        <f t="shared" si="14"/>
        <v>0</v>
      </c>
      <c r="P46" s="280">
        <f t="shared" si="10"/>
        <v>1280416.375</v>
      </c>
      <c r="Q46" s="294">
        <v>1280418</v>
      </c>
      <c r="R46" s="280">
        <v>0</v>
      </c>
      <c r="S46" s="280">
        <f t="shared" si="15"/>
        <v>1280418</v>
      </c>
      <c r="T46" s="280">
        <f t="shared" si="11"/>
        <v>-1.625</v>
      </c>
      <c r="U46" s="260">
        <v>60596546</v>
      </c>
      <c r="V46" s="271">
        <v>42061</v>
      </c>
    </row>
    <row r="47" spans="1:25" ht="22.5" customHeight="1" x14ac:dyDescent="0.3">
      <c r="A47" s="32"/>
      <c r="B47" s="33"/>
      <c r="C47" s="127"/>
      <c r="D47" s="259">
        <f t="shared" si="16"/>
        <v>8</v>
      </c>
      <c r="E47" s="291">
        <v>2593867</v>
      </c>
      <c r="F47" s="292">
        <v>2593867</v>
      </c>
      <c r="G47" s="280">
        <v>0</v>
      </c>
      <c r="H47" s="280">
        <v>0</v>
      </c>
      <c r="I47" s="280">
        <f t="shared" si="12"/>
        <v>129693.35</v>
      </c>
      <c r="J47" s="292"/>
      <c r="K47" s="280">
        <f t="shared" si="13"/>
        <v>194540.02499999999</v>
      </c>
      <c r="L47" s="280"/>
      <c r="M47" s="280"/>
      <c r="N47" s="280"/>
      <c r="O47" s="280">
        <f t="shared" si="14"/>
        <v>0</v>
      </c>
      <c r="P47" s="280">
        <f t="shared" si="10"/>
        <v>2269633.625</v>
      </c>
      <c r="Q47" s="294">
        <v>2269633</v>
      </c>
      <c r="R47" s="280">
        <v>0</v>
      </c>
      <c r="S47" s="280">
        <f t="shared" si="15"/>
        <v>2269633</v>
      </c>
      <c r="T47" s="280">
        <f t="shared" si="11"/>
        <v>0.625</v>
      </c>
      <c r="U47" s="260">
        <v>60596566</v>
      </c>
      <c r="V47" s="271">
        <v>42069</v>
      </c>
    </row>
    <row r="48" spans="1:25" ht="22.5" customHeight="1" x14ac:dyDescent="0.3">
      <c r="A48" s="32"/>
      <c r="B48" s="33"/>
      <c r="C48" s="127"/>
      <c r="D48" s="259">
        <f t="shared" si="16"/>
        <v>9</v>
      </c>
      <c r="E48" s="291">
        <v>1411728</v>
      </c>
      <c r="F48" s="292">
        <v>1411728</v>
      </c>
      <c r="G48" s="280">
        <v>0</v>
      </c>
      <c r="H48" s="280">
        <v>0</v>
      </c>
      <c r="I48" s="280">
        <f t="shared" si="12"/>
        <v>70586.400000000009</v>
      </c>
      <c r="J48" s="292"/>
      <c r="K48" s="280">
        <f t="shared" si="13"/>
        <v>105879.59999999999</v>
      </c>
      <c r="L48" s="280"/>
      <c r="M48" s="280"/>
      <c r="N48" s="280"/>
      <c r="O48" s="280">
        <f t="shared" si="14"/>
        <v>0</v>
      </c>
      <c r="P48" s="280">
        <f t="shared" si="10"/>
        <v>1235262</v>
      </c>
      <c r="Q48" s="294">
        <v>1235262</v>
      </c>
      <c r="R48" s="280">
        <v>0</v>
      </c>
      <c r="S48" s="280">
        <f t="shared" si="15"/>
        <v>1235262</v>
      </c>
      <c r="T48" s="280">
        <f t="shared" si="11"/>
        <v>0</v>
      </c>
      <c r="U48" s="260">
        <v>64199973</v>
      </c>
      <c r="V48" s="271">
        <v>42101</v>
      </c>
    </row>
    <row r="49" spans="1:22" ht="22.5" customHeight="1" x14ac:dyDescent="0.3">
      <c r="A49" s="32"/>
      <c r="B49" s="33"/>
      <c r="C49" s="127"/>
      <c r="D49" s="259">
        <f t="shared" si="16"/>
        <v>10</v>
      </c>
      <c r="E49" s="291">
        <v>2398316</v>
      </c>
      <c r="F49" s="292">
        <v>2398316</v>
      </c>
      <c r="G49" s="280">
        <v>0</v>
      </c>
      <c r="H49" s="280">
        <v>0</v>
      </c>
      <c r="I49" s="280">
        <f t="shared" si="12"/>
        <v>119915.8</v>
      </c>
      <c r="J49" s="292"/>
      <c r="K49" s="280">
        <f t="shared" si="13"/>
        <v>179873.69999999998</v>
      </c>
      <c r="L49" s="280"/>
      <c r="M49" s="280"/>
      <c r="N49" s="280"/>
      <c r="O49" s="280">
        <f t="shared" si="14"/>
        <v>0</v>
      </c>
      <c r="P49" s="280">
        <f t="shared" si="10"/>
        <v>2098526.5</v>
      </c>
      <c r="Q49" s="294">
        <v>2000000</v>
      </c>
      <c r="R49" s="280">
        <v>0</v>
      </c>
      <c r="S49" s="280">
        <f t="shared" si="15"/>
        <v>2000000</v>
      </c>
      <c r="T49" s="280">
        <f t="shared" si="11"/>
        <v>98526.5</v>
      </c>
      <c r="U49" s="260">
        <v>64200015</v>
      </c>
      <c r="V49" s="271">
        <v>42121</v>
      </c>
    </row>
    <row r="50" spans="1:22" ht="22.5" customHeight="1" x14ac:dyDescent="0.3">
      <c r="A50" s="32"/>
      <c r="B50" s="33"/>
      <c r="C50" s="127"/>
      <c r="D50" s="259">
        <f t="shared" si="16"/>
        <v>11</v>
      </c>
      <c r="E50" s="291">
        <v>3736945</v>
      </c>
      <c r="F50" s="292">
        <v>3736945</v>
      </c>
      <c r="G50" s="280">
        <v>0</v>
      </c>
      <c r="H50" s="280">
        <v>0</v>
      </c>
      <c r="I50" s="280">
        <f t="shared" si="12"/>
        <v>186847.25</v>
      </c>
      <c r="J50" s="292"/>
      <c r="K50" s="280">
        <f t="shared" si="13"/>
        <v>280270.875</v>
      </c>
      <c r="L50" s="280"/>
      <c r="M50" s="280"/>
      <c r="N50" s="280"/>
      <c r="O50" s="280">
        <f t="shared" si="14"/>
        <v>0</v>
      </c>
      <c r="P50" s="280">
        <f t="shared" si="10"/>
        <v>3269826.875</v>
      </c>
      <c r="Q50" s="294">
        <v>3368354</v>
      </c>
      <c r="R50" s="280">
        <v>0</v>
      </c>
      <c r="S50" s="280">
        <f t="shared" si="15"/>
        <v>3368354</v>
      </c>
      <c r="T50" s="280">
        <f t="shared" si="11"/>
        <v>-98527.125</v>
      </c>
      <c r="U50" s="260">
        <v>66942550</v>
      </c>
      <c r="V50" s="271">
        <v>42130</v>
      </c>
    </row>
    <row r="51" spans="1:22" ht="22.5" customHeight="1" x14ac:dyDescent="0.3">
      <c r="A51" s="32"/>
      <c r="B51" s="33"/>
      <c r="C51" s="127"/>
      <c r="D51" s="259">
        <f t="shared" si="16"/>
        <v>12</v>
      </c>
      <c r="E51" s="291">
        <v>10511148</v>
      </c>
      <c r="F51" s="292">
        <v>10511148</v>
      </c>
      <c r="G51" s="280">
        <v>0</v>
      </c>
      <c r="H51" s="280">
        <v>0</v>
      </c>
      <c r="I51" s="280">
        <f t="shared" si="12"/>
        <v>525557.4</v>
      </c>
      <c r="J51" s="292">
        <v>100000</v>
      </c>
      <c r="K51" s="280">
        <f t="shared" si="13"/>
        <v>788336.1</v>
      </c>
      <c r="L51" s="280"/>
      <c r="M51" s="280"/>
      <c r="N51" s="280"/>
      <c r="O51" s="280">
        <f t="shared" si="14"/>
        <v>0</v>
      </c>
      <c r="P51" s="280">
        <f t="shared" si="10"/>
        <v>9097254.5</v>
      </c>
      <c r="Q51" s="294">
        <v>3500000</v>
      </c>
      <c r="R51" s="280">
        <v>0</v>
      </c>
      <c r="S51" s="280">
        <f t="shared" si="15"/>
        <v>3500000</v>
      </c>
      <c r="T51" s="280">
        <f t="shared" si="11"/>
        <v>5597254.5</v>
      </c>
      <c r="U51" s="260">
        <v>66942578</v>
      </c>
      <c r="V51" s="271">
        <v>42142</v>
      </c>
    </row>
    <row r="52" spans="1:22" ht="22.5" customHeight="1" x14ac:dyDescent="0.3">
      <c r="A52" s="32"/>
      <c r="B52" s="33"/>
      <c r="C52" s="127"/>
      <c r="D52" s="259"/>
      <c r="E52" s="291">
        <v>0</v>
      </c>
      <c r="F52" s="292">
        <v>0</v>
      </c>
      <c r="G52" s="280">
        <v>0</v>
      </c>
      <c r="H52" s="280">
        <v>0</v>
      </c>
      <c r="I52" s="280">
        <f t="shared" si="12"/>
        <v>0</v>
      </c>
      <c r="J52" s="292"/>
      <c r="K52" s="280">
        <f t="shared" si="13"/>
        <v>0</v>
      </c>
      <c r="L52" s="280"/>
      <c r="M52" s="280"/>
      <c r="N52" s="280"/>
      <c r="O52" s="280">
        <f t="shared" si="14"/>
        <v>0</v>
      </c>
      <c r="P52" s="280">
        <f t="shared" si="10"/>
        <v>0</v>
      </c>
      <c r="Q52" s="294">
        <v>5000000</v>
      </c>
      <c r="R52" s="280">
        <v>0</v>
      </c>
      <c r="S52" s="280">
        <f t="shared" si="15"/>
        <v>5000000</v>
      </c>
      <c r="T52" s="280">
        <f t="shared" si="11"/>
        <v>-5000000</v>
      </c>
      <c r="U52" s="260">
        <v>66942604</v>
      </c>
      <c r="V52" s="271">
        <v>42156</v>
      </c>
    </row>
    <row r="53" spans="1:22" ht="22.5" customHeight="1" x14ac:dyDescent="0.3">
      <c r="A53" s="32"/>
      <c r="B53" s="33"/>
      <c r="C53" s="127"/>
      <c r="D53" s="259">
        <v>13</v>
      </c>
      <c r="E53" s="291">
        <v>8503574</v>
      </c>
      <c r="F53" s="292">
        <v>8503574</v>
      </c>
      <c r="G53" s="280">
        <v>0</v>
      </c>
      <c r="H53" s="280">
        <v>0</v>
      </c>
      <c r="I53" s="280">
        <f t="shared" si="12"/>
        <v>425178.7</v>
      </c>
      <c r="J53" s="291">
        <v>-900000</v>
      </c>
      <c r="K53" s="280">
        <f t="shared" si="13"/>
        <v>637768.04999999993</v>
      </c>
      <c r="L53" s="280"/>
      <c r="M53" s="280"/>
      <c r="N53" s="280"/>
      <c r="O53" s="280">
        <f t="shared" si="14"/>
        <v>0</v>
      </c>
      <c r="P53" s="280">
        <f>E53+G53-I53-K53-O53+J53</f>
        <v>6540627.25</v>
      </c>
      <c r="Q53" s="294">
        <v>5000000</v>
      </c>
      <c r="R53" s="280">
        <v>0</v>
      </c>
      <c r="S53" s="280">
        <f t="shared" si="15"/>
        <v>5000000</v>
      </c>
      <c r="T53" s="280">
        <f t="shared" si="11"/>
        <v>1540627.25</v>
      </c>
      <c r="U53" s="260">
        <v>69695109</v>
      </c>
      <c r="V53" s="271">
        <v>42170</v>
      </c>
    </row>
    <row r="54" spans="1:22" ht="22.5" customHeight="1" x14ac:dyDescent="0.3">
      <c r="A54" s="32"/>
      <c r="B54" s="33"/>
      <c r="C54" s="127"/>
      <c r="D54" s="259"/>
      <c r="E54" s="291">
        <v>0</v>
      </c>
      <c r="F54" s="292">
        <v>0</v>
      </c>
      <c r="G54" s="280">
        <v>0</v>
      </c>
      <c r="H54" s="280">
        <v>0</v>
      </c>
      <c r="I54" s="280">
        <f t="shared" si="12"/>
        <v>0</v>
      </c>
      <c r="J54" s="292"/>
      <c r="K54" s="280">
        <f t="shared" si="13"/>
        <v>0</v>
      </c>
      <c r="L54" s="280"/>
      <c r="M54" s="280"/>
      <c r="N54" s="280"/>
      <c r="O54" s="280">
        <f t="shared" si="14"/>
        <v>0</v>
      </c>
      <c r="P54" s="280">
        <f t="shared" si="10"/>
        <v>0</v>
      </c>
      <c r="Q54" s="294">
        <v>2137882</v>
      </c>
      <c r="R54" s="280">
        <v>0</v>
      </c>
      <c r="S54" s="280">
        <f t="shared" si="15"/>
        <v>2137882</v>
      </c>
      <c r="T54" s="280">
        <f t="shared" si="11"/>
        <v>-2137882</v>
      </c>
      <c r="U54" s="260">
        <v>69695150</v>
      </c>
      <c r="V54" s="271">
        <v>42185</v>
      </c>
    </row>
    <row r="55" spans="1:22" ht="22.5" customHeight="1" x14ac:dyDescent="0.3">
      <c r="A55" s="32"/>
      <c r="B55" s="33"/>
      <c r="C55" s="127"/>
      <c r="D55" s="259">
        <v>14</v>
      </c>
      <c r="E55" s="291">
        <v>9753137</v>
      </c>
      <c r="F55" s="292">
        <v>0</v>
      </c>
      <c r="G55" s="280">
        <v>0</v>
      </c>
      <c r="H55" s="280">
        <v>0</v>
      </c>
      <c r="I55" s="280">
        <f t="shared" si="12"/>
        <v>487656.85000000003</v>
      </c>
      <c r="J55" s="292"/>
      <c r="K55" s="280">
        <f t="shared" si="13"/>
        <v>731485.27500000002</v>
      </c>
      <c r="L55" s="280"/>
      <c r="M55" s="280"/>
      <c r="N55" s="280"/>
      <c r="O55" s="280">
        <f t="shared" si="14"/>
        <v>0</v>
      </c>
      <c r="P55" s="280">
        <f t="shared" si="10"/>
        <v>8533994.875</v>
      </c>
      <c r="Q55" s="294">
        <v>8533994</v>
      </c>
      <c r="R55" s="280"/>
      <c r="S55" s="280">
        <f t="shared" si="15"/>
        <v>8533994</v>
      </c>
      <c r="T55" s="280">
        <f t="shared" si="11"/>
        <v>0.875</v>
      </c>
      <c r="U55" s="260">
        <v>71820675</v>
      </c>
      <c r="V55" s="271">
        <v>42198</v>
      </c>
    </row>
    <row r="56" spans="1:22" ht="22.5" customHeight="1" x14ac:dyDescent="0.3">
      <c r="A56" s="32"/>
      <c r="B56" s="33"/>
      <c r="C56" s="127"/>
      <c r="D56" s="259">
        <v>17</v>
      </c>
      <c r="E56" s="291">
        <v>9596024</v>
      </c>
      <c r="F56" s="292"/>
      <c r="G56" s="280"/>
      <c r="H56" s="289"/>
      <c r="I56" s="280">
        <f t="shared" si="12"/>
        <v>479801.2</v>
      </c>
      <c r="J56" s="292">
        <v>1400000</v>
      </c>
      <c r="K56" s="280">
        <f t="shared" si="13"/>
        <v>719701.79999999993</v>
      </c>
      <c r="L56" s="280"/>
      <c r="M56" s="280"/>
      <c r="N56" s="280"/>
      <c r="O56" s="280"/>
      <c r="P56" s="280">
        <f t="shared" si="10"/>
        <v>6996521</v>
      </c>
      <c r="Q56" s="294">
        <f>P56</f>
        <v>6996521</v>
      </c>
      <c r="R56" s="280"/>
      <c r="S56" s="280">
        <f t="shared" si="15"/>
        <v>6996521</v>
      </c>
      <c r="T56" s="280">
        <f t="shared" si="11"/>
        <v>0</v>
      </c>
      <c r="U56" s="260" t="s">
        <v>385</v>
      </c>
      <c r="V56" s="271">
        <v>42248</v>
      </c>
    </row>
    <row r="57" spans="1:22" ht="22.5" customHeight="1" x14ac:dyDescent="0.3">
      <c r="A57" s="32"/>
      <c r="B57" s="33"/>
      <c r="C57" s="127"/>
      <c r="D57" s="259">
        <v>18</v>
      </c>
      <c r="E57" s="291">
        <v>6203365</v>
      </c>
      <c r="F57" s="292"/>
      <c r="G57" s="280"/>
      <c r="H57" s="289"/>
      <c r="I57" s="280">
        <f t="shared" si="12"/>
        <v>310168.25</v>
      </c>
      <c r="J57" s="292">
        <v>1000000</v>
      </c>
      <c r="K57" s="280">
        <f t="shared" si="13"/>
        <v>465252.375</v>
      </c>
      <c r="L57" s="280"/>
      <c r="M57" s="280"/>
      <c r="N57" s="280"/>
      <c r="O57" s="280"/>
      <c r="P57" s="280">
        <f t="shared" si="10"/>
        <v>4427944.375</v>
      </c>
      <c r="Q57" s="294">
        <f>P57</f>
        <v>4427944.375</v>
      </c>
      <c r="R57" s="280"/>
      <c r="S57" s="280">
        <f t="shared" si="15"/>
        <v>4427944.375</v>
      </c>
      <c r="T57" s="280">
        <f t="shared" si="11"/>
        <v>0</v>
      </c>
      <c r="U57" s="260" t="s">
        <v>386</v>
      </c>
      <c r="V57" s="271">
        <v>42269</v>
      </c>
    </row>
    <row r="58" spans="1:22" ht="22.5" customHeight="1" x14ac:dyDescent="0.3">
      <c r="A58" s="32"/>
      <c r="B58" s="33"/>
      <c r="C58" s="127"/>
      <c r="D58" s="259">
        <v>19</v>
      </c>
      <c r="E58" s="291">
        <v>6196734</v>
      </c>
      <c r="F58" s="292"/>
      <c r="G58" s="280"/>
      <c r="H58" s="289"/>
      <c r="I58" s="280">
        <f>E58*0.1</f>
        <v>619673.4</v>
      </c>
      <c r="J58" s="292">
        <v>823319</v>
      </c>
      <c r="K58" s="280">
        <f t="shared" si="13"/>
        <v>464755.05</v>
      </c>
      <c r="L58" s="280"/>
      <c r="M58" s="280"/>
      <c r="N58" s="280"/>
      <c r="O58" s="280"/>
      <c r="P58" s="280">
        <f t="shared" si="10"/>
        <v>4288986.55</v>
      </c>
      <c r="Q58" s="294">
        <v>4288987</v>
      </c>
      <c r="R58" s="280"/>
      <c r="S58" s="280">
        <f t="shared" si="15"/>
        <v>4288987</v>
      </c>
      <c r="T58" s="280">
        <f t="shared" si="11"/>
        <v>-0.45000000018626451</v>
      </c>
      <c r="U58" s="260" t="s">
        <v>414</v>
      </c>
      <c r="V58" s="271">
        <v>42321</v>
      </c>
    </row>
    <row r="59" spans="1:22" ht="22.5" customHeight="1" x14ac:dyDescent="0.3">
      <c r="A59" s="32"/>
      <c r="B59" s="33"/>
      <c r="C59" s="127"/>
      <c r="D59" s="259">
        <v>20</v>
      </c>
      <c r="E59" s="291">
        <v>1555416</v>
      </c>
      <c r="F59" s="292"/>
      <c r="G59" s="280"/>
      <c r="H59" s="289"/>
      <c r="I59" s="280">
        <f>E59*0.1</f>
        <v>155541.6</v>
      </c>
      <c r="J59" s="292"/>
      <c r="K59" s="280">
        <f t="shared" si="13"/>
        <v>116656.2</v>
      </c>
      <c r="L59" s="280"/>
      <c r="M59" s="280"/>
      <c r="N59" s="280"/>
      <c r="O59" s="280"/>
      <c r="P59" s="280">
        <f t="shared" si="10"/>
        <v>1283218.2</v>
      </c>
      <c r="Q59" s="294">
        <v>1000000</v>
      </c>
      <c r="R59" s="280"/>
      <c r="S59" s="280">
        <f t="shared" si="15"/>
        <v>1000000</v>
      </c>
      <c r="T59" s="280">
        <f t="shared" si="11"/>
        <v>283218.19999999995</v>
      </c>
      <c r="U59" s="260"/>
      <c r="V59" s="271"/>
    </row>
    <row r="60" spans="1:22" ht="22.5" customHeight="1" x14ac:dyDescent="0.3">
      <c r="A60" s="32"/>
      <c r="B60" s="33"/>
      <c r="C60" s="127"/>
      <c r="D60" s="259">
        <v>21</v>
      </c>
      <c r="E60" s="291">
        <v>14800000</v>
      </c>
      <c r="F60" s="292"/>
      <c r="G60" s="280"/>
      <c r="H60" s="289"/>
      <c r="I60" s="280">
        <v>1480000</v>
      </c>
      <c r="J60" s="292"/>
      <c r="K60" s="280">
        <v>1110000</v>
      </c>
      <c r="L60" s="280"/>
      <c r="M60" s="280"/>
      <c r="N60" s="280"/>
      <c r="O60" s="280"/>
      <c r="P60" s="280">
        <f t="shared" si="10"/>
        <v>12210000</v>
      </c>
      <c r="Q60" s="294">
        <v>8000000</v>
      </c>
      <c r="R60" s="280"/>
      <c r="S60" s="280">
        <f t="shared" si="15"/>
        <v>8000000</v>
      </c>
      <c r="T60" s="280">
        <f t="shared" si="11"/>
        <v>4210000</v>
      </c>
      <c r="U60" s="260" t="s">
        <v>421</v>
      </c>
      <c r="V60" s="271">
        <v>42348</v>
      </c>
    </row>
    <row r="61" spans="1:22" ht="22.5" customHeight="1" x14ac:dyDescent="0.3">
      <c r="A61" s="32"/>
      <c r="B61" s="33"/>
      <c r="C61" s="127"/>
      <c r="D61" s="259"/>
      <c r="E61" s="291"/>
      <c r="F61" s="292"/>
      <c r="G61" s="280"/>
      <c r="H61" s="289"/>
      <c r="I61" s="280"/>
      <c r="J61" s="292"/>
      <c r="K61" s="280"/>
      <c r="L61" s="280"/>
      <c r="M61" s="280"/>
      <c r="N61" s="280"/>
      <c r="O61" s="280"/>
      <c r="P61" s="280">
        <f t="shared" si="10"/>
        <v>0</v>
      </c>
      <c r="Q61" s="294">
        <v>4210000</v>
      </c>
      <c r="R61" s="280"/>
      <c r="S61" s="280">
        <f t="shared" si="15"/>
        <v>4210000</v>
      </c>
      <c r="T61" s="280">
        <f t="shared" si="11"/>
        <v>-4210000</v>
      </c>
      <c r="U61" s="260" t="s">
        <v>422</v>
      </c>
      <c r="V61" s="271">
        <v>42356</v>
      </c>
    </row>
    <row r="62" spans="1:22" ht="22.5" customHeight="1" x14ac:dyDescent="0.3">
      <c r="A62" s="32"/>
      <c r="B62" s="33"/>
      <c r="C62" s="127"/>
      <c r="D62" s="259">
        <v>22</v>
      </c>
      <c r="E62" s="291">
        <v>6060606</v>
      </c>
      <c r="F62" s="292"/>
      <c r="G62" s="280"/>
      <c r="H62" s="289"/>
      <c r="I62" s="280">
        <v>606061</v>
      </c>
      <c r="J62" s="292"/>
      <c r="K62" s="280">
        <v>454545</v>
      </c>
      <c r="L62" s="280"/>
      <c r="M62" s="280"/>
      <c r="N62" s="280"/>
      <c r="O62" s="280"/>
      <c r="P62" s="280">
        <f t="shared" si="10"/>
        <v>5000000</v>
      </c>
      <c r="Q62" s="294">
        <f>P62</f>
        <v>5000000</v>
      </c>
      <c r="R62" s="280"/>
      <c r="S62" s="280">
        <f t="shared" si="15"/>
        <v>5000000</v>
      </c>
      <c r="T62" s="280">
        <f t="shared" si="11"/>
        <v>0</v>
      </c>
      <c r="U62" s="260" t="s">
        <v>423</v>
      </c>
      <c r="V62" s="271">
        <v>42375</v>
      </c>
    </row>
    <row r="63" spans="1:22" ht="22.5" customHeight="1" x14ac:dyDescent="0.3">
      <c r="A63" s="32"/>
      <c r="B63" s="33"/>
      <c r="C63" s="127"/>
      <c r="D63" s="259">
        <v>23</v>
      </c>
      <c r="E63" s="291">
        <v>2242424</v>
      </c>
      <c r="F63" s="292"/>
      <c r="G63" s="280"/>
      <c r="H63" s="289"/>
      <c r="I63" s="280">
        <v>224242</v>
      </c>
      <c r="J63" s="292"/>
      <c r="K63" s="280">
        <v>168182</v>
      </c>
      <c r="L63" s="280"/>
      <c r="M63" s="280"/>
      <c r="N63" s="280"/>
      <c r="O63" s="280"/>
      <c r="P63" s="280">
        <f t="shared" si="10"/>
        <v>1850000</v>
      </c>
      <c r="Q63" s="294">
        <f>P63</f>
        <v>1850000</v>
      </c>
      <c r="R63" s="280"/>
      <c r="S63" s="280">
        <f t="shared" si="15"/>
        <v>1850000</v>
      </c>
      <c r="T63" s="280">
        <f t="shared" si="11"/>
        <v>0</v>
      </c>
      <c r="U63" s="193">
        <v>81511396</v>
      </c>
      <c r="V63" s="272">
        <v>42391</v>
      </c>
    </row>
    <row r="64" spans="1:22" ht="22.5" customHeight="1" x14ac:dyDescent="0.3">
      <c r="A64" s="32"/>
      <c r="B64" s="33"/>
      <c r="C64" s="127"/>
      <c r="D64" s="259">
        <v>24</v>
      </c>
      <c r="E64" s="291">
        <v>7757576</v>
      </c>
      <c r="F64" s="292"/>
      <c r="G64" s="280">
        <v>-1400000</v>
      </c>
      <c r="H64" s="289"/>
      <c r="I64" s="280">
        <v>775758</v>
      </c>
      <c r="J64" s="292"/>
      <c r="K64" s="280">
        <v>581818</v>
      </c>
      <c r="L64" s="280"/>
      <c r="M64" s="280"/>
      <c r="N64" s="280"/>
      <c r="O64" s="280"/>
      <c r="P64" s="280">
        <f t="shared" si="10"/>
        <v>5000000</v>
      </c>
      <c r="Q64" s="294">
        <f>P64</f>
        <v>5000000</v>
      </c>
      <c r="R64" s="280"/>
      <c r="S64" s="280">
        <f t="shared" si="15"/>
        <v>5000000</v>
      </c>
      <c r="T64" s="280">
        <f t="shared" si="11"/>
        <v>0</v>
      </c>
      <c r="U64" s="193">
        <v>81511433</v>
      </c>
      <c r="V64" s="272">
        <v>42402</v>
      </c>
    </row>
    <row r="65" spans="1:26" ht="22.5" customHeight="1" x14ac:dyDescent="0.3">
      <c r="A65" s="32"/>
      <c r="B65" s="33"/>
      <c r="C65" s="127"/>
      <c r="D65" s="259">
        <v>25</v>
      </c>
      <c r="E65" s="291">
        <v>6060606</v>
      </c>
      <c r="F65" s="292"/>
      <c r="G65" s="280"/>
      <c r="H65" s="289"/>
      <c r="I65" s="280">
        <v>606061</v>
      </c>
      <c r="J65" s="292"/>
      <c r="K65" s="280">
        <v>454545</v>
      </c>
      <c r="L65" s="280"/>
      <c r="M65" s="280"/>
      <c r="N65" s="280"/>
      <c r="O65" s="280"/>
      <c r="P65" s="280">
        <f t="shared" si="10"/>
        <v>5000000</v>
      </c>
      <c r="Q65" s="294">
        <f>P65</f>
        <v>5000000</v>
      </c>
      <c r="R65" s="280"/>
      <c r="S65" s="280">
        <f t="shared" si="15"/>
        <v>5000000</v>
      </c>
      <c r="T65" s="280">
        <f t="shared" si="11"/>
        <v>0</v>
      </c>
      <c r="U65" s="193">
        <v>81511462</v>
      </c>
      <c r="V65" s="272">
        <v>42415</v>
      </c>
    </row>
    <row r="66" spans="1:26" ht="22.5" customHeight="1" x14ac:dyDescent="0.3">
      <c r="A66" s="32"/>
      <c r="B66" s="33"/>
      <c r="C66" s="127"/>
      <c r="D66" s="259">
        <v>26</v>
      </c>
      <c r="E66" s="291">
        <v>3636363</v>
      </c>
      <c r="F66" s="292"/>
      <c r="G66" s="280"/>
      <c r="H66" s="289"/>
      <c r="I66" s="280">
        <v>363636</v>
      </c>
      <c r="J66" s="292"/>
      <c r="K66" s="280">
        <v>272727</v>
      </c>
      <c r="L66" s="280"/>
      <c r="M66" s="280"/>
      <c r="N66" s="280"/>
      <c r="O66" s="280"/>
      <c r="P66" s="280">
        <f t="shared" si="10"/>
        <v>3000000</v>
      </c>
      <c r="Q66" s="294">
        <v>3000000</v>
      </c>
      <c r="R66" s="280"/>
      <c r="S66" s="280">
        <f t="shared" si="15"/>
        <v>3000000</v>
      </c>
      <c r="T66" s="280">
        <f t="shared" si="11"/>
        <v>0</v>
      </c>
      <c r="U66" s="193">
        <v>210768</v>
      </c>
      <c r="V66" s="272">
        <v>42430</v>
      </c>
    </row>
    <row r="67" spans="1:26" ht="22.5" customHeight="1" x14ac:dyDescent="0.3">
      <c r="A67" s="32"/>
      <c r="B67" s="33"/>
      <c r="C67" s="127"/>
      <c r="D67" s="259">
        <v>27</v>
      </c>
      <c r="E67" s="291">
        <v>12121212</v>
      </c>
      <c r="F67" s="292"/>
      <c r="G67" s="280"/>
      <c r="H67" s="289"/>
      <c r="I67" s="280">
        <v>909091</v>
      </c>
      <c r="J67" s="292"/>
      <c r="K67" s="280">
        <v>1212121</v>
      </c>
      <c r="L67" s="280"/>
      <c r="M67" s="280"/>
      <c r="N67" s="280"/>
      <c r="O67" s="280"/>
      <c r="P67" s="280">
        <f t="shared" si="10"/>
        <v>10000000</v>
      </c>
      <c r="Q67" s="294">
        <v>10000000</v>
      </c>
      <c r="R67" s="280"/>
      <c r="S67" s="280">
        <f t="shared" si="15"/>
        <v>10000000</v>
      </c>
      <c r="T67" s="280">
        <f t="shared" si="11"/>
        <v>0</v>
      </c>
      <c r="U67" s="193">
        <v>210784</v>
      </c>
      <c r="V67" s="272">
        <v>42436</v>
      </c>
    </row>
    <row r="68" spans="1:26" ht="22.5" customHeight="1" x14ac:dyDescent="0.3">
      <c r="A68" s="32"/>
      <c r="B68" s="33"/>
      <c r="C68" s="127"/>
      <c r="D68" s="259"/>
      <c r="E68" s="291"/>
      <c r="F68" s="292"/>
      <c r="G68" s="280"/>
      <c r="H68" s="289"/>
      <c r="I68" s="280">
        <v>0</v>
      </c>
      <c r="J68" s="292"/>
      <c r="K68" s="280">
        <v>0</v>
      </c>
      <c r="L68" s="280"/>
      <c r="M68" s="280"/>
      <c r="N68" s="280"/>
      <c r="O68" s="280"/>
      <c r="P68" s="280">
        <f t="shared" si="10"/>
        <v>0</v>
      </c>
      <c r="Q68" s="294">
        <v>283218</v>
      </c>
      <c r="R68" s="280"/>
      <c r="S68" s="280">
        <f t="shared" si="15"/>
        <v>283218</v>
      </c>
      <c r="T68" s="280">
        <f t="shared" si="11"/>
        <v>-283218</v>
      </c>
      <c r="U68" s="193">
        <v>220298</v>
      </c>
      <c r="V68" s="272">
        <v>42473</v>
      </c>
    </row>
    <row r="69" spans="1:26" ht="22.5" customHeight="1" x14ac:dyDescent="0.3">
      <c r="A69" s="32"/>
      <c r="B69" s="33"/>
      <c r="C69" s="127"/>
      <c r="D69" s="259">
        <v>28</v>
      </c>
      <c r="E69" s="291">
        <v>4242424</v>
      </c>
      <c r="F69" s="292"/>
      <c r="G69" s="280"/>
      <c r="H69" s="289"/>
      <c r="I69" s="280">
        <v>424242</v>
      </c>
      <c r="J69" s="292"/>
      <c r="K69" s="280">
        <v>318182</v>
      </c>
      <c r="L69" s="280"/>
      <c r="M69" s="280"/>
      <c r="N69" s="280"/>
      <c r="O69" s="280"/>
      <c r="P69" s="280">
        <f t="shared" si="10"/>
        <v>3500000</v>
      </c>
      <c r="Q69" s="294">
        <v>3500000</v>
      </c>
      <c r="R69" s="280"/>
      <c r="S69" s="280">
        <f t="shared" si="15"/>
        <v>3500000</v>
      </c>
      <c r="T69" s="280">
        <f t="shared" si="11"/>
        <v>0</v>
      </c>
      <c r="U69" s="193">
        <v>220303</v>
      </c>
      <c r="V69" s="272">
        <v>42474</v>
      </c>
    </row>
    <row r="70" spans="1:26" ht="22.5" customHeight="1" x14ac:dyDescent="0.3">
      <c r="A70" s="32"/>
      <c r="B70" s="33"/>
      <c r="C70" s="127"/>
      <c r="D70" s="259">
        <v>29</v>
      </c>
      <c r="E70" s="291">
        <v>24242424</v>
      </c>
      <c r="F70" s="292"/>
      <c r="G70" s="280"/>
      <c r="H70" s="289"/>
      <c r="I70" s="280">
        <v>2424242</v>
      </c>
      <c r="J70" s="292"/>
      <c r="K70" s="280">
        <v>1818182</v>
      </c>
      <c r="L70" s="280"/>
      <c r="M70" s="280"/>
      <c r="N70" s="280"/>
      <c r="O70" s="280"/>
      <c r="P70" s="280">
        <f t="shared" si="10"/>
        <v>20000000</v>
      </c>
      <c r="Q70" s="294">
        <v>20000000</v>
      </c>
      <c r="R70" s="280"/>
      <c r="S70" s="280">
        <f t="shared" si="15"/>
        <v>20000000</v>
      </c>
      <c r="T70" s="280">
        <f t="shared" si="11"/>
        <v>0</v>
      </c>
      <c r="U70" s="193">
        <v>220336</v>
      </c>
      <c r="V70" s="272">
        <v>42486</v>
      </c>
    </row>
    <row r="71" spans="1:26" ht="22.5" customHeight="1" x14ac:dyDescent="0.3">
      <c r="A71" s="32"/>
      <c r="B71" s="783" t="s">
        <v>93</v>
      </c>
      <c r="C71" s="783"/>
      <c r="D71" s="783"/>
      <c r="E71" s="286">
        <f>SUM(E39:E70)</f>
        <v>154659054</v>
      </c>
      <c r="F71" s="286">
        <f>SUM(F39:F41)</f>
        <v>5834105</v>
      </c>
      <c r="G71" s="286">
        <f t="shared" ref="G71:T71" si="17">SUM(G39:G70)</f>
        <v>1546090</v>
      </c>
      <c r="H71" s="286">
        <f t="shared" si="17"/>
        <v>0</v>
      </c>
      <c r="I71" s="286">
        <f t="shared" si="17"/>
        <v>11875711.449999999</v>
      </c>
      <c r="J71" s="286">
        <f t="shared" si="17"/>
        <v>2423319</v>
      </c>
      <c r="K71" s="286">
        <f t="shared" si="17"/>
        <v>11902458.425000001</v>
      </c>
      <c r="L71" s="286">
        <f t="shared" si="17"/>
        <v>7131350.625</v>
      </c>
      <c r="M71" s="286">
        <f t="shared" si="17"/>
        <v>78749.875</v>
      </c>
      <c r="N71" s="286">
        <f t="shared" si="17"/>
        <v>1674432</v>
      </c>
      <c r="O71" s="286">
        <f t="shared" si="17"/>
        <v>220956.75</v>
      </c>
      <c r="P71" s="286">
        <f t="shared" si="17"/>
        <v>127982698.375</v>
      </c>
      <c r="Q71" s="286">
        <f t="shared" si="17"/>
        <v>125257565.375</v>
      </c>
      <c r="R71" s="286">
        <f t="shared" si="17"/>
        <v>2725133.6475000004</v>
      </c>
      <c r="S71" s="286">
        <f t="shared" si="17"/>
        <v>127982699.02250001</v>
      </c>
      <c r="T71" s="286">
        <f t="shared" si="17"/>
        <v>-0.64750000089406967</v>
      </c>
      <c r="U71" s="295">
        <v>0</v>
      </c>
      <c r="V71" s="295">
        <v>0</v>
      </c>
      <c r="W71" s="120"/>
      <c r="X71" s="120"/>
      <c r="Y71" s="120"/>
      <c r="Z71" s="120"/>
    </row>
    <row r="72" spans="1:26" ht="22.5" customHeight="1" x14ac:dyDescent="0.3">
      <c r="A72" s="32"/>
      <c r="B72" s="176"/>
      <c r="C72" s="176"/>
      <c r="D72" s="176"/>
      <c r="E72" s="286"/>
      <c r="F72" s="286"/>
      <c r="G72" s="286"/>
      <c r="H72" s="286"/>
      <c r="I72" s="287"/>
      <c r="J72" s="287"/>
      <c r="K72" s="287"/>
      <c r="L72" s="286"/>
      <c r="M72" s="286"/>
      <c r="N72" s="286"/>
      <c r="O72" s="286"/>
      <c r="P72" s="286"/>
      <c r="Q72" s="286"/>
      <c r="R72" s="286"/>
      <c r="S72" s="280"/>
      <c r="T72" s="280"/>
      <c r="U72" s="291"/>
      <c r="V72" s="291"/>
      <c r="W72" s="120"/>
      <c r="X72" s="120"/>
      <c r="Y72" s="120"/>
      <c r="Z72" s="120"/>
    </row>
    <row r="73" spans="1:26" ht="31.5" customHeight="1" x14ac:dyDescent="0.3">
      <c r="A73" s="118">
        <v>3</v>
      </c>
      <c r="B73" s="105"/>
      <c r="C73" s="105" t="str">
        <f>'[2]Anx C'!C10</f>
        <v>M/s Ajj Engineers</v>
      </c>
      <c r="D73" s="35"/>
      <c r="E73" s="280"/>
      <c r="F73" s="280"/>
      <c r="G73" s="280"/>
      <c r="H73" s="280"/>
      <c r="I73" s="280"/>
      <c r="J73" s="280"/>
      <c r="K73" s="280"/>
      <c r="L73" s="280"/>
      <c r="M73" s="280"/>
      <c r="N73" s="280"/>
      <c r="O73" s="280"/>
      <c r="P73" s="280"/>
      <c r="Q73" s="280"/>
      <c r="R73" s="280"/>
      <c r="S73" s="280"/>
      <c r="T73" s="280"/>
      <c r="U73" s="275"/>
      <c r="V73" s="290"/>
      <c r="Y73" s="120"/>
    </row>
    <row r="74" spans="1:26" ht="22.5" customHeight="1" x14ac:dyDescent="0.3">
      <c r="A74" s="32"/>
      <c r="B74" s="33"/>
      <c r="C74" s="285"/>
      <c r="D74" s="35">
        <v>1</v>
      </c>
      <c r="E74" s="280">
        <v>2544308</v>
      </c>
      <c r="F74" s="280">
        <v>2544308</v>
      </c>
      <c r="G74" s="281">
        <v>0</v>
      </c>
      <c r="H74" s="280">
        <v>0</v>
      </c>
      <c r="I74" s="280">
        <f>E74*0.05</f>
        <v>127215.40000000001</v>
      </c>
      <c r="J74" s="292">
        <v>0</v>
      </c>
      <c r="K74" s="280">
        <f>E74*0.075</f>
        <v>190823.1</v>
      </c>
      <c r="L74" s="280">
        <f>E74-I74-J74-K74</f>
        <v>2226269.5</v>
      </c>
      <c r="M74" s="280">
        <v>0</v>
      </c>
      <c r="N74" s="281">
        <v>21939382</v>
      </c>
      <c r="O74" s="281">
        <f>G74*0.075</f>
        <v>0</v>
      </c>
      <c r="P74" s="280">
        <f t="shared" ref="P74:P83" si="18">E74+G74-I74-K74-O74-J74</f>
        <v>2226269.5</v>
      </c>
      <c r="Q74" s="296">
        <v>2095744</v>
      </c>
      <c r="R74" s="281">
        <v>0</v>
      </c>
      <c r="S74" s="281">
        <f>R74+Q74</f>
        <v>2095744</v>
      </c>
      <c r="T74" s="280">
        <f t="shared" ref="T74:T96" si="19">P74-S74</f>
        <v>130525.5</v>
      </c>
      <c r="U74" s="275">
        <v>53895371</v>
      </c>
      <c r="V74" s="271">
        <v>41989</v>
      </c>
    </row>
    <row r="75" spans="1:26" ht="22.5" customHeight="1" x14ac:dyDescent="0.3">
      <c r="A75" s="32"/>
      <c r="B75" s="33"/>
      <c r="C75" s="33"/>
      <c r="D75" s="35">
        <v>2</v>
      </c>
      <c r="E75" s="291">
        <v>0</v>
      </c>
      <c r="F75" s="292">
        <v>0</v>
      </c>
      <c r="G75" s="280">
        <v>21939382.5</v>
      </c>
      <c r="H75" s="280">
        <v>0</v>
      </c>
      <c r="I75" s="280">
        <f t="shared" ref="I75:I84" si="20">E75*0.05</f>
        <v>0</v>
      </c>
      <c r="J75" s="292">
        <v>0</v>
      </c>
      <c r="K75" s="280">
        <f t="shared" ref="K75:K84" si="21">E75*0.075</f>
        <v>0</v>
      </c>
      <c r="L75" s="280">
        <f>E75-I75-J75-K75</f>
        <v>0</v>
      </c>
      <c r="M75" s="280">
        <v>0</v>
      </c>
      <c r="N75" s="280">
        <v>0</v>
      </c>
      <c r="O75" s="281">
        <f t="shared" ref="O75:O83" si="22">G75*0.075</f>
        <v>1645453.6875</v>
      </c>
      <c r="P75" s="280">
        <f t="shared" si="18"/>
        <v>20293928.8125</v>
      </c>
      <c r="Q75" s="296">
        <v>0</v>
      </c>
      <c r="R75" s="280">
        <v>20293928.8125</v>
      </c>
      <c r="S75" s="281">
        <f t="shared" ref="S75:S96" si="23">R75+Q75</f>
        <v>20293928.8125</v>
      </c>
      <c r="T75" s="280">
        <f t="shared" si="19"/>
        <v>0</v>
      </c>
      <c r="U75" s="275">
        <v>53895381</v>
      </c>
      <c r="V75" s="271">
        <v>41999</v>
      </c>
    </row>
    <row r="76" spans="1:26" ht="22.5" customHeight="1" x14ac:dyDescent="0.3">
      <c r="A76" s="32"/>
      <c r="B76" s="33"/>
      <c r="C76" s="33"/>
      <c r="D76" s="35">
        <v>3</v>
      </c>
      <c r="E76" s="291">
        <v>1851075.7999999998</v>
      </c>
      <c r="F76" s="292">
        <v>1851075.7999999998</v>
      </c>
      <c r="G76" s="280">
        <v>0</v>
      </c>
      <c r="H76" s="280">
        <v>0</v>
      </c>
      <c r="I76" s="280">
        <f t="shared" si="20"/>
        <v>92553.79</v>
      </c>
      <c r="J76" s="292"/>
      <c r="K76" s="280">
        <f t="shared" si="21"/>
        <v>138830.68499999997</v>
      </c>
      <c r="L76" s="280"/>
      <c r="M76" s="280"/>
      <c r="N76" s="280"/>
      <c r="O76" s="281">
        <f t="shared" si="22"/>
        <v>0</v>
      </c>
      <c r="P76" s="280">
        <f t="shared" si="18"/>
        <v>1619691.3249999997</v>
      </c>
      <c r="Q76" s="296">
        <v>1750218</v>
      </c>
      <c r="R76" s="280">
        <v>0</v>
      </c>
      <c r="S76" s="281">
        <f t="shared" si="23"/>
        <v>1750218</v>
      </c>
      <c r="T76" s="280">
        <f t="shared" si="19"/>
        <v>-130526.67500000028</v>
      </c>
      <c r="U76" s="275">
        <v>60596498</v>
      </c>
      <c r="V76" s="271">
        <v>42038</v>
      </c>
    </row>
    <row r="77" spans="1:26" ht="22.5" customHeight="1" x14ac:dyDescent="0.3">
      <c r="A77" s="32"/>
      <c r="B77" s="33"/>
      <c r="C77" s="33"/>
      <c r="D77" s="35">
        <v>4</v>
      </c>
      <c r="E77" s="291">
        <v>0</v>
      </c>
      <c r="F77" s="292">
        <v>0</v>
      </c>
      <c r="G77" s="280">
        <v>3636648.75</v>
      </c>
      <c r="H77" s="280">
        <v>0</v>
      </c>
      <c r="I77" s="280">
        <f t="shared" si="20"/>
        <v>0</v>
      </c>
      <c r="J77" s="292"/>
      <c r="K77" s="280">
        <f t="shared" si="21"/>
        <v>0</v>
      </c>
      <c r="L77" s="280"/>
      <c r="M77" s="280"/>
      <c r="N77" s="280"/>
      <c r="O77" s="281">
        <f t="shared" si="22"/>
        <v>272748.65625</v>
      </c>
      <c r="P77" s="280">
        <f t="shared" si="18"/>
        <v>3363900.09375</v>
      </c>
      <c r="Q77" s="296">
        <v>0</v>
      </c>
      <c r="R77" s="280">
        <v>3363900.09375</v>
      </c>
      <c r="S77" s="281">
        <f t="shared" si="23"/>
        <v>3363900.09375</v>
      </c>
      <c r="T77" s="280">
        <f t="shared" si="19"/>
        <v>0</v>
      </c>
      <c r="U77" s="275">
        <v>60596569</v>
      </c>
      <c r="V77" s="271">
        <v>42072</v>
      </c>
    </row>
    <row r="78" spans="1:26" ht="22.5" customHeight="1" x14ac:dyDescent="0.3">
      <c r="A78" s="32"/>
      <c r="B78" s="33"/>
      <c r="C78" s="33"/>
      <c r="D78" s="35">
        <v>5</v>
      </c>
      <c r="E78" s="291">
        <v>2729741</v>
      </c>
      <c r="F78" s="292">
        <v>2729741</v>
      </c>
      <c r="G78" s="280">
        <v>0</v>
      </c>
      <c r="H78" s="280">
        <v>0</v>
      </c>
      <c r="I78" s="280">
        <f t="shared" si="20"/>
        <v>136487.05000000002</v>
      </c>
      <c r="J78" s="292"/>
      <c r="K78" s="280">
        <f t="shared" si="21"/>
        <v>204730.57499999998</v>
      </c>
      <c r="L78" s="280"/>
      <c r="M78" s="280"/>
      <c r="N78" s="280"/>
      <c r="O78" s="281">
        <f t="shared" si="22"/>
        <v>0</v>
      </c>
      <c r="P78" s="280">
        <f t="shared" si="18"/>
        <v>2388523.375</v>
      </c>
      <c r="Q78" s="296">
        <v>2388523</v>
      </c>
      <c r="R78" s="280">
        <v>0</v>
      </c>
      <c r="S78" s="281">
        <f t="shared" si="23"/>
        <v>2388523</v>
      </c>
      <c r="T78" s="280">
        <f t="shared" si="19"/>
        <v>0.375</v>
      </c>
      <c r="U78" s="275">
        <v>64199965</v>
      </c>
      <c r="V78" s="271">
        <v>42095</v>
      </c>
    </row>
    <row r="79" spans="1:26" ht="22.5" customHeight="1" x14ac:dyDescent="0.3">
      <c r="A79" s="32"/>
      <c r="B79" s="33"/>
      <c r="C79" s="33"/>
      <c r="D79" s="35">
        <v>6</v>
      </c>
      <c r="E79" s="291">
        <v>3261519.0999999996</v>
      </c>
      <c r="F79" s="292">
        <v>3261519.0999999996</v>
      </c>
      <c r="G79" s="280">
        <v>0</v>
      </c>
      <c r="H79" s="280">
        <v>0</v>
      </c>
      <c r="I79" s="280">
        <f t="shared" si="20"/>
        <v>163075.95499999999</v>
      </c>
      <c r="J79" s="292"/>
      <c r="K79" s="280">
        <f t="shared" si="21"/>
        <v>244613.93249999997</v>
      </c>
      <c r="L79" s="280"/>
      <c r="M79" s="280"/>
      <c r="N79" s="280"/>
      <c r="O79" s="281">
        <f t="shared" si="22"/>
        <v>0</v>
      </c>
      <c r="P79" s="280">
        <f t="shared" si="18"/>
        <v>2853829.2124999994</v>
      </c>
      <c r="Q79" s="296">
        <v>2853829</v>
      </c>
      <c r="R79" s="280">
        <v>0</v>
      </c>
      <c r="S79" s="281">
        <f t="shared" si="23"/>
        <v>2853829</v>
      </c>
      <c r="T79" s="280">
        <f t="shared" si="19"/>
        <v>0.21249999944120646</v>
      </c>
      <c r="U79" s="275">
        <v>64200016</v>
      </c>
      <c r="V79" s="271">
        <v>42122</v>
      </c>
    </row>
    <row r="80" spans="1:26" ht="22.5" customHeight="1" x14ac:dyDescent="0.3">
      <c r="A80" s="32"/>
      <c r="B80" s="33"/>
      <c r="C80" s="33"/>
      <c r="D80" s="35">
        <v>7</v>
      </c>
      <c r="E80" s="291">
        <v>3815688</v>
      </c>
      <c r="F80" s="292">
        <v>3815688</v>
      </c>
      <c r="G80" s="280">
        <v>0</v>
      </c>
      <c r="H80" s="280">
        <v>0</v>
      </c>
      <c r="I80" s="280">
        <f t="shared" si="20"/>
        <v>190784.40000000002</v>
      </c>
      <c r="J80" s="292">
        <v>150000</v>
      </c>
      <c r="K80" s="280">
        <f t="shared" si="21"/>
        <v>286176.59999999998</v>
      </c>
      <c r="L80" s="280"/>
      <c r="M80" s="280"/>
      <c r="N80" s="280"/>
      <c r="O80" s="281">
        <f t="shared" si="22"/>
        <v>0</v>
      </c>
      <c r="P80" s="280">
        <f t="shared" si="18"/>
        <v>3188727</v>
      </c>
      <c r="Q80" s="296">
        <v>3338727</v>
      </c>
      <c r="R80" s="280">
        <v>0</v>
      </c>
      <c r="S80" s="281">
        <f t="shared" si="23"/>
        <v>3338727</v>
      </c>
      <c r="T80" s="280">
        <f t="shared" si="19"/>
        <v>-150000</v>
      </c>
      <c r="U80" s="275">
        <v>66942544</v>
      </c>
      <c r="V80" s="271">
        <v>42130</v>
      </c>
    </row>
    <row r="81" spans="1:22" ht="22.5" customHeight="1" x14ac:dyDescent="0.3">
      <c r="A81" s="32"/>
      <c r="B81" s="33"/>
      <c r="C81" s="33"/>
      <c r="D81" s="35">
        <v>8</v>
      </c>
      <c r="E81" s="291">
        <v>7603530</v>
      </c>
      <c r="F81" s="292">
        <v>7603530</v>
      </c>
      <c r="G81" s="280">
        <v>0</v>
      </c>
      <c r="H81" s="280">
        <v>0</v>
      </c>
      <c r="I81" s="280">
        <f t="shared" si="20"/>
        <v>380176.5</v>
      </c>
      <c r="J81" s="292"/>
      <c r="K81" s="280">
        <f t="shared" si="21"/>
        <v>570264.75</v>
      </c>
      <c r="L81" s="280"/>
      <c r="M81" s="280"/>
      <c r="N81" s="280"/>
      <c r="O81" s="281">
        <f t="shared" si="22"/>
        <v>0</v>
      </c>
      <c r="P81" s="280">
        <f t="shared" si="18"/>
        <v>6653088.75</v>
      </c>
      <c r="Q81" s="296">
        <v>6500000</v>
      </c>
      <c r="R81" s="280">
        <v>0</v>
      </c>
      <c r="S81" s="281">
        <f t="shared" si="23"/>
        <v>6500000</v>
      </c>
      <c r="T81" s="280">
        <f t="shared" si="19"/>
        <v>153088.75</v>
      </c>
      <c r="U81" s="275">
        <v>66942594</v>
      </c>
      <c r="V81" s="271">
        <v>42145</v>
      </c>
    </row>
    <row r="82" spans="1:22" ht="22.5" customHeight="1" x14ac:dyDescent="0.3">
      <c r="A82" s="32"/>
      <c r="B82" s="33"/>
      <c r="C82" s="33"/>
      <c r="D82" s="35">
        <f>D81+1</f>
        <v>9</v>
      </c>
      <c r="E82" s="280">
        <v>9422036</v>
      </c>
      <c r="F82" s="280">
        <v>0</v>
      </c>
      <c r="G82" s="280">
        <v>0</v>
      </c>
      <c r="H82" s="280">
        <v>0</v>
      </c>
      <c r="I82" s="280">
        <f t="shared" si="20"/>
        <v>471101.80000000005</v>
      </c>
      <c r="J82" s="292">
        <v>-206895</v>
      </c>
      <c r="K82" s="280">
        <f t="shared" si="21"/>
        <v>706652.7</v>
      </c>
      <c r="L82" s="280"/>
      <c r="M82" s="280"/>
      <c r="N82" s="280"/>
      <c r="O82" s="281">
        <f t="shared" si="22"/>
        <v>0</v>
      </c>
      <c r="P82" s="280">
        <f>E82+G82-I82-K82-O82+J82</f>
        <v>8037386.4999999991</v>
      </c>
      <c r="Q82" s="280">
        <v>7000000</v>
      </c>
      <c r="R82" s="280">
        <v>0</v>
      </c>
      <c r="S82" s="281">
        <f t="shared" si="23"/>
        <v>7000000</v>
      </c>
      <c r="T82" s="280">
        <f t="shared" si="19"/>
        <v>1037386.4999999991</v>
      </c>
      <c r="U82" s="275">
        <v>69695129</v>
      </c>
      <c r="V82" s="271">
        <v>42173</v>
      </c>
    </row>
    <row r="83" spans="1:22" ht="22.5" customHeight="1" x14ac:dyDescent="0.3">
      <c r="A83" s="32"/>
      <c r="B83" s="33"/>
      <c r="C83" s="33"/>
      <c r="D83" s="35">
        <f>D82+1</f>
        <v>10</v>
      </c>
      <c r="E83" s="280">
        <v>21680852</v>
      </c>
      <c r="F83" s="280">
        <v>0</v>
      </c>
      <c r="G83" s="280">
        <v>0</v>
      </c>
      <c r="H83" s="280">
        <v>0</v>
      </c>
      <c r="I83" s="280">
        <f t="shared" si="20"/>
        <v>1084042.6000000001</v>
      </c>
      <c r="J83" s="292"/>
      <c r="K83" s="280">
        <f t="shared" si="21"/>
        <v>1626063.9</v>
      </c>
      <c r="L83" s="280"/>
      <c r="M83" s="280"/>
      <c r="N83" s="280"/>
      <c r="O83" s="281">
        <f t="shared" si="22"/>
        <v>0</v>
      </c>
      <c r="P83" s="280">
        <f t="shared" si="18"/>
        <v>18970745.5</v>
      </c>
      <c r="Q83" s="280">
        <v>20000000</v>
      </c>
      <c r="R83" s="280">
        <v>0</v>
      </c>
      <c r="S83" s="281">
        <f t="shared" si="23"/>
        <v>20000000</v>
      </c>
      <c r="T83" s="280">
        <f t="shared" si="19"/>
        <v>-1029254.5</v>
      </c>
      <c r="U83" s="275">
        <v>69695186</v>
      </c>
      <c r="V83" s="271">
        <v>42194</v>
      </c>
    </row>
    <row r="84" spans="1:22" ht="22.5" customHeight="1" x14ac:dyDescent="0.3">
      <c r="A84" s="32"/>
      <c r="B84" s="33"/>
      <c r="C84" s="33"/>
      <c r="D84" s="35">
        <v>11</v>
      </c>
      <c r="E84" s="280">
        <v>16974401</v>
      </c>
      <c r="F84" s="280"/>
      <c r="G84" s="280"/>
      <c r="H84" s="280"/>
      <c r="I84" s="280">
        <f t="shared" si="20"/>
        <v>848720.05</v>
      </c>
      <c r="J84" s="291">
        <v>-1200000</v>
      </c>
      <c r="K84" s="280">
        <f t="shared" si="21"/>
        <v>1273080.075</v>
      </c>
      <c r="L84" s="280"/>
      <c r="M84" s="280"/>
      <c r="N84" s="280"/>
      <c r="O84" s="281"/>
      <c r="P84" s="280">
        <f>E84+G84-I84-K84-O84+J84</f>
        <v>13652600.875</v>
      </c>
      <c r="Q84" s="280">
        <v>5000000</v>
      </c>
      <c r="R84" s="280"/>
      <c r="S84" s="281">
        <f t="shared" si="23"/>
        <v>5000000</v>
      </c>
      <c r="T84" s="280">
        <f t="shared" si="19"/>
        <v>8652600.875</v>
      </c>
      <c r="U84" s="275" t="s">
        <v>383</v>
      </c>
      <c r="V84" s="271">
        <v>42255</v>
      </c>
    </row>
    <row r="85" spans="1:22" ht="22.5" customHeight="1" x14ac:dyDescent="0.3">
      <c r="A85" s="32"/>
      <c r="B85" s="33"/>
      <c r="C85" s="33"/>
      <c r="D85" s="35"/>
      <c r="E85" s="280"/>
      <c r="F85" s="280"/>
      <c r="G85" s="280"/>
      <c r="H85" s="280"/>
      <c r="I85" s="280"/>
      <c r="J85" s="292"/>
      <c r="K85" s="280"/>
      <c r="L85" s="280"/>
      <c r="M85" s="280"/>
      <c r="N85" s="280"/>
      <c r="O85" s="281"/>
      <c r="P85" s="280"/>
      <c r="Q85" s="280">
        <v>3500000</v>
      </c>
      <c r="R85" s="280"/>
      <c r="S85" s="281">
        <f t="shared" si="23"/>
        <v>3500000</v>
      </c>
      <c r="T85" s="280">
        <f t="shared" si="19"/>
        <v>-3500000</v>
      </c>
      <c r="U85" s="275">
        <v>74557212</v>
      </c>
      <c r="V85" s="271">
        <v>42269</v>
      </c>
    </row>
    <row r="86" spans="1:22" ht="22.5" customHeight="1" x14ac:dyDescent="0.3">
      <c r="A86" s="32"/>
      <c r="B86" s="33"/>
      <c r="C86" s="33"/>
      <c r="D86" s="35"/>
      <c r="E86" s="280"/>
      <c r="F86" s="280"/>
      <c r="G86" s="280"/>
      <c r="H86" s="280"/>
      <c r="I86" s="280"/>
      <c r="J86" s="292"/>
      <c r="K86" s="280"/>
      <c r="L86" s="280"/>
      <c r="M86" s="280"/>
      <c r="N86" s="280"/>
      <c r="O86" s="281"/>
      <c r="P86" s="280"/>
      <c r="Q86" s="280">
        <v>5163822</v>
      </c>
      <c r="R86" s="280"/>
      <c r="S86" s="281">
        <f t="shared" si="23"/>
        <v>5163822</v>
      </c>
      <c r="T86" s="280">
        <f t="shared" si="19"/>
        <v>-5163822</v>
      </c>
      <c r="U86" s="275">
        <v>74557213</v>
      </c>
      <c r="V86" s="271">
        <v>42270</v>
      </c>
    </row>
    <row r="87" spans="1:22" ht="22.5" customHeight="1" x14ac:dyDescent="0.3">
      <c r="A87" s="32"/>
      <c r="B87" s="33"/>
      <c r="C87" s="33"/>
      <c r="D87" s="35">
        <v>12</v>
      </c>
      <c r="E87" s="280">
        <v>11637357</v>
      </c>
      <c r="F87" s="280"/>
      <c r="G87" s="280"/>
      <c r="H87" s="280"/>
      <c r="I87" s="280">
        <v>909671</v>
      </c>
      <c r="J87" s="292">
        <v>0</v>
      </c>
      <c r="K87" s="280">
        <f>E87*0.075</f>
        <v>872801.77500000002</v>
      </c>
      <c r="L87" s="280"/>
      <c r="M87" s="280"/>
      <c r="N87" s="280"/>
      <c r="O87" s="281"/>
      <c r="P87" s="280">
        <f t="shared" ref="P87:P96" si="24">E87+G87-I87-K87-O87-J87</f>
        <v>9854884.2249999996</v>
      </c>
      <c r="Q87" s="280">
        <v>8000000</v>
      </c>
      <c r="R87" s="280"/>
      <c r="S87" s="281">
        <f t="shared" si="23"/>
        <v>8000000</v>
      </c>
      <c r="T87" s="280">
        <f t="shared" si="19"/>
        <v>1854884.2249999996</v>
      </c>
      <c r="U87" s="275">
        <v>74557223</v>
      </c>
      <c r="V87" s="271">
        <v>42283</v>
      </c>
    </row>
    <row r="88" spans="1:22" ht="22.5" customHeight="1" x14ac:dyDescent="0.3">
      <c r="A88" s="32"/>
      <c r="B88" s="33"/>
      <c r="C88" s="33"/>
      <c r="D88" s="35"/>
      <c r="E88" s="291"/>
      <c r="F88" s="292"/>
      <c r="G88" s="280"/>
      <c r="H88" s="280"/>
      <c r="I88" s="280"/>
      <c r="J88" s="292"/>
      <c r="K88" s="280"/>
      <c r="L88" s="280"/>
      <c r="M88" s="280"/>
      <c r="N88" s="280"/>
      <c r="O88" s="280"/>
      <c r="P88" s="280">
        <f t="shared" si="24"/>
        <v>0</v>
      </c>
      <c r="Q88" s="296">
        <v>1854885</v>
      </c>
      <c r="R88" s="280"/>
      <c r="S88" s="281">
        <f t="shared" si="23"/>
        <v>1854885</v>
      </c>
      <c r="T88" s="280">
        <f t="shared" si="19"/>
        <v>-1854885</v>
      </c>
      <c r="U88" s="275">
        <v>76574386</v>
      </c>
      <c r="V88" s="272">
        <v>42320</v>
      </c>
    </row>
    <row r="89" spans="1:22" ht="22.5" customHeight="1" x14ac:dyDescent="0.3">
      <c r="A89" s="32"/>
      <c r="B89" s="33"/>
      <c r="C89" s="33"/>
      <c r="D89" s="35">
        <v>13</v>
      </c>
      <c r="E89" s="291">
        <v>19060606</v>
      </c>
      <c r="F89" s="292"/>
      <c r="G89" s="280"/>
      <c r="H89" s="280"/>
      <c r="I89" s="280">
        <v>1906061</v>
      </c>
      <c r="J89" s="292"/>
      <c r="K89" s="280">
        <v>1429545</v>
      </c>
      <c r="L89" s="280"/>
      <c r="M89" s="280"/>
      <c r="N89" s="280"/>
      <c r="O89" s="280"/>
      <c r="P89" s="280">
        <f t="shared" si="24"/>
        <v>15725000</v>
      </c>
      <c r="Q89" s="296">
        <v>8000000</v>
      </c>
      <c r="R89" s="280"/>
      <c r="S89" s="281">
        <f t="shared" si="23"/>
        <v>8000000</v>
      </c>
      <c r="T89" s="280">
        <f t="shared" si="19"/>
        <v>7725000</v>
      </c>
      <c r="U89" s="275">
        <v>79109906</v>
      </c>
      <c r="V89" s="272">
        <v>42348</v>
      </c>
    </row>
    <row r="90" spans="1:22" ht="22.5" customHeight="1" x14ac:dyDescent="0.3">
      <c r="A90" s="32"/>
      <c r="B90" s="33"/>
      <c r="C90" s="33"/>
      <c r="D90" s="35"/>
      <c r="E90" s="291"/>
      <c r="F90" s="292"/>
      <c r="G90" s="280"/>
      <c r="H90" s="280"/>
      <c r="I90" s="280"/>
      <c r="J90" s="292"/>
      <c r="K90" s="280"/>
      <c r="L90" s="280"/>
      <c r="M90" s="280"/>
      <c r="N90" s="280"/>
      <c r="O90" s="280"/>
      <c r="P90" s="280">
        <f t="shared" si="24"/>
        <v>0</v>
      </c>
      <c r="Q90" s="296">
        <v>7725000</v>
      </c>
      <c r="R90" s="280"/>
      <c r="S90" s="281">
        <f t="shared" si="23"/>
        <v>7725000</v>
      </c>
      <c r="T90" s="280">
        <f t="shared" si="19"/>
        <v>-7725000</v>
      </c>
      <c r="U90" s="275">
        <v>79109930</v>
      </c>
      <c r="V90" s="272">
        <v>42356</v>
      </c>
    </row>
    <row r="91" spans="1:22" ht="22.5" customHeight="1" x14ac:dyDescent="0.3">
      <c r="A91" s="32"/>
      <c r="B91" s="33"/>
      <c r="C91" s="33"/>
      <c r="D91" s="35">
        <v>14</v>
      </c>
      <c r="E91" s="291">
        <v>15757576</v>
      </c>
      <c r="F91" s="292"/>
      <c r="G91" s="280"/>
      <c r="H91" s="280"/>
      <c r="I91" s="280">
        <v>1575758</v>
      </c>
      <c r="J91" s="292"/>
      <c r="K91" s="280">
        <v>1181818</v>
      </c>
      <c r="L91" s="280"/>
      <c r="M91" s="280"/>
      <c r="N91" s="280"/>
      <c r="O91" s="280"/>
      <c r="P91" s="280">
        <f t="shared" si="24"/>
        <v>13000000</v>
      </c>
      <c r="Q91" s="296">
        <v>13000000</v>
      </c>
      <c r="R91" s="280"/>
      <c r="S91" s="281">
        <f t="shared" si="23"/>
        <v>13000000</v>
      </c>
      <c r="T91" s="280">
        <f t="shared" si="19"/>
        <v>0</v>
      </c>
      <c r="U91" s="275"/>
      <c r="V91" s="272"/>
    </row>
    <row r="92" spans="1:22" ht="22.5" customHeight="1" x14ac:dyDescent="0.3">
      <c r="A92" s="32"/>
      <c r="B92" s="33"/>
      <c r="C92" s="33"/>
      <c r="D92" s="35">
        <v>15</v>
      </c>
      <c r="E92" s="291">
        <v>18181818</v>
      </c>
      <c r="F92" s="292"/>
      <c r="G92" s="280">
        <v>-10000000</v>
      </c>
      <c r="H92" s="280"/>
      <c r="I92" s="280">
        <v>1818182</v>
      </c>
      <c r="J92" s="292">
        <v>1256895</v>
      </c>
      <c r="K92" s="280">
        <v>1363636</v>
      </c>
      <c r="L92" s="280"/>
      <c r="M92" s="280"/>
      <c r="N92" s="280"/>
      <c r="O92" s="280"/>
      <c r="P92" s="280">
        <f>E92+G92-I92-K92-O92</f>
        <v>5000000</v>
      </c>
      <c r="Q92" s="296">
        <v>5000000</v>
      </c>
      <c r="R92" s="280"/>
      <c r="S92" s="281">
        <f t="shared" si="23"/>
        <v>5000000</v>
      </c>
      <c r="T92" s="280">
        <f t="shared" si="19"/>
        <v>0</v>
      </c>
      <c r="U92" s="275">
        <v>83424303</v>
      </c>
      <c r="V92" s="272">
        <v>42419</v>
      </c>
    </row>
    <row r="93" spans="1:22" ht="22.5" customHeight="1" x14ac:dyDescent="0.3">
      <c r="A93" s="32"/>
      <c r="B93" s="33"/>
      <c r="C93" s="33"/>
      <c r="D93" s="35">
        <v>16</v>
      </c>
      <c r="E93" s="291">
        <v>7272727</v>
      </c>
      <c r="F93" s="292"/>
      <c r="G93" s="280">
        <v>-1000000</v>
      </c>
      <c r="H93" s="280"/>
      <c r="I93" s="280">
        <v>727272</v>
      </c>
      <c r="J93" s="292"/>
      <c r="K93" s="280">
        <v>545455</v>
      </c>
      <c r="L93" s="280"/>
      <c r="M93" s="280"/>
      <c r="N93" s="280"/>
      <c r="O93" s="280"/>
      <c r="P93" s="280">
        <f t="shared" si="24"/>
        <v>5000000</v>
      </c>
      <c r="Q93" s="296">
        <v>5000000</v>
      </c>
      <c r="R93" s="280"/>
      <c r="S93" s="281">
        <f t="shared" si="23"/>
        <v>5000000</v>
      </c>
      <c r="T93" s="280">
        <f t="shared" si="19"/>
        <v>0</v>
      </c>
      <c r="U93" s="275">
        <v>210766</v>
      </c>
      <c r="V93" s="272">
        <v>42430</v>
      </c>
    </row>
    <row r="94" spans="1:22" ht="22.5" customHeight="1" x14ac:dyDescent="0.3">
      <c r="A94" s="32"/>
      <c r="B94" s="33"/>
      <c r="C94" s="33"/>
      <c r="D94" s="35">
        <v>17</v>
      </c>
      <c r="E94" s="291">
        <v>17575758</v>
      </c>
      <c r="F94" s="292"/>
      <c r="G94" s="280">
        <v>-2500000</v>
      </c>
      <c r="H94" s="280"/>
      <c r="I94" s="280">
        <v>1757576</v>
      </c>
      <c r="J94" s="292"/>
      <c r="K94" s="280">
        <v>1318182</v>
      </c>
      <c r="L94" s="280"/>
      <c r="M94" s="280"/>
      <c r="N94" s="280"/>
      <c r="O94" s="280"/>
      <c r="P94" s="280">
        <f t="shared" si="24"/>
        <v>12000000</v>
      </c>
      <c r="Q94" s="296">
        <v>12000000</v>
      </c>
      <c r="R94" s="280"/>
      <c r="S94" s="281">
        <f t="shared" si="23"/>
        <v>12000000</v>
      </c>
      <c r="T94" s="280">
        <f t="shared" si="19"/>
        <v>0</v>
      </c>
      <c r="U94" s="275">
        <v>210802</v>
      </c>
      <c r="V94" s="272">
        <v>42450</v>
      </c>
    </row>
    <row r="95" spans="1:22" ht="22.5" customHeight="1" x14ac:dyDescent="0.3">
      <c r="A95" s="32"/>
      <c r="B95" s="33"/>
      <c r="C95" s="33"/>
      <c r="D95" s="35">
        <v>18</v>
      </c>
      <c r="E95" s="291">
        <v>8000000</v>
      </c>
      <c r="F95" s="292"/>
      <c r="G95" s="280">
        <v>-2500000</v>
      </c>
      <c r="H95" s="280"/>
      <c r="I95" s="280">
        <v>400000</v>
      </c>
      <c r="J95" s="292"/>
      <c r="K95" s="280">
        <v>600000</v>
      </c>
      <c r="L95" s="280"/>
      <c r="M95" s="280"/>
      <c r="N95" s="280"/>
      <c r="O95" s="280"/>
      <c r="P95" s="280">
        <f t="shared" si="24"/>
        <v>4500000</v>
      </c>
      <c r="Q95" s="296">
        <v>4500000</v>
      </c>
      <c r="R95" s="280"/>
      <c r="S95" s="281">
        <f t="shared" si="23"/>
        <v>4500000</v>
      </c>
      <c r="T95" s="280">
        <f t="shared" si="19"/>
        <v>0</v>
      </c>
      <c r="U95" s="275">
        <v>220304</v>
      </c>
      <c r="V95" s="272">
        <v>42474</v>
      </c>
    </row>
    <row r="96" spans="1:22" ht="22.5" customHeight="1" x14ac:dyDescent="0.3">
      <c r="A96" s="32"/>
      <c r="B96" s="33"/>
      <c r="C96" s="33"/>
      <c r="D96" s="35">
        <v>19</v>
      </c>
      <c r="E96" s="291">
        <v>9090909</v>
      </c>
      <c r="F96" s="292"/>
      <c r="G96" s="280">
        <v>-2500000</v>
      </c>
      <c r="H96" s="280"/>
      <c r="I96" s="280">
        <v>909091</v>
      </c>
      <c r="J96" s="292"/>
      <c r="K96" s="280">
        <v>681818</v>
      </c>
      <c r="L96" s="280"/>
      <c r="M96" s="280"/>
      <c r="N96" s="280"/>
      <c r="O96" s="280"/>
      <c r="P96" s="280">
        <f t="shared" si="24"/>
        <v>5000000</v>
      </c>
      <c r="Q96" s="296">
        <v>5000000</v>
      </c>
      <c r="R96" s="280"/>
      <c r="S96" s="281">
        <f t="shared" si="23"/>
        <v>5000000</v>
      </c>
      <c r="T96" s="280">
        <f t="shared" si="19"/>
        <v>0</v>
      </c>
      <c r="U96" s="275">
        <v>220337</v>
      </c>
      <c r="V96" s="272">
        <v>42486</v>
      </c>
    </row>
    <row r="97" spans="1:26" ht="22.5" customHeight="1" x14ac:dyDescent="0.3">
      <c r="A97" s="32"/>
      <c r="B97" s="783" t="s">
        <v>93</v>
      </c>
      <c r="C97" s="783"/>
      <c r="D97" s="783"/>
      <c r="E97" s="286">
        <f>SUM(E74:E96)</f>
        <v>176459901.90000001</v>
      </c>
      <c r="F97" s="286">
        <f>SUM(F73:F74)</f>
        <v>2544308</v>
      </c>
      <c r="G97" s="286">
        <f t="shared" ref="G97:T97" si="25">SUM(G74:G96)</f>
        <v>7076031.25</v>
      </c>
      <c r="H97" s="286">
        <f t="shared" si="25"/>
        <v>0</v>
      </c>
      <c r="I97" s="286">
        <f t="shared" si="25"/>
        <v>13497768.545</v>
      </c>
      <c r="J97" s="286">
        <f t="shared" si="25"/>
        <v>0</v>
      </c>
      <c r="K97" s="286">
        <f t="shared" si="25"/>
        <v>13234492.092500001</v>
      </c>
      <c r="L97" s="286">
        <f t="shared" si="25"/>
        <v>2226269.5</v>
      </c>
      <c r="M97" s="286">
        <f t="shared" si="25"/>
        <v>0</v>
      </c>
      <c r="N97" s="286">
        <f t="shared" si="25"/>
        <v>21939382</v>
      </c>
      <c r="O97" s="286">
        <f t="shared" si="25"/>
        <v>1918202.34375</v>
      </c>
      <c r="P97" s="286">
        <f t="shared" si="25"/>
        <v>153328575.16874999</v>
      </c>
      <c r="Q97" s="286">
        <f t="shared" si="25"/>
        <v>129670748</v>
      </c>
      <c r="R97" s="286">
        <f t="shared" si="25"/>
        <v>23657828.90625</v>
      </c>
      <c r="S97" s="286">
        <f t="shared" si="25"/>
        <v>153328576.90625</v>
      </c>
      <c r="T97" s="286">
        <f t="shared" si="25"/>
        <v>-1.7375000026077032</v>
      </c>
      <c r="U97" s="295">
        <v>0</v>
      </c>
      <c r="V97" s="295">
        <v>0</v>
      </c>
      <c r="W97" s="120"/>
      <c r="X97" s="120"/>
      <c r="Y97" s="120"/>
      <c r="Z97" s="120"/>
    </row>
    <row r="98" spans="1:26" ht="22.5" customHeight="1" x14ac:dyDescent="0.3">
      <c r="A98" s="50"/>
      <c r="B98" s="46"/>
      <c r="C98" s="46"/>
      <c r="D98" s="46"/>
      <c r="E98" s="287"/>
      <c r="F98" s="287"/>
      <c r="G98" s="288"/>
      <c r="H98" s="288"/>
      <c r="I98" s="287"/>
      <c r="J98" s="287"/>
      <c r="K98" s="287"/>
      <c r="L98" s="289"/>
      <c r="M98" s="280"/>
      <c r="N98" s="288"/>
      <c r="O98" s="288"/>
      <c r="P98" s="288"/>
      <c r="Q98" s="287"/>
      <c r="R98" s="288"/>
      <c r="S98" s="288"/>
      <c r="T98" s="288"/>
      <c r="U98" s="273"/>
      <c r="V98" s="276"/>
      <c r="W98" s="120"/>
    </row>
    <row r="99" spans="1:26" ht="31.5" customHeight="1" x14ac:dyDescent="0.3">
      <c r="A99" s="118">
        <v>4</v>
      </c>
      <c r="B99" s="105"/>
      <c r="C99" s="105" t="str">
        <f>'[2]Anx C'!C11</f>
        <v>M/s Valley Homes</v>
      </c>
      <c r="D99" s="35"/>
      <c r="E99" s="280"/>
      <c r="F99" s="280"/>
      <c r="G99" s="280"/>
      <c r="H99" s="280"/>
      <c r="I99" s="280"/>
      <c r="J99" s="280"/>
      <c r="K99" s="280"/>
      <c r="L99" s="280"/>
      <c r="M99" s="280"/>
      <c r="N99" s="280"/>
      <c r="O99" s="280"/>
      <c r="P99" s="280"/>
      <c r="Q99" s="280"/>
      <c r="R99" s="280"/>
      <c r="S99" s="280"/>
      <c r="T99" s="280"/>
      <c r="U99" s="275"/>
      <c r="V99" s="290"/>
      <c r="Y99" s="120"/>
    </row>
    <row r="100" spans="1:26" ht="22.5" customHeight="1" x14ac:dyDescent="0.3">
      <c r="A100" s="32"/>
      <c r="B100" s="33"/>
      <c r="C100" s="285"/>
      <c r="D100" s="35">
        <v>1</v>
      </c>
      <c r="E100" s="280">
        <v>0</v>
      </c>
      <c r="F100" s="280"/>
      <c r="G100" s="280">
        <v>0</v>
      </c>
      <c r="H100" s="280">
        <v>23404952</v>
      </c>
      <c r="I100" s="280">
        <f>E100*0.1</f>
        <v>0</v>
      </c>
      <c r="J100" s="292">
        <v>0</v>
      </c>
      <c r="K100" s="280">
        <f>E100*0.075+J100*0.075</f>
        <v>0</v>
      </c>
      <c r="L100" s="280">
        <f>E100-I100-J100-K100</f>
        <v>0</v>
      </c>
      <c r="M100" s="280">
        <v>0</v>
      </c>
      <c r="N100" s="280">
        <v>0</v>
      </c>
      <c r="O100" s="281">
        <f>H100*0.075</f>
        <v>1755371.4</v>
      </c>
      <c r="P100" s="280">
        <f>R100+L100</f>
        <v>21649580.600000001</v>
      </c>
      <c r="Q100" s="280">
        <v>0</v>
      </c>
      <c r="R100" s="281">
        <f>H100-O100</f>
        <v>21649580.600000001</v>
      </c>
      <c r="S100" s="281">
        <f>R100</f>
        <v>21649580.600000001</v>
      </c>
      <c r="T100" s="280">
        <f t="shared" ref="T100:T105" si="26">P100-S100</f>
        <v>0</v>
      </c>
      <c r="U100" s="283">
        <v>53895408</v>
      </c>
      <c r="V100" s="271">
        <v>42017</v>
      </c>
    </row>
    <row r="101" spans="1:26" ht="22.5" customHeight="1" x14ac:dyDescent="0.3">
      <c r="A101" s="32"/>
      <c r="B101" s="33"/>
      <c r="C101" s="285"/>
      <c r="D101" s="35">
        <v>2</v>
      </c>
      <c r="E101" s="280"/>
      <c r="F101" s="280"/>
      <c r="G101" s="280"/>
      <c r="H101" s="280">
        <v>23404951</v>
      </c>
      <c r="I101" s="280"/>
      <c r="J101" s="292"/>
      <c r="K101" s="280"/>
      <c r="L101" s="280"/>
      <c r="M101" s="280"/>
      <c r="N101" s="280"/>
      <c r="O101" s="281">
        <f>H101*0.075</f>
        <v>1755371.325</v>
      </c>
      <c r="P101" s="280">
        <f>H101-O101</f>
        <v>21649579.675000001</v>
      </c>
      <c r="Q101" s="280"/>
      <c r="R101" s="281">
        <v>21649579</v>
      </c>
      <c r="S101" s="281">
        <f>R101</f>
        <v>21649579</v>
      </c>
      <c r="T101" s="280">
        <f t="shared" si="26"/>
        <v>0.67500000074505806</v>
      </c>
      <c r="U101" s="283">
        <v>60596497</v>
      </c>
      <c r="V101" s="271">
        <v>42037</v>
      </c>
    </row>
    <row r="102" spans="1:26" ht="22.5" customHeight="1" x14ac:dyDescent="0.3">
      <c r="A102" s="32"/>
      <c r="B102" s="33"/>
      <c r="C102" s="285"/>
      <c r="D102" s="35">
        <v>3</v>
      </c>
      <c r="E102" s="280">
        <v>16705582</v>
      </c>
      <c r="F102" s="280"/>
      <c r="G102" s="280"/>
      <c r="H102" s="280">
        <f>-(H101+H100)/5</f>
        <v>-9361980.5999999996</v>
      </c>
      <c r="I102" s="280">
        <f>E102*0.05</f>
        <v>835279.10000000009</v>
      </c>
      <c r="J102" s="292">
        <v>400000</v>
      </c>
      <c r="K102" s="280">
        <f>E102*0.075</f>
        <v>1252918.6499999999</v>
      </c>
      <c r="L102" s="280"/>
      <c r="M102" s="280"/>
      <c r="N102" s="280"/>
      <c r="O102" s="281"/>
      <c r="P102" s="280">
        <f>E102+H102-I102-K102-J102</f>
        <v>4855403.6500000004</v>
      </c>
      <c r="Q102" s="280">
        <v>4800000</v>
      </c>
      <c r="R102" s="281"/>
      <c r="S102" s="281">
        <f>Q102</f>
        <v>4800000</v>
      </c>
      <c r="T102" s="280">
        <f t="shared" si="26"/>
        <v>55403.650000000373</v>
      </c>
      <c r="U102" s="283">
        <v>69695103</v>
      </c>
      <c r="V102" s="271">
        <v>42163</v>
      </c>
    </row>
    <row r="103" spans="1:26" ht="22.5" customHeight="1" x14ac:dyDescent="0.3">
      <c r="A103" s="32"/>
      <c r="B103" s="33"/>
      <c r="C103" s="285"/>
      <c r="D103" s="35">
        <v>4</v>
      </c>
      <c r="E103" s="280"/>
      <c r="F103" s="280"/>
      <c r="G103" s="280">
        <v>2273749</v>
      </c>
      <c r="H103" s="280"/>
      <c r="I103" s="280"/>
      <c r="J103" s="292">
        <v>2162789</v>
      </c>
      <c r="K103" s="280"/>
      <c r="L103" s="280"/>
      <c r="M103" s="280"/>
      <c r="N103" s="280"/>
      <c r="O103" s="281">
        <f>G103*0.075</f>
        <v>170531.17499999999</v>
      </c>
      <c r="P103" s="280">
        <f>G103-O103</f>
        <v>2103217.8250000002</v>
      </c>
      <c r="Q103" s="280"/>
      <c r="R103" s="281">
        <v>2158622</v>
      </c>
      <c r="S103" s="281">
        <f>R103</f>
        <v>2158622</v>
      </c>
      <c r="T103" s="280">
        <f t="shared" si="26"/>
        <v>-55404.174999999814</v>
      </c>
      <c r="U103" s="283">
        <v>69695147</v>
      </c>
      <c r="V103" s="271">
        <v>42185</v>
      </c>
    </row>
    <row r="104" spans="1:26" ht="22.5" customHeight="1" x14ac:dyDescent="0.3">
      <c r="A104" s="32"/>
      <c r="B104" s="33"/>
      <c r="C104" s="285"/>
      <c r="D104" s="35">
        <v>5</v>
      </c>
      <c r="E104" s="280"/>
      <c r="F104" s="280"/>
      <c r="G104" s="280">
        <v>4613989</v>
      </c>
      <c r="H104" s="280"/>
      <c r="I104" s="280"/>
      <c r="J104" s="292"/>
      <c r="K104" s="280"/>
      <c r="L104" s="280"/>
      <c r="M104" s="280"/>
      <c r="N104" s="280"/>
      <c r="O104" s="281">
        <f>G104*0.1</f>
        <v>461398.9</v>
      </c>
      <c r="P104" s="280">
        <f>G104-O104</f>
        <v>4152590.1</v>
      </c>
      <c r="Q104" s="280"/>
      <c r="R104" s="281">
        <f>P104</f>
        <v>4152590.1</v>
      </c>
      <c r="S104" s="281">
        <f>R104</f>
        <v>4152590.1</v>
      </c>
      <c r="T104" s="280">
        <f t="shared" si="26"/>
        <v>0</v>
      </c>
      <c r="U104" s="283" t="s">
        <v>376</v>
      </c>
      <c r="V104" s="271">
        <v>42240</v>
      </c>
    </row>
    <row r="105" spans="1:26" ht="22.5" customHeight="1" x14ac:dyDescent="0.3">
      <c r="A105" s="32"/>
      <c r="B105" s="33"/>
      <c r="C105" s="285"/>
      <c r="D105" s="35">
        <v>6</v>
      </c>
      <c r="E105" s="280">
        <v>21668103</v>
      </c>
      <c r="F105" s="280"/>
      <c r="G105" s="280">
        <v>-4560434</v>
      </c>
      <c r="H105" s="280">
        <v>-9361981</v>
      </c>
      <c r="I105" s="280">
        <v>2166810</v>
      </c>
      <c r="J105" s="291">
        <v>-2562789</v>
      </c>
      <c r="K105" s="280">
        <v>2166810</v>
      </c>
      <c r="L105" s="280"/>
      <c r="M105" s="280"/>
      <c r="N105" s="280"/>
      <c r="O105" s="281"/>
      <c r="P105" s="280">
        <f>E105+H105-I105-K105+J105+G105</f>
        <v>849279</v>
      </c>
      <c r="Q105" s="280">
        <v>849279</v>
      </c>
      <c r="R105" s="281"/>
      <c r="S105" s="281">
        <f>Q105</f>
        <v>849279</v>
      </c>
      <c r="T105" s="280">
        <f t="shared" si="26"/>
        <v>0</v>
      </c>
      <c r="U105" s="283" t="s">
        <v>424</v>
      </c>
      <c r="V105" s="271">
        <v>42387</v>
      </c>
    </row>
    <row r="106" spans="1:26" ht="22.5" customHeight="1" x14ac:dyDescent="0.3">
      <c r="A106" s="32"/>
      <c r="B106" s="33"/>
      <c r="C106" s="285"/>
      <c r="D106" s="35"/>
      <c r="E106" s="280"/>
      <c r="F106" s="280"/>
      <c r="G106" s="280"/>
      <c r="H106" s="280"/>
      <c r="I106" s="280"/>
      <c r="J106" s="292"/>
      <c r="K106" s="280"/>
      <c r="L106" s="280"/>
      <c r="M106" s="280"/>
      <c r="N106" s="280"/>
      <c r="O106" s="281"/>
      <c r="P106" s="280"/>
      <c r="Q106" s="280"/>
      <c r="R106" s="281"/>
      <c r="S106" s="281"/>
      <c r="T106" s="280"/>
      <c r="U106" s="283"/>
      <c r="V106" s="272"/>
    </row>
    <row r="107" spans="1:26" ht="22.5" customHeight="1" x14ac:dyDescent="0.3">
      <c r="A107" s="32"/>
      <c r="B107" s="783" t="s">
        <v>93</v>
      </c>
      <c r="C107" s="783"/>
      <c r="D107" s="783"/>
      <c r="E107" s="286">
        <f>SUM(E100:E106)</f>
        <v>38373685</v>
      </c>
      <c r="F107" s="286">
        <f>SUM(F99:F100)</f>
        <v>0</v>
      </c>
      <c r="G107" s="286">
        <f t="shared" ref="G107:T107" si="27">SUM(G100:G106)</f>
        <v>2327304</v>
      </c>
      <c r="H107" s="286">
        <f t="shared" si="27"/>
        <v>28085941.399999999</v>
      </c>
      <c r="I107" s="286">
        <f t="shared" si="27"/>
        <v>3002089.1</v>
      </c>
      <c r="J107" s="286">
        <f t="shared" si="27"/>
        <v>0</v>
      </c>
      <c r="K107" s="286">
        <f t="shared" si="27"/>
        <v>3419728.65</v>
      </c>
      <c r="L107" s="286">
        <f t="shared" si="27"/>
        <v>0</v>
      </c>
      <c r="M107" s="286">
        <f t="shared" si="27"/>
        <v>0</v>
      </c>
      <c r="N107" s="286">
        <f t="shared" si="27"/>
        <v>0</v>
      </c>
      <c r="O107" s="286">
        <f t="shared" si="27"/>
        <v>4142672.7999999993</v>
      </c>
      <c r="P107" s="286">
        <f t="shared" si="27"/>
        <v>55259650.850000009</v>
      </c>
      <c r="Q107" s="286">
        <f t="shared" si="27"/>
        <v>5649279</v>
      </c>
      <c r="R107" s="286">
        <f t="shared" si="27"/>
        <v>49610371.700000003</v>
      </c>
      <c r="S107" s="286">
        <f t="shared" si="27"/>
        <v>55259650.700000003</v>
      </c>
      <c r="T107" s="286">
        <f t="shared" si="27"/>
        <v>0.1500000013038516</v>
      </c>
      <c r="U107" s="295"/>
      <c r="V107" s="286"/>
      <c r="W107" s="120"/>
      <c r="X107" s="120"/>
      <c r="Y107" s="120"/>
      <c r="Z107" s="120"/>
    </row>
    <row r="108" spans="1:26" ht="22.5" customHeight="1" x14ac:dyDescent="0.3">
      <c r="B108" s="145"/>
      <c r="C108" s="145"/>
      <c r="D108" s="145"/>
      <c r="E108" s="297"/>
      <c r="F108" s="297"/>
      <c r="G108" s="298"/>
      <c r="H108" s="298"/>
      <c r="I108" s="287"/>
      <c r="J108" s="287"/>
      <c r="K108" s="287"/>
      <c r="L108" s="298"/>
      <c r="M108" s="298"/>
      <c r="N108" s="298"/>
      <c r="O108" s="298"/>
      <c r="P108" s="298"/>
      <c r="Q108" s="297"/>
      <c r="R108" s="298"/>
      <c r="S108" s="298"/>
      <c r="T108" s="298"/>
      <c r="U108" s="277"/>
      <c r="V108" s="278"/>
      <c r="W108" s="120"/>
    </row>
    <row r="109" spans="1:26" ht="31.5" customHeight="1" x14ac:dyDescent="0.3">
      <c r="A109" s="118">
        <v>5</v>
      </c>
      <c r="B109" s="105"/>
      <c r="C109" s="105" t="str">
        <f>'[2]Anx C'!C12</f>
        <v>M/s Shahid Builders</v>
      </c>
      <c r="D109" s="35"/>
      <c r="E109" s="280"/>
      <c r="F109" s="280"/>
      <c r="G109" s="280"/>
      <c r="H109" s="280"/>
      <c r="I109" s="280"/>
      <c r="J109" s="280"/>
      <c r="K109" s="280"/>
      <c r="L109" s="280"/>
      <c r="M109" s="280"/>
      <c r="N109" s="280"/>
      <c r="O109" s="280"/>
      <c r="P109" s="280"/>
      <c r="Q109" s="280"/>
      <c r="R109" s="280"/>
      <c r="S109" s="280"/>
      <c r="T109" s="280"/>
      <c r="U109" s="275"/>
      <c r="V109" s="290"/>
      <c r="Y109" s="120"/>
    </row>
    <row r="110" spans="1:26" ht="22.5" customHeight="1" x14ac:dyDescent="0.3">
      <c r="A110" s="32"/>
      <c r="B110" s="33"/>
      <c r="C110" s="285"/>
      <c r="D110" s="35">
        <v>1</v>
      </c>
      <c r="E110" s="280">
        <v>3560066</v>
      </c>
      <c r="F110" s="280"/>
      <c r="G110" s="280">
        <v>0</v>
      </c>
      <c r="H110" s="280">
        <v>0</v>
      </c>
      <c r="I110" s="280">
        <f t="shared" ref="I110:I115" si="28">E110*0.05</f>
        <v>178003.30000000002</v>
      </c>
      <c r="J110" s="280">
        <v>0</v>
      </c>
      <c r="K110" s="280">
        <f>E110*0.075</f>
        <v>267004.95</v>
      </c>
      <c r="L110" s="280">
        <f>E110-I110+J110-K110</f>
        <v>3115057.75</v>
      </c>
      <c r="M110" s="280">
        <v>0</v>
      </c>
      <c r="N110" s="280">
        <v>0</v>
      </c>
      <c r="O110" s="280">
        <v>0</v>
      </c>
      <c r="P110" s="280">
        <f>R110+L110</f>
        <v>3115057.75</v>
      </c>
      <c r="Q110" s="280">
        <v>2900000</v>
      </c>
      <c r="R110" s="280">
        <f>N110-O110</f>
        <v>0</v>
      </c>
      <c r="S110" s="280">
        <f t="shared" ref="S110:S119" si="29">Q110+R110</f>
        <v>2900000</v>
      </c>
      <c r="T110" s="280">
        <f t="shared" ref="T110:T119" si="30">P110-S110</f>
        <v>215057.75</v>
      </c>
      <c r="U110" s="283">
        <v>53895416</v>
      </c>
      <c r="V110" s="284">
        <v>42019</v>
      </c>
    </row>
    <row r="111" spans="1:26" ht="22.5" customHeight="1" x14ac:dyDescent="0.3">
      <c r="A111" s="32"/>
      <c r="B111" s="33"/>
      <c r="C111" s="285"/>
      <c r="D111" s="35">
        <v>2</v>
      </c>
      <c r="E111" s="280"/>
      <c r="F111" s="280"/>
      <c r="G111" s="280">
        <v>1842750</v>
      </c>
      <c r="H111" s="289"/>
      <c r="I111" s="280">
        <f t="shared" si="28"/>
        <v>0</v>
      </c>
      <c r="J111" s="280"/>
      <c r="K111" s="280">
        <f>E111*0.075</f>
        <v>0</v>
      </c>
      <c r="L111" s="280"/>
      <c r="M111" s="280"/>
      <c r="N111" s="280"/>
      <c r="O111" s="281">
        <f>G111*0.075</f>
        <v>138206.25</v>
      </c>
      <c r="P111" s="280">
        <f>G111-O111</f>
        <v>1704543.75</v>
      </c>
      <c r="Q111" s="280">
        <v>0</v>
      </c>
      <c r="R111" s="280">
        <f>P111</f>
        <v>1704543.75</v>
      </c>
      <c r="S111" s="280">
        <f t="shared" si="29"/>
        <v>1704543.75</v>
      </c>
      <c r="T111" s="280">
        <f t="shared" si="30"/>
        <v>0</v>
      </c>
      <c r="U111" s="283">
        <v>64199932</v>
      </c>
      <c r="V111" s="284">
        <v>42076</v>
      </c>
    </row>
    <row r="112" spans="1:26" ht="22.5" customHeight="1" x14ac:dyDescent="0.3">
      <c r="A112" s="32"/>
      <c r="B112" s="33"/>
      <c r="C112" s="285"/>
      <c r="D112" s="35">
        <v>3</v>
      </c>
      <c r="E112" s="280">
        <v>3598813</v>
      </c>
      <c r="F112" s="280"/>
      <c r="G112" s="280"/>
      <c r="H112" s="289"/>
      <c r="I112" s="280">
        <f t="shared" si="28"/>
        <v>179940.65000000002</v>
      </c>
      <c r="J112" s="280"/>
      <c r="K112" s="280">
        <f>E112*0.07</f>
        <v>251916.91000000003</v>
      </c>
      <c r="L112" s="280"/>
      <c r="M112" s="280"/>
      <c r="N112" s="280"/>
      <c r="O112" s="281"/>
      <c r="P112" s="280">
        <f>E112-I112-K112</f>
        <v>3166955.44</v>
      </c>
      <c r="Q112" s="280">
        <v>3166955</v>
      </c>
      <c r="R112" s="280"/>
      <c r="S112" s="280">
        <f t="shared" si="29"/>
        <v>3166955</v>
      </c>
      <c r="T112" s="280">
        <f t="shared" si="30"/>
        <v>0.43999999994412065</v>
      </c>
      <c r="U112" s="283">
        <v>64199933</v>
      </c>
      <c r="V112" s="284">
        <v>42076</v>
      </c>
    </row>
    <row r="113" spans="1:26" ht="22.5" customHeight="1" x14ac:dyDescent="0.3">
      <c r="A113" s="32"/>
      <c r="B113" s="33"/>
      <c r="C113" s="285"/>
      <c r="D113" s="35">
        <f>D112+1</f>
        <v>4</v>
      </c>
      <c r="E113" s="280">
        <v>5600438</v>
      </c>
      <c r="F113" s="280"/>
      <c r="G113" s="280"/>
      <c r="H113" s="289"/>
      <c r="I113" s="280">
        <f t="shared" si="28"/>
        <v>280021.90000000002</v>
      </c>
      <c r="J113" s="280"/>
      <c r="K113" s="280">
        <f>(E113*0.07)-27013</f>
        <v>365017.66000000003</v>
      </c>
      <c r="L113" s="280"/>
      <c r="M113" s="280"/>
      <c r="N113" s="280"/>
      <c r="O113" s="281"/>
      <c r="P113" s="280">
        <f>E113-I113-K113</f>
        <v>4955398.4399999995</v>
      </c>
      <c r="Q113" s="280">
        <v>5170457</v>
      </c>
      <c r="R113" s="280"/>
      <c r="S113" s="280">
        <f t="shared" si="29"/>
        <v>5170457</v>
      </c>
      <c r="T113" s="280">
        <f t="shared" si="30"/>
        <v>-215058.56000000052</v>
      </c>
      <c r="U113" s="283">
        <v>69695148</v>
      </c>
      <c r="V113" s="284">
        <v>42185</v>
      </c>
    </row>
    <row r="114" spans="1:26" ht="22.5" customHeight="1" x14ac:dyDescent="0.3">
      <c r="A114" s="32"/>
      <c r="B114" s="33"/>
      <c r="C114" s="285"/>
      <c r="D114" s="35">
        <f>D113+1</f>
        <v>5</v>
      </c>
      <c r="E114" s="280">
        <v>3689228</v>
      </c>
      <c r="F114" s="280"/>
      <c r="G114" s="280"/>
      <c r="H114" s="289"/>
      <c r="I114" s="280">
        <f t="shared" si="28"/>
        <v>184461.40000000002</v>
      </c>
      <c r="J114" s="280"/>
      <c r="K114" s="280">
        <f>(E114*0.07)+27015</f>
        <v>285260.96000000002</v>
      </c>
      <c r="L114" s="280"/>
      <c r="M114" s="280"/>
      <c r="N114" s="280"/>
      <c r="O114" s="281"/>
      <c r="P114" s="280">
        <f>E114-I114-K114</f>
        <v>3219505.64</v>
      </c>
      <c r="Q114" s="280">
        <v>3000000</v>
      </c>
      <c r="R114" s="280"/>
      <c r="S114" s="280">
        <f t="shared" si="29"/>
        <v>3000000</v>
      </c>
      <c r="T114" s="280">
        <f t="shared" si="30"/>
        <v>219505.64000000013</v>
      </c>
      <c r="U114" s="283">
        <v>71820688</v>
      </c>
      <c r="V114" s="284">
        <v>42199</v>
      </c>
    </row>
    <row r="115" spans="1:26" ht="22.5" customHeight="1" x14ac:dyDescent="0.3">
      <c r="A115" s="32"/>
      <c r="B115" s="33"/>
      <c r="C115" s="285"/>
      <c r="D115" s="35">
        <v>6</v>
      </c>
      <c r="E115" s="280">
        <v>5056989</v>
      </c>
      <c r="F115" s="280"/>
      <c r="G115" s="280"/>
      <c r="H115" s="289"/>
      <c r="I115" s="280">
        <f t="shared" si="28"/>
        <v>252849.45</v>
      </c>
      <c r="J115" s="280">
        <v>748727</v>
      </c>
      <c r="K115" s="280">
        <f>E115*0.07</f>
        <v>353989.23000000004</v>
      </c>
      <c r="L115" s="280"/>
      <c r="M115" s="280"/>
      <c r="N115" s="280"/>
      <c r="O115" s="281"/>
      <c r="P115" s="280">
        <f>E115-I115-K115-J115</f>
        <v>3701423.3199999994</v>
      </c>
      <c r="Q115" s="280">
        <v>3920929</v>
      </c>
      <c r="R115" s="280"/>
      <c r="S115" s="280">
        <f t="shared" si="29"/>
        <v>3920929</v>
      </c>
      <c r="T115" s="280">
        <f t="shared" si="30"/>
        <v>-219505.68000000063</v>
      </c>
      <c r="U115" s="283" t="s">
        <v>403</v>
      </c>
      <c r="V115" s="284">
        <v>42268</v>
      </c>
    </row>
    <row r="116" spans="1:26" ht="22.5" customHeight="1" x14ac:dyDescent="0.3">
      <c r="A116" s="32"/>
      <c r="B116" s="33"/>
      <c r="C116" s="285"/>
      <c r="D116" s="35">
        <v>7</v>
      </c>
      <c r="E116" s="280">
        <v>5696592</v>
      </c>
      <c r="F116" s="280"/>
      <c r="G116" s="280"/>
      <c r="H116" s="289"/>
      <c r="I116" s="280">
        <v>569659</v>
      </c>
      <c r="J116" s="280"/>
      <c r="K116" s="280">
        <v>398761</v>
      </c>
      <c r="L116" s="280"/>
      <c r="M116" s="280"/>
      <c r="N116" s="280"/>
      <c r="O116" s="281"/>
      <c r="P116" s="280">
        <f>E116-I116-K116-J116</f>
        <v>4728172</v>
      </c>
      <c r="Q116" s="280">
        <v>3835054</v>
      </c>
      <c r="R116" s="280"/>
      <c r="S116" s="280">
        <f t="shared" si="29"/>
        <v>3835054</v>
      </c>
      <c r="T116" s="280">
        <f t="shared" si="30"/>
        <v>893118</v>
      </c>
      <c r="U116" s="299">
        <v>79109912</v>
      </c>
      <c r="V116" s="284">
        <v>42349</v>
      </c>
    </row>
    <row r="117" spans="1:26" ht="22.5" customHeight="1" x14ac:dyDescent="0.3">
      <c r="A117" s="32"/>
      <c r="B117" s="33"/>
      <c r="C117" s="285"/>
      <c r="D117" s="35">
        <v>8</v>
      </c>
      <c r="E117" s="280">
        <v>2799564</v>
      </c>
      <c r="F117" s="280"/>
      <c r="G117" s="280">
        <v>-365647</v>
      </c>
      <c r="H117" s="289"/>
      <c r="I117" s="280">
        <v>279956</v>
      </c>
      <c r="J117" s="280"/>
      <c r="K117" s="280">
        <v>195969</v>
      </c>
      <c r="L117" s="280"/>
      <c r="M117" s="280"/>
      <c r="N117" s="280"/>
      <c r="O117" s="281"/>
      <c r="P117" s="280">
        <f>E117-I117-K117-J117+G117</f>
        <v>1957992</v>
      </c>
      <c r="Q117" s="280">
        <v>1957992</v>
      </c>
      <c r="R117" s="280"/>
      <c r="S117" s="280">
        <f t="shared" si="29"/>
        <v>1957992</v>
      </c>
      <c r="T117" s="280">
        <f t="shared" si="30"/>
        <v>0</v>
      </c>
      <c r="U117" s="299">
        <v>81511420</v>
      </c>
      <c r="V117" s="284">
        <v>42401</v>
      </c>
    </row>
    <row r="118" spans="1:26" ht="22.5" customHeight="1" x14ac:dyDescent="0.3">
      <c r="A118" s="32"/>
      <c r="B118" s="33"/>
      <c r="C118" s="285"/>
      <c r="D118" s="35">
        <v>9</v>
      </c>
      <c r="E118" s="280">
        <v>2865056</v>
      </c>
      <c r="F118" s="280"/>
      <c r="G118" s="280">
        <v>-583985</v>
      </c>
      <c r="H118" s="289"/>
      <c r="I118" s="280">
        <v>286506</v>
      </c>
      <c r="J118" s="280">
        <v>-159750</v>
      </c>
      <c r="K118" s="280">
        <v>200554</v>
      </c>
      <c r="L118" s="280"/>
      <c r="M118" s="280"/>
      <c r="N118" s="280"/>
      <c r="O118" s="281"/>
      <c r="P118" s="280">
        <f>E118-I118-K118+J118+G118</f>
        <v>1634261</v>
      </c>
      <c r="Q118" s="280">
        <v>1634261</v>
      </c>
      <c r="R118" s="280"/>
      <c r="S118" s="280">
        <f t="shared" si="29"/>
        <v>1634261</v>
      </c>
      <c r="T118" s="280">
        <f t="shared" si="30"/>
        <v>0</v>
      </c>
      <c r="U118" s="291"/>
      <c r="V118" s="280"/>
    </row>
    <row r="119" spans="1:26" ht="22.5" customHeight="1" x14ac:dyDescent="0.3">
      <c r="A119" s="32"/>
      <c r="B119" s="33"/>
      <c r="C119" s="285"/>
      <c r="D119" s="35">
        <v>10</v>
      </c>
      <c r="E119" s="280">
        <v>4323974</v>
      </c>
      <c r="F119" s="280"/>
      <c r="G119" s="280"/>
      <c r="H119" s="289"/>
      <c r="I119" s="280">
        <v>432398</v>
      </c>
      <c r="J119" s="280"/>
      <c r="K119" s="280">
        <v>302678</v>
      </c>
      <c r="L119" s="280"/>
      <c r="M119" s="280"/>
      <c r="N119" s="280"/>
      <c r="O119" s="281"/>
      <c r="P119" s="280">
        <f>E119-I119-K119+J119+G119</f>
        <v>3588898</v>
      </c>
      <c r="Q119" s="280">
        <v>3588898</v>
      </c>
      <c r="R119" s="280"/>
      <c r="S119" s="280">
        <f t="shared" si="29"/>
        <v>3588898</v>
      </c>
      <c r="T119" s="280">
        <f t="shared" si="30"/>
        <v>0</v>
      </c>
      <c r="U119" s="300">
        <v>220301</v>
      </c>
      <c r="V119" s="284">
        <v>42474</v>
      </c>
    </row>
    <row r="120" spans="1:26" ht="22.5" customHeight="1" x14ac:dyDescent="0.3">
      <c r="A120" s="32"/>
      <c r="B120" s="783" t="s">
        <v>93</v>
      </c>
      <c r="C120" s="783"/>
      <c r="D120" s="783"/>
      <c r="E120" s="286">
        <f>SUM(E110:E119)</f>
        <v>37190720</v>
      </c>
      <c r="F120" s="286">
        <f>SUM(F109:F110)</f>
        <v>0</v>
      </c>
      <c r="G120" s="286">
        <f t="shared" ref="G120:T120" si="31">SUM(G110:G119)</f>
        <v>893118</v>
      </c>
      <c r="H120" s="286">
        <f t="shared" si="31"/>
        <v>0</v>
      </c>
      <c r="I120" s="286">
        <f t="shared" si="31"/>
        <v>2643795.7000000002</v>
      </c>
      <c r="J120" s="286">
        <f t="shared" si="31"/>
        <v>588977</v>
      </c>
      <c r="K120" s="286">
        <f t="shared" si="31"/>
        <v>2621151.71</v>
      </c>
      <c r="L120" s="286">
        <f t="shared" si="31"/>
        <v>3115057.75</v>
      </c>
      <c r="M120" s="286">
        <f t="shared" si="31"/>
        <v>0</v>
      </c>
      <c r="N120" s="286">
        <f t="shared" si="31"/>
        <v>0</v>
      </c>
      <c r="O120" s="286">
        <f t="shared" si="31"/>
        <v>138206.25</v>
      </c>
      <c r="P120" s="286">
        <f t="shared" si="31"/>
        <v>31772207.34</v>
      </c>
      <c r="Q120" s="286">
        <f t="shared" si="31"/>
        <v>29174546</v>
      </c>
      <c r="R120" s="286">
        <f t="shared" si="31"/>
        <v>1704543.75</v>
      </c>
      <c r="S120" s="286">
        <f t="shared" si="31"/>
        <v>30879089.75</v>
      </c>
      <c r="T120" s="286">
        <f t="shared" si="31"/>
        <v>893117.58999999892</v>
      </c>
      <c r="U120" s="295"/>
      <c r="V120" s="286"/>
      <c r="W120" s="120"/>
      <c r="X120" s="120"/>
      <c r="Y120" s="120"/>
      <c r="Z120" s="120"/>
    </row>
    <row r="121" spans="1:26" ht="22.5" customHeight="1" x14ac:dyDescent="0.3">
      <c r="B121" s="145"/>
      <c r="C121" s="145"/>
      <c r="D121" s="145"/>
      <c r="E121" s="297"/>
      <c r="F121" s="297"/>
      <c r="G121" s="297"/>
      <c r="H121" s="298"/>
      <c r="I121" s="287"/>
      <c r="J121" s="287"/>
      <c r="K121" s="287"/>
      <c r="L121" s="297"/>
      <c r="M121" s="297"/>
      <c r="N121" s="297"/>
      <c r="O121" s="297"/>
      <c r="P121" s="297"/>
      <c r="Q121" s="297"/>
      <c r="R121" s="297"/>
      <c r="S121" s="297"/>
      <c r="T121" s="297"/>
      <c r="U121" s="301"/>
      <c r="V121" s="297"/>
      <c r="W121" s="120"/>
      <c r="X121" s="120"/>
      <c r="Y121" s="120"/>
      <c r="Z121" s="120"/>
    </row>
    <row r="122" spans="1:26" ht="22.5" customHeight="1" x14ac:dyDescent="0.3">
      <c r="A122" s="118">
        <v>6</v>
      </c>
      <c r="B122" s="105"/>
      <c r="C122" s="105" t="str">
        <f>'[2]Anx E'!C12</f>
        <v>M/s Karim Baksh ((MCRP/12/2015/PDN/NLC)</v>
      </c>
      <c r="D122" s="35"/>
      <c r="E122" s="280"/>
      <c r="F122" s="280"/>
      <c r="G122" s="280"/>
      <c r="H122" s="280"/>
      <c r="I122" s="280"/>
      <c r="J122" s="280"/>
      <c r="K122" s="280"/>
      <c r="L122" s="280"/>
      <c r="M122" s="280"/>
      <c r="N122" s="280"/>
      <c r="O122" s="280"/>
      <c r="P122" s="280"/>
      <c r="Q122" s="280"/>
      <c r="R122" s="280"/>
      <c r="S122" s="280"/>
      <c r="T122" s="280"/>
      <c r="U122" s="275"/>
      <c r="V122" s="290"/>
      <c r="W122" s="120"/>
      <c r="X122" s="120"/>
      <c r="Y122" s="120"/>
      <c r="Z122" s="120"/>
    </row>
    <row r="123" spans="1:26" ht="22.5" customHeight="1" x14ac:dyDescent="0.3">
      <c r="A123" s="32"/>
      <c r="B123" s="33"/>
      <c r="C123" s="285"/>
      <c r="D123" s="35">
        <v>1</v>
      </c>
      <c r="E123" s="280">
        <v>914286</v>
      </c>
      <c r="F123" s="280"/>
      <c r="G123" s="280">
        <v>0</v>
      </c>
      <c r="H123" s="280">
        <v>0</v>
      </c>
      <c r="I123" s="280">
        <f>E123*0.05</f>
        <v>45714.3</v>
      </c>
      <c r="J123" s="280">
        <v>0</v>
      </c>
      <c r="K123" s="280">
        <f>E123*0.075+J123*0.075</f>
        <v>68571.45</v>
      </c>
      <c r="L123" s="280">
        <f>E123-I123+J123-K123</f>
        <v>800000.25</v>
      </c>
      <c r="M123" s="280">
        <v>0</v>
      </c>
      <c r="N123" s="280">
        <v>0</v>
      </c>
      <c r="O123" s="280">
        <v>0</v>
      </c>
      <c r="P123" s="280">
        <f>R123+L123</f>
        <v>800000.25</v>
      </c>
      <c r="Q123" s="280">
        <v>800000</v>
      </c>
      <c r="R123" s="280">
        <f>N123-O123</f>
        <v>0</v>
      </c>
      <c r="S123" s="280">
        <f>Q123+R123</f>
        <v>800000</v>
      </c>
      <c r="T123" s="280">
        <f>P123-S123</f>
        <v>0.25</v>
      </c>
      <c r="U123" s="291" t="s">
        <v>338</v>
      </c>
      <c r="V123" s="280" t="s">
        <v>336</v>
      </c>
      <c r="W123" s="120"/>
      <c r="X123" s="120"/>
      <c r="Y123" s="120"/>
      <c r="Z123" s="120"/>
    </row>
    <row r="124" spans="1:26" ht="22.5" customHeight="1" x14ac:dyDescent="0.3">
      <c r="A124" s="32"/>
      <c r="B124" s="33"/>
      <c r="C124" s="285"/>
      <c r="D124" s="35">
        <v>2</v>
      </c>
      <c r="E124" s="280">
        <v>1146698</v>
      </c>
      <c r="F124" s="280"/>
      <c r="G124" s="280">
        <v>0</v>
      </c>
      <c r="H124" s="289"/>
      <c r="I124" s="280">
        <f>E124*0.05</f>
        <v>57334.9</v>
      </c>
      <c r="J124" s="280"/>
      <c r="K124" s="280">
        <f>E124*0.075+J124*0.075</f>
        <v>86002.349999999991</v>
      </c>
      <c r="L124" s="280"/>
      <c r="M124" s="280"/>
      <c r="N124" s="280"/>
      <c r="O124" s="281">
        <f>G124*0.075</f>
        <v>0</v>
      </c>
      <c r="P124" s="280">
        <f>E124-I124-K124</f>
        <v>1003360.7500000001</v>
      </c>
      <c r="Q124" s="280">
        <v>1000000</v>
      </c>
      <c r="R124" s="280">
        <v>0</v>
      </c>
      <c r="S124" s="280">
        <f>Q124</f>
        <v>1000000</v>
      </c>
      <c r="T124" s="280">
        <f>P124-S124</f>
        <v>3360.7500000001164</v>
      </c>
      <c r="U124" s="291" t="s">
        <v>339</v>
      </c>
      <c r="V124" s="280" t="s">
        <v>337</v>
      </c>
      <c r="W124" s="120"/>
      <c r="X124" s="120"/>
      <c r="Y124" s="120"/>
      <c r="Z124" s="120"/>
    </row>
    <row r="125" spans="1:26" ht="22.5" customHeight="1" x14ac:dyDescent="0.3">
      <c r="A125" s="32"/>
      <c r="B125" s="33"/>
      <c r="C125" s="285"/>
      <c r="D125" s="35">
        <v>3</v>
      </c>
      <c r="E125" s="280">
        <v>1640000</v>
      </c>
      <c r="F125" s="280"/>
      <c r="G125" s="280"/>
      <c r="H125" s="289"/>
      <c r="I125" s="280">
        <f>E125*0.05</f>
        <v>82000</v>
      </c>
      <c r="J125" s="280"/>
      <c r="K125" s="280">
        <f>E125*0.075+J125*0.075</f>
        <v>123000</v>
      </c>
      <c r="L125" s="280"/>
      <c r="M125" s="280"/>
      <c r="N125" s="280"/>
      <c r="O125" s="281"/>
      <c r="P125" s="280">
        <f>E125-I125-K125</f>
        <v>1435000</v>
      </c>
      <c r="Q125" s="280">
        <v>1400000</v>
      </c>
      <c r="R125" s="280"/>
      <c r="S125" s="280">
        <f>Q125</f>
        <v>1400000</v>
      </c>
      <c r="T125" s="280">
        <f>P125-S125</f>
        <v>35000</v>
      </c>
      <c r="U125" s="291" t="s">
        <v>340</v>
      </c>
      <c r="V125" s="280" t="s">
        <v>341</v>
      </c>
      <c r="W125" s="120"/>
      <c r="X125" s="120"/>
      <c r="Y125" s="120"/>
      <c r="Z125" s="120"/>
    </row>
    <row r="126" spans="1:26" ht="22.5" customHeight="1" x14ac:dyDescent="0.3">
      <c r="A126" s="32"/>
      <c r="B126" s="33"/>
      <c r="C126" s="285"/>
      <c r="D126" s="35"/>
      <c r="E126" s="280"/>
      <c r="F126" s="280"/>
      <c r="G126" s="280"/>
      <c r="H126" s="289"/>
      <c r="I126" s="280"/>
      <c r="J126" s="280"/>
      <c r="K126" s="280"/>
      <c r="L126" s="280"/>
      <c r="M126" s="280"/>
      <c r="N126" s="280"/>
      <c r="O126" s="281"/>
      <c r="P126" s="280"/>
      <c r="Q126" s="280">
        <v>38361.000000000116</v>
      </c>
      <c r="R126" s="280"/>
      <c r="S126" s="280">
        <f>Q126</f>
        <v>38361.000000000116</v>
      </c>
      <c r="T126" s="280">
        <f>P126-S126</f>
        <v>-38361.000000000116</v>
      </c>
      <c r="U126" s="291" t="s">
        <v>425</v>
      </c>
      <c r="V126" s="280" t="s">
        <v>426</v>
      </c>
      <c r="W126" s="120"/>
      <c r="X126" s="120"/>
      <c r="Y126" s="120"/>
      <c r="Z126" s="120"/>
    </row>
    <row r="127" spans="1:26" ht="22.5" customHeight="1" x14ac:dyDescent="0.3">
      <c r="A127" s="32"/>
      <c r="B127" s="783" t="s">
        <v>93</v>
      </c>
      <c r="C127" s="783"/>
      <c r="D127" s="783"/>
      <c r="E127" s="286">
        <f t="shared" ref="E127:S127" si="32">SUM(E123:E126)</f>
        <v>3700984</v>
      </c>
      <c r="F127" s="286">
        <f t="shared" si="32"/>
        <v>0</v>
      </c>
      <c r="G127" s="286">
        <f t="shared" si="32"/>
        <v>0</v>
      </c>
      <c r="H127" s="286">
        <f t="shared" si="32"/>
        <v>0</v>
      </c>
      <c r="I127" s="286">
        <f t="shared" si="32"/>
        <v>185049.2</v>
      </c>
      <c r="J127" s="286">
        <f t="shared" si="32"/>
        <v>0</v>
      </c>
      <c r="K127" s="286">
        <f t="shared" si="32"/>
        <v>277573.8</v>
      </c>
      <c r="L127" s="286">
        <f t="shared" si="32"/>
        <v>800000.25</v>
      </c>
      <c r="M127" s="286">
        <f t="shared" si="32"/>
        <v>0</v>
      </c>
      <c r="N127" s="286">
        <f t="shared" si="32"/>
        <v>0</v>
      </c>
      <c r="O127" s="286">
        <f t="shared" si="32"/>
        <v>0</v>
      </c>
      <c r="P127" s="286">
        <f t="shared" si="32"/>
        <v>3238361</v>
      </c>
      <c r="Q127" s="286">
        <f t="shared" si="32"/>
        <v>3238361</v>
      </c>
      <c r="R127" s="286">
        <f t="shared" si="32"/>
        <v>0</v>
      </c>
      <c r="S127" s="286">
        <f t="shared" si="32"/>
        <v>3238361</v>
      </c>
      <c r="T127" s="286">
        <f>SUM(T123:T126)</f>
        <v>0</v>
      </c>
      <c r="U127" s="295">
        <f>SUM(U121:U121)</f>
        <v>0</v>
      </c>
      <c r="V127" s="286">
        <f>SUM(V121:V121)</f>
        <v>0</v>
      </c>
      <c r="W127" s="120"/>
      <c r="X127" s="120"/>
      <c r="Y127" s="120"/>
      <c r="Z127" s="120"/>
    </row>
    <row r="128" spans="1:26" ht="22.5" customHeight="1" x14ac:dyDescent="0.3">
      <c r="B128" s="254"/>
      <c r="C128" s="302"/>
      <c r="D128" s="255"/>
      <c r="E128" s="298"/>
      <c r="F128" s="298"/>
      <c r="G128" s="298"/>
      <c r="H128" s="298"/>
      <c r="I128" s="287"/>
      <c r="J128" s="287"/>
      <c r="K128" s="287"/>
      <c r="L128" s="298"/>
      <c r="M128" s="298"/>
      <c r="N128" s="298"/>
      <c r="O128" s="303"/>
      <c r="P128" s="298"/>
      <c r="Q128" s="298"/>
      <c r="R128" s="298"/>
      <c r="S128" s="298"/>
      <c r="T128" s="298"/>
      <c r="U128" s="304"/>
      <c r="V128" s="298"/>
      <c r="W128" s="120"/>
      <c r="X128" s="120"/>
      <c r="Y128" s="120"/>
      <c r="Z128" s="120"/>
    </row>
    <row r="129" spans="1:26" ht="22.5" customHeight="1" x14ac:dyDescent="0.3">
      <c r="A129" s="118">
        <v>7</v>
      </c>
      <c r="B129" s="105"/>
      <c r="C129" s="14" t="s">
        <v>354</v>
      </c>
      <c r="D129" s="35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280"/>
      <c r="P129" s="280"/>
      <c r="Q129" s="280"/>
      <c r="R129" s="280"/>
      <c r="S129" s="280"/>
      <c r="T129" s="280"/>
      <c r="U129" s="275"/>
      <c r="V129" s="290"/>
      <c r="W129" s="120"/>
      <c r="X129" s="120"/>
      <c r="Y129" s="120"/>
      <c r="Z129" s="120"/>
    </row>
    <row r="130" spans="1:26" ht="22.5" customHeight="1" x14ac:dyDescent="0.3">
      <c r="A130" s="32"/>
      <c r="B130" s="33"/>
      <c r="C130" s="285"/>
      <c r="D130" s="35">
        <v>1</v>
      </c>
      <c r="E130" s="280">
        <v>913522</v>
      </c>
      <c r="F130" s="280"/>
      <c r="G130" s="280">
        <v>0</v>
      </c>
      <c r="H130" s="280">
        <v>0</v>
      </c>
      <c r="I130" s="280">
        <f>E130*0.05</f>
        <v>45676.100000000006</v>
      </c>
      <c r="J130" s="280">
        <v>0</v>
      </c>
      <c r="K130" s="280">
        <f>E130*0.075+J130*0.075</f>
        <v>68514.149999999994</v>
      </c>
      <c r="L130" s="280">
        <f>E130-I130+J130-K130</f>
        <v>799331.75</v>
      </c>
      <c r="M130" s="280">
        <v>0</v>
      </c>
      <c r="N130" s="280">
        <v>0</v>
      </c>
      <c r="O130" s="280">
        <v>0</v>
      </c>
      <c r="P130" s="280">
        <f>R130+L130</f>
        <v>799331.75</v>
      </c>
      <c r="Q130" s="280">
        <v>780000</v>
      </c>
      <c r="R130" s="280">
        <f>N130-O130</f>
        <v>0</v>
      </c>
      <c r="S130" s="280">
        <f>Q130+R130</f>
        <v>780000</v>
      </c>
      <c r="T130" s="280">
        <f>P130-S130</f>
        <v>19331.75</v>
      </c>
      <c r="U130" s="283">
        <v>64199988</v>
      </c>
      <c r="V130" s="284">
        <v>42097</v>
      </c>
      <c r="W130" s="120"/>
      <c r="X130" s="120"/>
      <c r="Y130" s="120"/>
      <c r="Z130" s="120"/>
    </row>
    <row r="131" spans="1:26" ht="22.5" customHeight="1" x14ac:dyDescent="0.3">
      <c r="A131" s="32"/>
      <c r="B131" s="33"/>
      <c r="C131" s="285"/>
      <c r="D131" s="35">
        <v>2</v>
      </c>
      <c r="E131" s="280">
        <v>108181</v>
      </c>
      <c r="F131" s="280"/>
      <c r="G131" s="280"/>
      <c r="H131" s="289"/>
      <c r="I131" s="280">
        <f>E131*0.05</f>
        <v>5409.05</v>
      </c>
      <c r="J131" s="280"/>
      <c r="K131" s="280">
        <f>E131*0.075+J131*0.075</f>
        <v>8113.5749999999998</v>
      </c>
      <c r="L131" s="280"/>
      <c r="M131" s="280"/>
      <c r="N131" s="280"/>
      <c r="O131" s="280"/>
      <c r="P131" s="280">
        <f>E131-I131-K131</f>
        <v>94658.375</v>
      </c>
      <c r="Q131" s="280">
        <v>50000</v>
      </c>
      <c r="R131" s="280"/>
      <c r="S131" s="280">
        <f>Q131+R131</f>
        <v>50000</v>
      </c>
      <c r="T131" s="280">
        <f>P131-S131</f>
        <v>44658.375</v>
      </c>
      <c r="U131" s="283">
        <v>71820698</v>
      </c>
      <c r="V131" s="284">
        <v>42200</v>
      </c>
      <c r="W131" s="120"/>
      <c r="X131" s="120"/>
      <c r="Y131" s="120"/>
      <c r="Z131" s="120"/>
    </row>
    <row r="132" spans="1:26" ht="22.5" customHeight="1" x14ac:dyDescent="0.3">
      <c r="A132" s="32"/>
      <c r="B132" s="33"/>
      <c r="C132" s="285"/>
      <c r="D132" s="35">
        <v>3</v>
      </c>
      <c r="E132" s="280">
        <v>371878</v>
      </c>
      <c r="F132" s="280"/>
      <c r="G132" s="280"/>
      <c r="H132" s="289"/>
      <c r="I132" s="280">
        <f>E132*0.05</f>
        <v>18593.900000000001</v>
      </c>
      <c r="J132" s="280"/>
      <c r="K132" s="280">
        <f>E132*0.075+J132*0.075</f>
        <v>27890.85</v>
      </c>
      <c r="L132" s="280"/>
      <c r="M132" s="280"/>
      <c r="N132" s="280"/>
      <c r="O132" s="280"/>
      <c r="P132" s="280">
        <f>E132-I132-K132</f>
        <v>325393.25</v>
      </c>
      <c r="Q132" s="280">
        <v>200000</v>
      </c>
      <c r="R132" s="280"/>
      <c r="S132" s="280">
        <f>Q132+R132</f>
        <v>200000</v>
      </c>
      <c r="T132" s="280">
        <f>P132-S132</f>
        <v>125393.25</v>
      </c>
      <c r="U132" s="283" t="s">
        <v>405</v>
      </c>
      <c r="V132" s="284">
        <v>42268</v>
      </c>
      <c r="W132" s="120"/>
      <c r="X132" s="120"/>
      <c r="Y132" s="120"/>
      <c r="Z132" s="120"/>
    </row>
    <row r="133" spans="1:26" ht="22.5" customHeight="1" x14ac:dyDescent="0.3">
      <c r="A133" s="32"/>
      <c r="B133" s="33"/>
      <c r="C133" s="285"/>
      <c r="D133" s="35"/>
      <c r="E133" s="280"/>
      <c r="F133" s="280"/>
      <c r="G133" s="280"/>
      <c r="H133" s="289"/>
      <c r="I133" s="280"/>
      <c r="J133" s="280"/>
      <c r="K133" s="280"/>
      <c r="L133" s="280"/>
      <c r="M133" s="280"/>
      <c r="N133" s="280"/>
      <c r="O133" s="280"/>
      <c r="P133" s="280"/>
      <c r="Q133" s="280"/>
      <c r="R133" s="280"/>
      <c r="S133" s="280"/>
      <c r="T133" s="280"/>
      <c r="U133" s="283"/>
      <c r="V133" s="284"/>
      <c r="W133" s="120"/>
      <c r="X133" s="120"/>
      <c r="Y133" s="120"/>
      <c r="Z133" s="120"/>
    </row>
    <row r="134" spans="1:26" ht="22.5" customHeight="1" x14ac:dyDescent="0.3">
      <c r="A134" s="32"/>
      <c r="B134" s="783" t="s">
        <v>93</v>
      </c>
      <c r="C134" s="783"/>
      <c r="D134" s="783"/>
      <c r="E134" s="286">
        <f>SUM(E130:E133)</f>
        <v>1393581</v>
      </c>
      <c r="F134" s="286">
        <f>SUM(F124:F127)</f>
        <v>0</v>
      </c>
      <c r="G134" s="286">
        <f t="shared" ref="G134:T134" si="33">SUM(G130:G133)</f>
        <v>0</v>
      </c>
      <c r="H134" s="286">
        <f t="shared" si="33"/>
        <v>0</v>
      </c>
      <c r="I134" s="286">
        <f t="shared" si="33"/>
        <v>69679.050000000017</v>
      </c>
      <c r="J134" s="286">
        <f t="shared" si="33"/>
        <v>0</v>
      </c>
      <c r="K134" s="286">
        <f t="shared" si="33"/>
        <v>104518.57499999998</v>
      </c>
      <c r="L134" s="286">
        <f t="shared" si="33"/>
        <v>799331.75</v>
      </c>
      <c r="M134" s="286">
        <f t="shared" si="33"/>
        <v>0</v>
      </c>
      <c r="N134" s="286">
        <f t="shared" si="33"/>
        <v>0</v>
      </c>
      <c r="O134" s="286">
        <f t="shared" si="33"/>
        <v>0</v>
      </c>
      <c r="P134" s="286">
        <f t="shared" si="33"/>
        <v>1219383.375</v>
      </c>
      <c r="Q134" s="286">
        <f t="shared" si="33"/>
        <v>1030000</v>
      </c>
      <c r="R134" s="286">
        <f t="shared" si="33"/>
        <v>0</v>
      </c>
      <c r="S134" s="286">
        <f t="shared" si="33"/>
        <v>1030000</v>
      </c>
      <c r="T134" s="286">
        <f t="shared" si="33"/>
        <v>189383.375</v>
      </c>
      <c r="U134" s="295"/>
      <c r="V134" s="286"/>
      <c r="W134" s="120"/>
      <c r="X134" s="120"/>
      <c r="Y134" s="120"/>
      <c r="Z134" s="120"/>
    </row>
    <row r="135" spans="1:26" ht="22.5" customHeight="1" x14ac:dyDescent="0.3">
      <c r="B135" s="145"/>
      <c r="C135" s="145"/>
      <c r="D135" s="145"/>
      <c r="E135" s="297"/>
      <c r="F135" s="297"/>
      <c r="G135" s="297"/>
      <c r="H135" s="298"/>
      <c r="I135" s="287"/>
      <c r="J135" s="287"/>
      <c r="K135" s="287"/>
      <c r="L135" s="297"/>
      <c r="M135" s="297"/>
      <c r="N135" s="297"/>
      <c r="O135" s="297"/>
      <c r="P135" s="297"/>
      <c r="Q135" s="297"/>
      <c r="R135" s="297"/>
      <c r="S135" s="297"/>
      <c r="T135" s="297"/>
      <c r="U135" s="301"/>
      <c r="V135" s="297"/>
      <c r="W135" s="120"/>
      <c r="X135" s="120"/>
      <c r="Y135" s="120"/>
      <c r="Z135" s="120"/>
    </row>
    <row r="136" spans="1:26" ht="22.5" customHeight="1" x14ac:dyDescent="0.3">
      <c r="A136" s="118">
        <v>8</v>
      </c>
      <c r="B136" s="105"/>
      <c r="C136" s="105" t="s">
        <v>355</v>
      </c>
      <c r="D136" s="35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280"/>
      <c r="P136" s="280"/>
      <c r="Q136" s="280"/>
      <c r="R136" s="280"/>
      <c r="S136" s="280"/>
      <c r="T136" s="280"/>
      <c r="U136" s="275"/>
      <c r="V136" s="290"/>
      <c r="W136" s="120"/>
      <c r="X136" s="120"/>
      <c r="Y136" s="120"/>
      <c r="Z136" s="120"/>
    </row>
    <row r="137" spans="1:26" ht="22.5" customHeight="1" x14ac:dyDescent="0.3">
      <c r="A137" s="32"/>
      <c r="B137" s="33"/>
      <c r="C137" s="285"/>
      <c r="D137" s="35">
        <v>1</v>
      </c>
      <c r="E137" s="280">
        <v>1262559</v>
      </c>
      <c r="F137" s="280"/>
      <c r="G137" s="280">
        <v>0</v>
      </c>
      <c r="H137" s="280">
        <v>0</v>
      </c>
      <c r="I137" s="280">
        <f>E137*0.05</f>
        <v>63127.950000000004</v>
      </c>
      <c r="J137" s="280">
        <v>0</v>
      </c>
      <c r="K137" s="280">
        <f>E137*0.075+J137*0.075</f>
        <v>94691.925000000003</v>
      </c>
      <c r="L137" s="280">
        <f>E137-I137+J137-K137</f>
        <v>1104739.125</v>
      </c>
      <c r="M137" s="280">
        <v>0</v>
      </c>
      <c r="N137" s="280">
        <v>0</v>
      </c>
      <c r="O137" s="280">
        <v>0</v>
      </c>
      <c r="P137" s="280">
        <f>E137-I137-K137</f>
        <v>1104739.125</v>
      </c>
      <c r="Q137" s="280">
        <v>455351</v>
      </c>
      <c r="R137" s="280">
        <f>N137-O137</f>
        <v>0</v>
      </c>
      <c r="S137" s="280">
        <f>Q137+R137</f>
        <v>455351</v>
      </c>
      <c r="T137" s="280">
        <f>P137-S137</f>
        <v>649388.125</v>
      </c>
      <c r="U137" s="283">
        <v>66942541</v>
      </c>
      <c r="V137" s="284">
        <v>42129</v>
      </c>
      <c r="W137" s="120"/>
      <c r="X137" s="120"/>
      <c r="Y137" s="120"/>
      <c r="Z137" s="120"/>
    </row>
    <row r="138" spans="1:26" ht="22.5" customHeight="1" x14ac:dyDescent="0.3">
      <c r="A138" s="32"/>
      <c r="B138" s="33"/>
      <c r="C138" s="285"/>
      <c r="D138" s="35">
        <v>2</v>
      </c>
      <c r="E138" s="280"/>
      <c r="F138" s="280"/>
      <c r="G138" s="280"/>
      <c r="H138" s="289"/>
      <c r="I138" s="280">
        <f>E138*0.05</f>
        <v>0</v>
      </c>
      <c r="J138" s="280"/>
      <c r="K138" s="280">
        <f>E138*0.075+J138*0.075</f>
        <v>0</v>
      </c>
      <c r="L138" s="280"/>
      <c r="M138" s="280"/>
      <c r="N138" s="280"/>
      <c r="O138" s="280"/>
      <c r="P138" s="280">
        <f>E138-I138-K138</f>
        <v>0</v>
      </c>
      <c r="Q138" s="280">
        <v>600000</v>
      </c>
      <c r="R138" s="280"/>
      <c r="S138" s="280">
        <f>Q138+R138</f>
        <v>600000</v>
      </c>
      <c r="T138" s="280">
        <f>P138-S138</f>
        <v>-600000</v>
      </c>
      <c r="U138" s="283">
        <v>66942592</v>
      </c>
      <c r="V138" s="284">
        <v>42145</v>
      </c>
      <c r="W138" s="120"/>
      <c r="X138" s="120"/>
      <c r="Y138" s="120"/>
      <c r="Z138" s="120"/>
    </row>
    <row r="139" spans="1:26" ht="22.5" customHeight="1" x14ac:dyDescent="0.3">
      <c r="A139" s="32"/>
      <c r="B139" s="33"/>
      <c r="C139" s="285"/>
      <c r="D139" s="35">
        <v>3</v>
      </c>
      <c r="E139" s="280">
        <v>528499</v>
      </c>
      <c r="F139" s="280"/>
      <c r="G139" s="280"/>
      <c r="H139" s="289"/>
      <c r="I139" s="280">
        <f>E139*0.05</f>
        <v>26424.95</v>
      </c>
      <c r="J139" s="280"/>
      <c r="K139" s="280">
        <f>E139*0.075+J139*0.075</f>
        <v>39637.424999999996</v>
      </c>
      <c r="L139" s="280"/>
      <c r="M139" s="280"/>
      <c r="N139" s="280"/>
      <c r="O139" s="280"/>
      <c r="P139" s="280">
        <f>E139-I139-K139</f>
        <v>462436.625</v>
      </c>
      <c r="Q139" s="280">
        <v>465429</v>
      </c>
      <c r="R139" s="280"/>
      <c r="S139" s="280">
        <f>Q139+R139</f>
        <v>465429</v>
      </c>
      <c r="T139" s="280">
        <f>P139-S139</f>
        <v>-2992.375</v>
      </c>
      <c r="U139" s="283">
        <v>69695140</v>
      </c>
      <c r="V139" s="284">
        <v>42185</v>
      </c>
      <c r="W139" s="120"/>
      <c r="X139" s="120"/>
      <c r="Y139" s="120"/>
      <c r="Z139" s="120"/>
    </row>
    <row r="140" spans="1:26" ht="22.5" customHeight="1" x14ac:dyDescent="0.3">
      <c r="A140" s="32"/>
      <c r="B140" s="33"/>
      <c r="C140" s="285"/>
      <c r="D140" s="35">
        <v>4</v>
      </c>
      <c r="E140" s="280">
        <v>448500</v>
      </c>
      <c r="F140" s="280"/>
      <c r="G140" s="280"/>
      <c r="H140" s="289"/>
      <c r="I140" s="280">
        <f>E140*0.05</f>
        <v>22425</v>
      </c>
      <c r="J140" s="280"/>
      <c r="K140" s="280">
        <f>E140*0.075+J140*0.075</f>
        <v>33637.5</v>
      </c>
      <c r="L140" s="280"/>
      <c r="M140" s="280"/>
      <c r="N140" s="280"/>
      <c r="O140" s="280"/>
      <c r="P140" s="280">
        <f>E140-I140-K140</f>
        <v>392437.5</v>
      </c>
      <c r="Q140" s="280">
        <v>300000</v>
      </c>
      <c r="R140" s="280"/>
      <c r="S140" s="280">
        <f>Q140+R140</f>
        <v>300000</v>
      </c>
      <c r="T140" s="280">
        <f>P140-S140</f>
        <v>92437.5</v>
      </c>
      <c r="U140" s="283">
        <v>71820699</v>
      </c>
      <c r="V140" s="284">
        <v>42200</v>
      </c>
      <c r="W140" s="120"/>
      <c r="X140" s="120"/>
      <c r="Y140" s="120"/>
      <c r="Z140" s="120"/>
    </row>
    <row r="141" spans="1:26" ht="22.5" customHeight="1" x14ac:dyDescent="0.3">
      <c r="A141" s="32"/>
      <c r="B141" s="33"/>
      <c r="C141" s="285"/>
      <c r="D141" s="35"/>
      <c r="E141" s="280"/>
      <c r="F141" s="280"/>
      <c r="G141" s="280"/>
      <c r="H141" s="289"/>
      <c r="I141" s="280"/>
      <c r="J141" s="280"/>
      <c r="K141" s="280"/>
      <c r="L141" s="280"/>
      <c r="M141" s="280"/>
      <c r="N141" s="280"/>
      <c r="O141" s="280"/>
      <c r="P141" s="280"/>
      <c r="Q141" s="280"/>
      <c r="R141" s="280"/>
      <c r="S141" s="280"/>
      <c r="T141" s="280"/>
      <c r="U141" s="283"/>
      <c r="V141" s="284"/>
      <c r="W141" s="120"/>
      <c r="X141" s="120"/>
      <c r="Y141" s="120"/>
      <c r="Z141" s="120"/>
    </row>
    <row r="142" spans="1:26" ht="22.5" customHeight="1" x14ac:dyDescent="0.3">
      <c r="A142" s="32"/>
      <c r="B142" s="783" t="s">
        <v>93</v>
      </c>
      <c r="C142" s="783"/>
      <c r="D142" s="783"/>
      <c r="E142" s="286">
        <f>SUM(E137:E140)</f>
        <v>2239558</v>
      </c>
      <c r="F142" s="286">
        <f>SUM(F129:F134)</f>
        <v>0</v>
      </c>
      <c r="G142" s="286">
        <f t="shared" ref="G142:T142" si="34">SUM(G137:G140)</f>
        <v>0</v>
      </c>
      <c r="H142" s="286">
        <f t="shared" si="34"/>
        <v>0</v>
      </c>
      <c r="I142" s="286">
        <f t="shared" si="34"/>
        <v>111977.90000000001</v>
      </c>
      <c r="J142" s="286">
        <f t="shared" si="34"/>
        <v>0</v>
      </c>
      <c r="K142" s="286">
        <f t="shared" si="34"/>
        <v>167966.85</v>
      </c>
      <c r="L142" s="286">
        <f t="shared" si="34"/>
        <v>1104739.125</v>
      </c>
      <c r="M142" s="286">
        <f t="shared" si="34"/>
        <v>0</v>
      </c>
      <c r="N142" s="286">
        <f t="shared" si="34"/>
        <v>0</v>
      </c>
      <c r="O142" s="286">
        <f t="shared" si="34"/>
        <v>0</v>
      </c>
      <c r="P142" s="286">
        <f t="shared" si="34"/>
        <v>1959613.25</v>
      </c>
      <c r="Q142" s="286">
        <f t="shared" si="34"/>
        <v>1820780</v>
      </c>
      <c r="R142" s="286">
        <f t="shared" si="34"/>
        <v>0</v>
      </c>
      <c r="S142" s="286">
        <f t="shared" si="34"/>
        <v>1820780</v>
      </c>
      <c r="T142" s="286">
        <f t="shared" si="34"/>
        <v>138833.25</v>
      </c>
      <c r="U142" s="295"/>
      <c r="V142" s="286"/>
      <c r="W142" s="120"/>
      <c r="X142" s="120"/>
      <c r="Y142" s="120"/>
      <c r="Z142" s="120"/>
    </row>
    <row r="143" spans="1:26" ht="22.5" customHeight="1" x14ac:dyDescent="0.3">
      <c r="B143" s="145"/>
      <c r="C143" s="145"/>
      <c r="D143" s="145"/>
      <c r="E143" s="297"/>
      <c r="F143" s="297"/>
      <c r="G143" s="297"/>
      <c r="H143" s="298"/>
      <c r="I143" s="287"/>
      <c r="J143" s="287"/>
      <c r="K143" s="287"/>
      <c r="L143" s="297"/>
      <c r="M143" s="297"/>
      <c r="N143" s="297"/>
      <c r="O143" s="297"/>
      <c r="P143" s="297"/>
      <c r="Q143" s="297"/>
      <c r="R143" s="297"/>
      <c r="S143" s="297"/>
      <c r="T143" s="297"/>
      <c r="U143" s="301"/>
      <c r="V143" s="297"/>
      <c r="W143" s="120"/>
      <c r="X143" s="120"/>
      <c r="Y143" s="120"/>
      <c r="Z143" s="120"/>
    </row>
    <row r="144" spans="1:26" ht="22.5" customHeight="1" x14ac:dyDescent="0.3">
      <c r="A144" s="118">
        <v>9</v>
      </c>
      <c r="B144" s="105"/>
      <c r="C144" s="105" t="s">
        <v>364</v>
      </c>
      <c r="D144" s="35"/>
      <c r="E144" s="280"/>
      <c r="F144" s="280"/>
      <c r="G144" s="280"/>
      <c r="H144" s="280"/>
      <c r="I144" s="280"/>
      <c r="J144" s="280"/>
      <c r="K144" s="280"/>
      <c r="L144" s="280"/>
      <c r="M144" s="280"/>
      <c r="N144" s="280"/>
      <c r="O144" s="280"/>
      <c r="P144" s="280"/>
      <c r="Q144" s="280"/>
      <c r="R144" s="280"/>
      <c r="S144" s="280"/>
      <c r="T144" s="280"/>
      <c r="U144" s="275"/>
      <c r="V144" s="290"/>
      <c r="W144" s="120"/>
      <c r="X144" s="120"/>
      <c r="Y144" s="120"/>
      <c r="Z144" s="120"/>
    </row>
    <row r="145" spans="1:26" ht="22.5" customHeight="1" x14ac:dyDescent="0.3">
      <c r="A145" s="32"/>
      <c r="B145" s="33"/>
      <c r="C145" s="285"/>
      <c r="D145" s="35">
        <v>1</v>
      </c>
      <c r="E145" s="280">
        <v>751861</v>
      </c>
      <c r="F145" s="280"/>
      <c r="G145" s="280">
        <v>0</v>
      </c>
      <c r="H145" s="280">
        <v>0</v>
      </c>
      <c r="I145" s="280">
        <f>E145*0.05</f>
        <v>37593.050000000003</v>
      </c>
      <c r="J145" s="280">
        <v>0</v>
      </c>
      <c r="K145" s="280">
        <f>E145*0.075</f>
        <v>56389.574999999997</v>
      </c>
      <c r="L145" s="280">
        <f>E145-I145+J145-K145</f>
        <v>657878.375</v>
      </c>
      <c r="M145" s="280">
        <v>0</v>
      </c>
      <c r="N145" s="280">
        <v>0</v>
      </c>
      <c r="O145" s="280">
        <v>0</v>
      </c>
      <c r="P145" s="280">
        <f>R145+L145</f>
        <v>657878.375</v>
      </c>
      <c r="Q145" s="280">
        <v>550000</v>
      </c>
      <c r="R145" s="280">
        <f>N145-O145</f>
        <v>0</v>
      </c>
      <c r="S145" s="280">
        <f>Q145+R145</f>
        <v>550000</v>
      </c>
      <c r="T145" s="280">
        <f t="shared" ref="T145:T152" si="35">P145-S145</f>
        <v>107878.375</v>
      </c>
      <c r="U145" s="283">
        <v>66942560</v>
      </c>
      <c r="V145" s="284">
        <v>42135</v>
      </c>
      <c r="W145" s="120"/>
      <c r="X145" s="120"/>
      <c r="Y145" s="120"/>
      <c r="Z145" s="120"/>
    </row>
    <row r="146" spans="1:26" ht="22.5" customHeight="1" x14ac:dyDescent="0.3">
      <c r="A146" s="32"/>
      <c r="B146" s="33"/>
      <c r="C146" s="285"/>
      <c r="D146" s="35">
        <v>2</v>
      </c>
      <c r="E146" s="280">
        <v>600329</v>
      </c>
      <c r="F146" s="280"/>
      <c r="G146" s="280"/>
      <c r="H146" s="289"/>
      <c r="I146" s="280">
        <f>E146*0.05</f>
        <v>30016.45</v>
      </c>
      <c r="J146" s="280"/>
      <c r="K146" s="280">
        <f>E146*0.075</f>
        <v>45024.674999999996</v>
      </c>
      <c r="L146" s="280"/>
      <c r="M146" s="280"/>
      <c r="N146" s="280"/>
      <c r="O146" s="280"/>
      <c r="P146" s="280">
        <f t="shared" ref="P146:P152" si="36">E146-I146-K146</f>
        <v>525287.875</v>
      </c>
      <c r="Q146" s="280">
        <v>633166</v>
      </c>
      <c r="R146" s="280"/>
      <c r="S146" s="280">
        <f>Q146+R146</f>
        <v>633166</v>
      </c>
      <c r="T146" s="280">
        <f t="shared" si="35"/>
        <v>-107878.125</v>
      </c>
      <c r="U146" s="283">
        <v>69695138</v>
      </c>
      <c r="V146" s="284">
        <v>42185</v>
      </c>
      <c r="W146" s="120"/>
      <c r="X146" s="120"/>
      <c r="Y146" s="120"/>
      <c r="Z146" s="120"/>
    </row>
    <row r="147" spans="1:26" ht="22.5" customHeight="1" x14ac:dyDescent="0.3">
      <c r="A147" s="32"/>
      <c r="B147" s="33"/>
      <c r="C147" s="285"/>
      <c r="D147" s="35">
        <v>3</v>
      </c>
      <c r="E147" s="280">
        <v>714298</v>
      </c>
      <c r="F147" s="280"/>
      <c r="G147" s="280"/>
      <c r="H147" s="289"/>
      <c r="I147" s="280">
        <f>E147*0.05</f>
        <v>35714.9</v>
      </c>
      <c r="J147" s="280"/>
      <c r="K147" s="280">
        <f>E147*0.075</f>
        <v>53572.35</v>
      </c>
      <c r="L147" s="280"/>
      <c r="M147" s="280"/>
      <c r="N147" s="280"/>
      <c r="O147" s="280"/>
      <c r="P147" s="280">
        <f t="shared" si="36"/>
        <v>625010.75</v>
      </c>
      <c r="Q147" s="280">
        <v>625011</v>
      </c>
      <c r="R147" s="280"/>
      <c r="S147" s="280">
        <f>Q147+R147</f>
        <v>625011</v>
      </c>
      <c r="T147" s="280">
        <f t="shared" si="35"/>
        <v>-0.25</v>
      </c>
      <c r="U147" s="283">
        <v>71820678</v>
      </c>
      <c r="V147" s="284">
        <v>42199</v>
      </c>
      <c r="W147" s="120"/>
      <c r="X147" s="120"/>
      <c r="Y147" s="120"/>
      <c r="Z147" s="120"/>
    </row>
    <row r="148" spans="1:26" ht="22.5" customHeight="1" x14ac:dyDescent="0.3">
      <c r="A148" s="32"/>
      <c r="B148" s="33"/>
      <c r="C148" s="285"/>
      <c r="D148" s="35">
        <v>4</v>
      </c>
      <c r="E148" s="280">
        <v>395466</v>
      </c>
      <c r="F148" s="280"/>
      <c r="G148" s="280"/>
      <c r="H148" s="289"/>
      <c r="I148" s="280">
        <f>E148*0.05</f>
        <v>19773.300000000003</v>
      </c>
      <c r="J148" s="280"/>
      <c r="K148" s="280">
        <f>E148*0.075</f>
        <v>29659.949999999997</v>
      </c>
      <c r="L148" s="280"/>
      <c r="M148" s="280"/>
      <c r="N148" s="280"/>
      <c r="O148" s="280"/>
      <c r="P148" s="280">
        <f t="shared" si="36"/>
        <v>346032.75</v>
      </c>
      <c r="Q148" s="280">
        <v>346032</v>
      </c>
      <c r="R148" s="280"/>
      <c r="S148" s="280">
        <f>Q148+R148</f>
        <v>346032</v>
      </c>
      <c r="T148" s="280">
        <f t="shared" si="35"/>
        <v>0.75</v>
      </c>
      <c r="U148" s="283" t="s">
        <v>407</v>
      </c>
      <c r="V148" s="284">
        <v>42286</v>
      </c>
      <c r="W148" s="120"/>
      <c r="X148" s="120"/>
      <c r="Y148" s="120"/>
      <c r="Z148" s="120"/>
    </row>
    <row r="149" spans="1:26" ht="22.5" customHeight="1" x14ac:dyDescent="0.3">
      <c r="A149" s="32"/>
      <c r="B149" s="33"/>
      <c r="C149" s="285"/>
      <c r="D149" s="35">
        <v>5</v>
      </c>
      <c r="E149" s="280">
        <v>7539394</v>
      </c>
      <c r="F149" s="280"/>
      <c r="G149" s="280"/>
      <c r="H149" s="289"/>
      <c r="I149" s="280">
        <v>753939</v>
      </c>
      <c r="J149" s="280"/>
      <c r="K149" s="280">
        <v>565455</v>
      </c>
      <c r="L149" s="280"/>
      <c r="M149" s="280"/>
      <c r="N149" s="280"/>
      <c r="O149" s="280"/>
      <c r="P149" s="280">
        <f>E149-I149-K149</f>
        <v>6220000</v>
      </c>
      <c r="Q149" s="280">
        <v>2000000</v>
      </c>
      <c r="R149" s="280"/>
      <c r="S149" s="280">
        <v>2000000</v>
      </c>
      <c r="T149" s="280">
        <f t="shared" si="35"/>
        <v>4220000</v>
      </c>
      <c r="U149" s="283"/>
      <c r="V149" s="284"/>
      <c r="W149" s="120"/>
      <c r="X149" s="120"/>
      <c r="Y149" s="120"/>
      <c r="Z149" s="120"/>
    </row>
    <row r="150" spans="1:26" ht="22.5" customHeight="1" x14ac:dyDescent="0.3">
      <c r="A150" s="32"/>
      <c r="B150" s="33"/>
      <c r="C150" s="285"/>
      <c r="D150" s="35"/>
      <c r="E150" s="280"/>
      <c r="F150" s="280"/>
      <c r="G150" s="280"/>
      <c r="H150" s="289"/>
      <c r="I150" s="280"/>
      <c r="J150" s="280"/>
      <c r="K150" s="280"/>
      <c r="L150" s="280"/>
      <c r="M150" s="280"/>
      <c r="N150" s="280"/>
      <c r="O150" s="280"/>
      <c r="P150" s="280">
        <f t="shared" si="36"/>
        <v>0</v>
      </c>
      <c r="Q150" s="280">
        <v>3000000</v>
      </c>
      <c r="R150" s="280"/>
      <c r="S150" s="280">
        <f>Q150</f>
        <v>3000000</v>
      </c>
      <c r="T150" s="280">
        <f t="shared" si="35"/>
        <v>-3000000</v>
      </c>
      <c r="U150" s="283" t="s">
        <v>427</v>
      </c>
      <c r="V150" s="284">
        <v>42355</v>
      </c>
      <c r="W150" s="120"/>
      <c r="X150" s="120"/>
      <c r="Y150" s="120"/>
      <c r="Z150" s="120"/>
    </row>
    <row r="151" spans="1:26" ht="22.5" customHeight="1" x14ac:dyDescent="0.3">
      <c r="A151" s="32"/>
      <c r="B151" s="33"/>
      <c r="C151" s="285"/>
      <c r="D151" s="35"/>
      <c r="E151" s="280"/>
      <c r="F151" s="280"/>
      <c r="G151" s="280"/>
      <c r="H151" s="289"/>
      <c r="I151" s="280"/>
      <c r="J151" s="280"/>
      <c r="K151" s="280"/>
      <c r="L151" s="280"/>
      <c r="M151" s="280"/>
      <c r="N151" s="280"/>
      <c r="O151" s="280"/>
      <c r="P151" s="280">
        <f t="shared" si="36"/>
        <v>0</v>
      </c>
      <c r="Q151" s="280">
        <v>1220000</v>
      </c>
      <c r="R151" s="280"/>
      <c r="S151" s="280">
        <f>Q151</f>
        <v>1220000</v>
      </c>
      <c r="T151" s="280">
        <f t="shared" si="35"/>
        <v>-1220000</v>
      </c>
      <c r="U151" s="283" t="s">
        <v>428</v>
      </c>
      <c r="V151" s="284">
        <v>42356</v>
      </c>
      <c r="W151" s="120"/>
      <c r="X151" s="120"/>
      <c r="Y151" s="120"/>
      <c r="Z151" s="120"/>
    </row>
    <row r="152" spans="1:26" ht="22.5" customHeight="1" x14ac:dyDescent="0.3">
      <c r="A152" s="32"/>
      <c r="B152" s="33"/>
      <c r="C152" s="285"/>
      <c r="D152" s="35">
        <v>6</v>
      </c>
      <c r="E152" s="280">
        <v>2285715</v>
      </c>
      <c r="F152" s="280"/>
      <c r="G152" s="280"/>
      <c r="H152" s="289"/>
      <c r="I152" s="280">
        <v>114286</v>
      </c>
      <c r="J152" s="280"/>
      <c r="K152" s="280">
        <v>171429</v>
      </c>
      <c r="L152" s="280"/>
      <c r="M152" s="280"/>
      <c r="N152" s="280"/>
      <c r="O152" s="280"/>
      <c r="P152" s="280">
        <f t="shared" si="36"/>
        <v>2000000</v>
      </c>
      <c r="Q152" s="280">
        <v>2000000</v>
      </c>
      <c r="R152" s="280"/>
      <c r="S152" s="280">
        <f>Q152</f>
        <v>2000000</v>
      </c>
      <c r="T152" s="280">
        <f t="shared" si="35"/>
        <v>0</v>
      </c>
      <c r="U152" s="283" t="s">
        <v>429</v>
      </c>
      <c r="V152" s="284">
        <v>42376</v>
      </c>
      <c r="W152" s="120"/>
      <c r="X152" s="120"/>
      <c r="Y152" s="120"/>
      <c r="Z152" s="120"/>
    </row>
    <row r="153" spans="1:26" ht="22.5" customHeight="1" x14ac:dyDescent="0.3">
      <c r="A153" s="32"/>
      <c r="B153" s="783" t="s">
        <v>93</v>
      </c>
      <c r="C153" s="783"/>
      <c r="D153" s="783"/>
      <c r="E153" s="286">
        <f>SUM(E145:E152)</f>
        <v>12287063</v>
      </c>
      <c r="F153" s="286">
        <f>SUM(F137:F142)</f>
        <v>0</v>
      </c>
      <c r="G153" s="286">
        <f t="shared" ref="G153:T153" si="37">SUM(G145:G152)</f>
        <v>0</v>
      </c>
      <c r="H153" s="286">
        <f t="shared" si="37"/>
        <v>0</v>
      </c>
      <c r="I153" s="286">
        <f t="shared" si="37"/>
        <v>991322.7</v>
      </c>
      <c r="J153" s="286">
        <f t="shared" si="37"/>
        <v>0</v>
      </c>
      <c r="K153" s="286">
        <f t="shared" si="37"/>
        <v>921530.55</v>
      </c>
      <c r="L153" s="286">
        <f t="shared" si="37"/>
        <v>657878.375</v>
      </c>
      <c r="M153" s="286">
        <f t="shared" si="37"/>
        <v>0</v>
      </c>
      <c r="N153" s="286">
        <f t="shared" si="37"/>
        <v>0</v>
      </c>
      <c r="O153" s="286">
        <f t="shared" si="37"/>
        <v>0</v>
      </c>
      <c r="P153" s="286">
        <f t="shared" si="37"/>
        <v>10374209.75</v>
      </c>
      <c r="Q153" s="286">
        <f t="shared" si="37"/>
        <v>10374209</v>
      </c>
      <c r="R153" s="286">
        <f t="shared" si="37"/>
        <v>0</v>
      </c>
      <c r="S153" s="286">
        <f t="shared" si="37"/>
        <v>10374209</v>
      </c>
      <c r="T153" s="286">
        <f t="shared" si="37"/>
        <v>0.75</v>
      </c>
      <c r="U153" s="295"/>
      <c r="V153" s="286"/>
      <c r="W153" s="120"/>
      <c r="X153" s="120"/>
      <c r="Y153" s="120"/>
      <c r="Z153" s="120"/>
    </row>
    <row r="154" spans="1:26" ht="22.5" customHeight="1" x14ac:dyDescent="0.3">
      <c r="B154" s="145"/>
      <c r="C154" s="145"/>
      <c r="D154" s="145"/>
      <c r="E154" s="297"/>
      <c r="F154" s="297"/>
      <c r="G154" s="297"/>
      <c r="H154" s="298"/>
      <c r="I154" s="287"/>
      <c r="J154" s="287"/>
      <c r="K154" s="287"/>
      <c r="L154" s="297"/>
      <c r="M154" s="297"/>
      <c r="N154" s="297"/>
      <c r="O154" s="297"/>
      <c r="P154" s="297"/>
      <c r="Q154" s="297"/>
      <c r="R154" s="297"/>
      <c r="S154" s="297"/>
      <c r="T154" s="297"/>
      <c r="U154" s="301"/>
      <c r="V154" s="297"/>
      <c r="W154" s="120"/>
      <c r="X154" s="120"/>
      <c r="Y154" s="120"/>
      <c r="Z154" s="120"/>
    </row>
    <row r="155" spans="1:26" ht="22.5" customHeight="1" x14ac:dyDescent="0.3">
      <c r="A155" s="118">
        <v>10</v>
      </c>
      <c r="B155" s="105"/>
      <c r="C155" s="105" t="s">
        <v>373</v>
      </c>
      <c r="D155" s="35"/>
      <c r="E155" s="280"/>
      <c r="F155" s="280"/>
      <c r="G155" s="280"/>
      <c r="H155" s="280"/>
      <c r="I155" s="280"/>
      <c r="J155" s="280"/>
      <c r="K155" s="280"/>
      <c r="L155" s="280"/>
      <c r="M155" s="280"/>
      <c r="N155" s="280"/>
      <c r="O155" s="280"/>
      <c r="P155" s="280"/>
      <c r="Q155" s="280"/>
      <c r="R155" s="280"/>
      <c r="S155" s="280"/>
      <c r="T155" s="280"/>
      <c r="U155" s="275"/>
      <c r="V155" s="290"/>
      <c r="W155" s="120"/>
      <c r="X155" s="120"/>
      <c r="Y155" s="120"/>
      <c r="Z155" s="120"/>
    </row>
    <row r="156" spans="1:26" ht="22.5" customHeight="1" x14ac:dyDescent="0.3">
      <c r="A156" s="32"/>
      <c r="B156" s="33"/>
      <c r="C156" s="285"/>
      <c r="D156" s="35">
        <v>1</v>
      </c>
      <c r="E156" s="280">
        <v>6586454</v>
      </c>
      <c r="F156" s="280"/>
      <c r="G156" s="280">
        <v>0</v>
      </c>
      <c r="H156" s="280">
        <v>0</v>
      </c>
      <c r="I156" s="280">
        <f>E156*0.05</f>
        <v>329322.7</v>
      </c>
      <c r="J156" s="280">
        <v>0</v>
      </c>
      <c r="K156" s="280">
        <f>E156*0.1</f>
        <v>658645.4</v>
      </c>
      <c r="L156" s="280">
        <f>E156-I156+J156-K156</f>
        <v>5598485.8999999994</v>
      </c>
      <c r="M156" s="280">
        <v>0</v>
      </c>
      <c r="N156" s="280">
        <v>0</v>
      </c>
      <c r="O156" s="280">
        <v>0</v>
      </c>
      <c r="P156" s="280">
        <f>E156-I156-K156</f>
        <v>5598485.8999999994</v>
      </c>
      <c r="Q156" s="280">
        <v>5000000</v>
      </c>
      <c r="R156" s="280">
        <f>N156-O156</f>
        <v>0</v>
      </c>
      <c r="S156" s="280">
        <f>Q156+R156</f>
        <v>5000000</v>
      </c>
      <c r="T156" s="280">
        <f>P156-S156</f>
        <v>598485.89999999944</v>
      </c>
      <c r="U156" s="283">
        <v>69695167</v>
      </c>
      <c r="V156" s="284">
        <v>42188</v>
      </c>
      <c r="W156" s="120"/>
      <c r="X156" s="120"/>
      <c r="Y156" s="120"/>
      <c r="Z156" s="120"/>
    </row>
    <row r="157" spans="1:26" ht="22.5" customHeight="1" x14ac:dyDescent="0.3">
      <c r="A157" s="32"/>
      <c r="B157" s="33"/>
      <c r="C157" s="285"/>
      <c r="D157" s="35">
        <v>2</v>
      </c>
      <c r="E157" s="280">
        <v>1104246</v>
      </c>
      <c r="F157" s="280"/>
      <c r="G157" s="280"/>
      <c r="H157" s="289"/>
      <c r="I157" s="280">
        <f>E157*0.05</f>
        <v>55212.3</v>
      </c>
      <c r="J157" s="280"/>
      <c r="K157" s="280">
        <f>E157*0.075</f>
        <v>82818.45</v>
      </c>
      <c r="L157" s="280"/>
      <c r="M157" s="280"/>
      <c r="N157" s="280"/>
      <c r="O157" s="280"/>
      <c r="P157" s="280">
        <f>E157-I157-K157</f>
        <v>966215.25</v>
      </c>
      <c r="Q157" s="280">
        <v>1564702</v>
      </c>
      <c r="R157" s="280"/>
      <c r="S157" s="280">
        <f>Q157+R157</f>
        <v>1564702</v>
      </c>
      <c r="T157" s="280">
        <f>P157-S157</f>
        <v>-598486.75</v>
      </c>
      <c r="U157" s="283" t="s">
        <v>377</v>
      </c>
      <c r="V157" s="284">
        <v>42242</v>
      </c>
      <c r="W157" s="120"/>
      <c r="X157" s="120"/>
      <c r="Y157" s="120"/>
      <c r="Z157" s="120"/>
    </row>
    <row r="158" spans="1:26" ht="22.5" customHeight="1" x14ac:dyDescent="0.3">
      <c r="A158" s="32"/>
      <c r="B158" s="33"/>
      <c r="C158" s="285"/>
      <c r="D158" s="35">
        <v>3</v>
      </c>
      <c r="E158" s="280">
        <v>1318285</v>
      </c>
      <c r="F158" s="280"/>
      <c r="G158" s="280"/>
      <c r="H158" s="289"/>
      <c r="I158" s="280">
        <f>E158*0.05</f>
        <v>65914.25</v>
      </c>
      <c r="J158" s="280"/>
      <c r="K158" s="280">
        <f>E158*0.075</f>
        <v>98871.375</v>
      </c>
      <c r="L158" s="280"/>
      <c r="M158" s="280"/>
      <c r="N158" s="280"/>
      <c r="O158" s="280"/>
      <c r="P158" s="280">
        <f>E158-I158-K158</f>
        <v>1153499.375</v>
      </c>
      <c r="Q158" s="280">
        <v>1100000</v>
      </c>
      <c r="R158" s="280"/>
      <c r="S158" s="280">
        <f>Q158+R158</f>
        <v>1100000</v>
      </c>
      <c r="T158" s="280">
        <f>P158-S158</f>
        <v>53499.375</v>
      </c>
      <c r="U158" s="283" t="s">
        <v>406</v>
      </c>
      <c r="V158" s="284">
        <v>42304</v>
      </c>
      <c r="W158" s="120"/>
      <c r="X158" s="120"/>
      <c r="Y158" s="120"/>
      <c r="Z158" s="120"/>
    </row>
    <row r="159" spans="1:26" ht="22.5" customHeight="1" x14ac:dyDescent="0.3">
      <c r="A159" s="32"/>
      <c r="B159" s="33"/>
      <c r="C159" s="285"/>
      <c r="D159" s="35"/>
      <c r="E159" s="280"/>
      <c r="F159" s="280"/>
      <c r="G159" s="280"/>
      <c r="H159" s="289"/>
      <c r="I159" s="280"/>
      <c r="J159" s="280"/>
      <c r="K159" s="280"/>
      <c r="L159" s="280"/>
      <c r="M159" s="280"/>
      <c r="N159" s="280"/>
      <c r="O159" s="280"/>
      <c r="P159" s="280">
        <f>E159-I159-K159</f>
        <v>0</v>
      </c>
      <c r="Q159" s="280">
        <v>53499</v>
      </c>
      <c r="R159" s="280"/>
      <c r="S159" s="280">
        <f>Q159</f>
        <v>53499</v>
      </c>
      <c r="T159" s="280">
        <f>P159-S159</f>
        <v>-53499</v>
      </c>
      <c r="U159" s="283" t="s">
        <v>430</v>
      </c>
      <c r="V159" s="284">
        <v>42415</v>
      </c>
      <c r="W159" s="120"/>
      <c r="X159" s="120"/>
      <c r="Y159" s="120"/>
      <c r="Z159" s="120"/>
    </row>
    <row r="160" spans="1:26" ht="22.5" customHeight="1" x14ac:dyDescent="0.3">
      <c r="A160" s="32"/>
      <c r="B160" s="783" t="s">
        <v>93</v>
      </c>
      <c r="C160" s="783"/>
      <c r="D160" s="783"/>
      <c r="E160" s="286">
        <f>SUM(E156:E159)</f>
        <v>9008985</v>
      </c>
      <c r="F160" s="286">
        <f>SUM(F144:F153)</f>
        <v>0</v>
      </c>
      <c r="G160" s="286">
        <f t="shared" ref="G160:T160" si="38">SUM(G156:G159)</f>
        <v>0</v>
      </c>
      <c r="H160" s="286">
        <f t="shared" si="38"/>
        <v>0</v>
      </c>
      <c r="I160" s="286">
        <f t="shared" si="38"/>
        <v>450449.25</v>
      </c>
      <c r="J160" s="286">
        <f t="shared" si="38"/>
        <v>0</v>
      </c>
      <c r="K160" s="286">
        <f t="shared" si="38"/>
        <v>840335.22499999998</v>
      </c>
      <c r="L160" s="286">
        <f t="shared" si="38"/>
        <v>5598485.8999999994</v>
      </c>
      <c r="M160" s="286">
        <f t="shared" si="38"/>
        <v>0</v>
      </c>
      <c r="N160" s="286">
        <f t="shared" si="38"/>
        <v>0</v>
      </c>
      <c r="O160" s="286">
        <f t="shared" si="38"/>
        <v>0</v>
      </c>
      <c r="P160" s="286">
        <f t="shared" si="38"/>
        <v>7718200.5249999994</v>
      </c>
      <c r="Q160" s="286">
        <f t="shared" si="38"/>
        <v>7718201</v>
      </c>
      <c r="R160" s="286">
        <f t="shared" si="38"/>
        <v>0</v>
      </c>
      <c r="S160" s="286">
        <f t="shared" si="38"/>
        <v>7718201</v>
      </c>
      <c r="T160" s="286">
        <f t="shared" si="38"/>
        <v>-0.47500000055879354</v>
      </c>
      <c r="U160" s="295">
        <f>SUM(U153:U153)</f>
        <v>0</v>
      </c>
      <c r="V160" s="286">
        <f>SUM(V153:V153)</f>
        <v>0</v>
      </c>
      <c r="W160" s="120"/>
      <c r="X160" s="120"/>
      <c r="Y160" s="120"/>
      <c r="Z160" s="120"/>
    </row>
    <row r="161" spans="1:26" ht="22.5" customHeight="1" x14ac:dyDescent="0.3">
      <c r="B161" s="145"/>
      <c r="C161" s="145"/>
      <c r="D161" s="145"/>
      <c r="E161" s="297"/>
      <c r="F161" s="297"/>
      <c r="G161" s="297"/>
      <c r="H161" s="298"/>
      <c r="I161" s="287"/>
      <c r="J161" s="287"/>
      <c r="K161" s="287"/>
      <c r="L161" s="297"/>
      <c r="M161" s="297"/>
      <c r="N161" s="297"/>
      <c r="O161" s="297"/>
      <c r="P161" s="297"/>
      <c r="Q161" s="297"/>
      <c r="R161" s="297"/>
      <c r="S161" s="297"/>
      <c r="T161" s="297"/>
      <c r="U161" s="301"/>
      <c r="V161" s="297"/>
      <c r="W161" s="120"/>
      <c r="X161" s="120"/>
      <c r="Y161" s="120"/>
      <c r="Z161" s="120"/>
    </row>
    <row r="162" spans="1:26" ht="22.5" customHeight="1" x14ac:dyDescent="0.3">
      <c r="A162" s="118">
        <v>11</v>
      </c>
      <c r="B162" s="105"/>
      <c r="C162" s="105" t="s">
        <v>367</v>
      </c>
      <c r="D162" s="35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0"/>
      <c r="P162" s="280"/>
      <c r="Q162" s="280"/>
      <c r="R162" s="280"/>
      <c r="S162" s="280"/>
      <c r="T162" s="280"/>
      <c r="U162" s="275"/>
      <c r="V162" s="290"/>
      <c r="W162" s="120"/>
      <c r="X162" s="120"/>
      <c r="Y162" s="120"/>
      <c r="Z162" s="120"/>
    </row>
    <row r="163" spans="1:26" ht="22.5" customHeight="1" x14ac:dyDescent="0.3">
      <c r="A163" s="32"/>
      <c r="B163" s="33"/>
      <c r="C163" s="285"/>
      <c r="D163" s="35">
        <v>1</v>
      </c>
      <c r="E163" s="280">
        <v>301889</v>
      </c>
      <c r="F163" s="280"/>
      <c r="G163" s="280">
        <v>0</v>
      </c>
      <c r="H163" s="280">
        <v>0</v>
      </c>
      <c r="I163" s="280">
        <f>E163*0.05</f>
        <v>15094.45</v>
      </c>
      <c r="J163" s="280">
        <v>0</v>
      </c>
      <c r="K163" s="280">
        <v>22642</v>
      </c>
      <c r="L163" s="280">
        <f>E163-I163+J163-K163</f>
        <v>264152.55</v>
      </c>
      <c r="M163" s="280">
        <v>0</v>
      </c>
      <c r="N163" s="280">
        <v>0</v>
      </c>
      <c r="O163" s="280">
        <v>0</v>
      </c>
      <c r="P163" s="280">
        <f>E163-I163-K163</f>
        <v>264152.55</v>
      </c>
      <c r="Q163" s="280">
        <v>200000</v>
      </c>
      <c r="R163" s="280">
        <f>N163-O163</f>
        <v>0</v>
      </c>
      <c r="S163" s="280">
        <f>Q163+R163</f>
        <v>200000</v>
      </c>
      <c r="T163" s="280">
        <f>P163-S163</f>
        <v>64152.549999999988</v>
      </c>
      <c r="U163" s="283">
        <v>71820697</v>
      </c>
      <c r="V163" s="284">
        <v>42200</v>
      </c>
      <c r="W163" s="120"/>
      <c r="X163" s="120"/>
      <c r="Y163" s="120"/>
      <c r="Z163" s="120"/>
    </row>
    <row r="164" spans="1:26" ht="22.5" customHeight="1" x14ac:dyDescent="0.3">
      <c r="A164" s="32"/>
      <c r="B164" s="33"/>
      <c r="C164" s="285"/>
      <c r="D164" s="35"/>
      <c r="E164" s="280"/>
      <c r="F164" s="280"/>
      <c r="G164" s="280"/>
      <c r="H164" s="289"/>
      <c r="I164" s="280"/>
      <c r="J164" s="280"/>
      <c r="K164" s="280"/>
      <c r="L164" s="280"/>
      <c r="M164" s="280"/>
      <c r="N164" s="280"/>
      <c r="O164" s="280"/>
      <c r="P164" s="280"/>
      <c r="Q164" s="280"/>
      <c r="R164" s="280"/>
      <c r="S164" s="280"/>
      <c r="T164" s="280"/>
      <c r="U164" s="283"/>
      <c r="V164" s="284"/>
      <c r="W164" s="120"/>
      <c r="X164" s="120"/>
      <c r="Y164" s="120"/>
      <c r="Z164" s="120"/>
    </row>
    <row r="165" spans="1:26" ht="22.5" customHeight="1" x14ac:dyDescent="0.3">
      <c r="A165" s="32"/>
      <c r="B165" s="783" t="s">
        <v>93</v>
      </c>
      <c r="C165" s="783"/>
      <c r="D165" s="783"/>
      <c r="E165" s="286">
        <f>SUM(E163)</f>
        <v>301889</v>
      </c>
      <c r="F165" s="286">
        <f>SUM(F155:F160)</f>
        <v>0</v>
      </c>
      <c r="G165" s="286">
        <f>SUM(G160:G162)</f>
        <v>0</v>
      </c>
      <c r="H165" s="289">
        <v>0</v>
      </c>
      <c r="I165" s="286">
        <f>SUM(I163)</f>
        <v>15094.45</v>
      </c>
      <c r="J165" s="286">
        <f>SUM(J160:J160)</f>
        <v>0</v>
      </c>
      <c r="K165" s="286">
        <f>SUM(K163)</f>
        <v>22642</v>
      </c>
      <c r="L165" s="286">
        <f>SUM(L160:L160)</f>
        <v>5598485.8999999994</v>
      </c>
      <c r="M165" s="286">
        <f>SUM(M160:M160)</f>
        <v>0</v>
      </c>
      <c r="N165" s="286">
        <f>SUM(N160:N160)</f>
        <v>0</v>
      </c>
      <c r="O165" s="286">
        <f>SUM(O160:O160)</f>
        <v>0</v>
      </c>
      <c r="P165" s="286">
        <f>SUM(P163)</f>
        <v>264152.55</v>
      </c>
      <c r="Q165" s="286">
        <f>SUM(Q163)</f>
        <v>200000</v>
      </c>
      <c r="R165" s="286">
        <f>SUM(R160:R160)</f>
        <v>0</v>
      </c>
      <c r="S165" s="286">
        <f>SUM(S163)</f>
        <v>200000</v>
      </c>
      <c r="T165" s="286">
        <f>SUM(T163)</f>
        <v>64152.549999999988</v>
      </c>
      <c r="U165" s="295">
        <f>SUM(U160:U160)</f>
        <v>0</v>
      </c>
      <c r="V165" s="286">
        <f>SUM(V160:V160)</f>
        <v>0</v>
      </c>
      <c r="W165" s="120"/>
      <c r="X165" s="120"/>
      <c r="Y165" s="120"/>
      <c r="Z165" s="120"/>
    </row>
    <row r="166" spans="1:26" ht="22.5" customHeight="1" x14ac:dyDescent="0.3">
      <c r="B166" s="145"/>
      <c r="C166" s="145"/>
      <c r="D166" s="145"/>
      <c r="E166" s="297"/>
      <c r="F166" s="297"/>
      <c r="G166" s="297"/>
      <c r="H166" s="298"/>
      <c r="I166" s="287"/>
      <c r="J166" s="287"/>
      <c r="K166" s="287"/>
      <c r="L166" s="297"/>
      <c r="M166" s="297"/>
      <c r="N166" s="297"/>
      <c r="O166" s="297"/>
      <c r="P166" s="297"/>
      <c r="Q166" s="297"/>
      <c r="R166" s="297"/>
      <c r="S166" s="297"/>
      <c r="T166" s="297"/>
      <c r="U166" s="301"/>
      <c r="V166" s="297"/>
      <c r="W166" s="120"/>
      <c r="X166" s="120"/>
      <c r="Y166" s="120"/>
      <c r="Z166" s="120"/>
    </row>
    <row r="167" spans="1:26" ht="22.5" customHeight="1" x14ac:dyDescent="0.3">
      <c r="A167" s="118">
        <v>12</v>
      </c>
      <c r="B167" s="105"/>
      <c r="C167" s="105" t="s">
        <v>365</v>
      </c>
      <c r="D167" s="35"/>
      <c r="E167" s="280"/>
      <c r="F167" s="280"/>
      <c r="G167" s="280"/>
      <c r="H167" s="280"/>
      <c r="I167" s="280"/>
      <c r="J167" s="280"/>
      <c r="K167" s="280"/>
      <c r="L167" s="280"/>
      <c r="M167" s="280"/>
      <c r="N167" s="280"/>
      <c r="O167" s="280"/>
      <c r="P167" s="280"/>
      <c r="Q167" s="280"/>
      <c r="R167" s="280"/>
      <c r="S167" s="280"/>
      <c r="T167" s="280"/>
      <c r="U167" s="275"/>
      <c r="V167" s="290"/>
      <c r="W167" s="120"/>
      <c r="X167" s="120"/>
      <c r="Y167" s="120"/>
      <c r="Z167" s="120"/>
    </row>
    <row r="168" spans="1:26" ht="22.5" customHeight="1" x14ac:dyDescent="0.3">
      <c r="A168" s="32"/>
      <c r="B168" s="33"/>
      <c r="C168" s="285"/>
      <c r="D168" s="35">
        <v>1</v>
      </c>
      <c r="E168" s="280">
        <v>2287332</v>
      </c>
      <c r="F168" s="280"/>
      <c r="G168" s="280">
        <v>0</v>
      </c>
      <c r="H168" s="280">
        <v>0</v>
      </c>
      <c r="I168" s="280">
        <f>E168*0.05</f>
        <v>114366.6</v>
      </c>
      <c r="J168" s="280">
        <v>0</v>
      </c>
      <c r="K168" s="280">
        <f>E168*0.075</f>
        <v>171549.9</v>
      </c>
      <c r="L168" s="280">
        <f>E168-I168+J168-K168</f>
        <v>2001415.5</v>
      </c>
      <c r="M168" s="280">
        <v>0</v>
      </c>
      <c r="N168" s="280">
        <v>0</v>
      </c>
      <c r="O168" s="280">
        <v>0</v>
      </c>
      <c r="P168" s="280">
        <f t="shared" ref="P168:P174" si="39">E168-I168-K168</f>
        <v>2001415.5</v>
      </c>
      <c r="Q168" s="280">
        <v>2001415</v>
      </c>
      <c r="R168" s="280">
        <f>N168-O168</f>
        <v>0</v>
      </c>
      <c r="S168" s="280">
        <f>Q168+R168</f>
        <v>2001415</v>
      </c>
      <c r="T168" s="280">
        <f t="shared" ref="T168:T174" si="40">P168-S168</f>
        <v>0.5</v>
      </c>
      <c r="U168" s="283">
        <v>69695144</v>
      </c>
      <c r="V168" s="284">
        <v>42185</v>
      </c>
      <c r="W168" s="120"/>
      <c r="X168" s="120"/>
      <c r="Y168" s="120"/>
      <c r="Z168" s="120"/>
    </row>
    <row r="169" spans="1:26" ht="22.5" customHeight="1" x14ac:dyDescent="0.3">
      <c r="A169" s="32"/>
      <c r="B169" s="33"/>
      <c r="C169" s="285"/>
      <c r="D169" s="35">
        <v>2</v>
      </c>
      <c r="E169" s="280">
        <v>4595143</v>
      </c>
      <c r="F169" s="280"/>
      <c r="G169" s="280"/>
      <c r="H169" s="289"/>
      <c r="I169" s="280">
        <f>E169*0.05</f>
        <v>229757.15000000002</v>
      </c>
      <c r="J169" s="280"/>
      <c r="K169" s="280">
        <f>E169*0.075</f>
        <v>344635.72499999998</v>
      </c>
      <c r="L169" s="280"/>
      <c r="M169" s="280"/>
      <c r="N169" s="280"/>
      <c r="O169" s="280"/>
      <c r="P169" s="280">
        <f t="shared" si="39"/>
        <v>4020750.1249999995</v>
      </c>
      <c r="Q169" s="280">
        <v>4020750</v>
      </c>
      <c r="R169" s="280"/>
      <c r="S169" s="280">
        <v>4020750</v>
      </c>
      <c r="T169" s="280">
        <f t="shared" si="40"/>
        <v>0.12499999953433871</v>
      </c>
      <c r="U169" s="283">
        <v>71820673</v>
      </c>
      <c r="V169" s="284">
        <v>42198</v>
      </c>
      <c r="W169" s="120"/>
      <c r="X169" s="120"/>
      <c r="Y169" s="120"/>
      <c r="Z169" s="120"/>
    </row>
    <row r="170" spans="1:26" ht="22.5" customHeight="1" x14ac:dyDescent="0.3">
      <c r="A170" s="32"/>
      <c r="B170" s="33"/>
      <c r="C170" s="285"/>
      <c r="D170" s="35">
        <v>3</v>
      </c>
      <c r="E170" s="280">
        <v>1586255</v>
      </c>
      <c r="F170" s="280"/>
      <c r="G170" s="280"/>
      <c r="H170" s="289"/>
      <c r="I170" s="280">
        <f>E170*0.05</f>
        <v>79312.75</v>
      </c>
      <c r="J170" s="280"/>
      <c r="K170" s="280">
        <v>273504</v>
      </c>
      <c r="L170" s="280"/>
      <c r="M170" s="280"/>
      <c r="N170" s="280"/>
      <c r="O170" s="280"/>
      <c r="P170" s="280">
        <f t="shared" si="39"/>
        <v>1233438.25</v>
      </c>
      <c r="Q170" s="280">
        <v>1233439</v>
      </c>
      <c r="R170" s="280"/>
      <c r="S170" s="280">
        <f>Q170</f>
        <v>1233439</v>
      </c>
      <c r="T170" s="280">
        <f t="shared" si="40"/>
        <v>-0.75</v>
      </c>
      <c r="U170" s="283" t="s">
        <v>395</v>
      </c>
      <c r="V170" s="284">
        <v>42250</v>
      </c>
      <c r="W170" s="120"/>
      <c r="X170" s="120"/>
      <c r="Y170" s="120"/>
      <c r="Z170" s="120"/>
    </row>
    <row r="171" spans="1:26" ht="22.5" customHeight="1" x14ac:dyDescent="0.3">
      <c r="A171" s="32"/>
      <c r="B171" s="33"/>
      <c r="C171" s="285"/>
      <c r="D171" s="35">
        <v>4</v>
      </c>
      <c r="E171" s="280">
        <v>778694</v>
      </c>
      <c r="F171" s="280"/>
      <c r="G171" s="280"/>
      <c r="H171" s="289"/>
      <c r="I171" s="280">
        <f>E171*0.05</f>
        <v>38934.700000000004</v>
      </c>
      <c r="J171" s="280"/>
      <c r="K171" s="280">
        <f>E171*0.075</f>
        <v>58402.049999999996</v>
      </c>
      <c r="L171" s="280"/>
      <c r="M171" s="280"/>
      <c r="N171" s="280"/>
      <c r="O171" s="280"/>
      <c r="P171" s="280">
        <f t="shared" si="39"/>
        <v>681357.25</v>
      </c>
      <c r="Q171" s="280">
        <v>681358</v>
      </c>
      <c r="R171" s="280"/>
      <c r="S171" s="280">
        <f>Q171</f>
        <v>681358</v>
      </c>
      <c r="T171" s="280">
        <f t="shared" si="40"/>
        <v>-0.75</v>
      </c>
      <c r="U171" s="283" t="s">
        <v>382</v>
      </c>
      <c r="V171" s="284">
        <v>42269</v>
      </c>
      <c r="W171" s="120"/>
      <c r="X171" s="120"/>
      <c r="Y171" s="120"/>
      <c r="Z171" s="120"/>
    </row>
    <row r="172" spans="1:26" ht="22.5" customHeight="1" x14ac:dyDescent="0.3">
      <c r="A172" s="32"/>
      <c r="B172" s="33"/>
      <c r="C172" s="285"/>
      <c r="D172" s="35">
        <v>5</v>
      </c>
      <c r="E172" s="280">
        <v>1210596</v>
      </c>
      <c r="F172" s="280"/>
      <c r="G172" s="280"/>
      <c r="H172" s="289"/>
      <c r="I172" s="280">
        <f>E172*0.05</f>
        <v>60529.8</v>
      </c>
      <c r="J172" s="280"/>
      <c r="K172" s="280">
        <f>E172*0.075</f>
        <v>90794.7</v>
      </c>
      <c r="L172" s="280"/>
      <c r="M172" s="280"/>
      <c r="N172" s="280"/>
      <c r="O172" s="280"/>
      <c r="P172" s="280">
        <f t="shared" si="39"/>
        <v>1059271.5</v>
      </c>
      <c r="Q172" s="280">
        <v>1000000</v>
      </c>
      <c r="R172" s="280"/>
      <c r="S172" s="280">
        <f>Q172</f>
        <v>1000000</v>
      </c>
      <c r="T172" s="280">
        <f t="shared" si="40"/>
        <v>59271.5</v>
      </c>
      <c r="U172" s="283" t="s">
        <v>412</v>
      </c>
      <c r="V172" s="284">
        <v>42313</v>
      </c>
      <c r="W172" s="120"/>
      <c r="X172" s="120"/>
      <c r="Y172" s="120"/>
      <c r="Z172" s="120"/>
    </row>
    <row r="173" spans="1:26" ht="22.5" customHeight="1" x14ac:dyDescent="0.3">
      <c r="A173" s="32"/>
      <c r="B173" s="33"/>
      <c r="C173" s="285"/>
      <c r="D173" s="35">
        <v>6</v>
      </c>
      <c r="E173" s="280">
        <v>2114285</v>
      </c>
      <c r="F173" s="280"/>
      <c r="G173" s="280"/>
      <c r="H173" s="289"/>
      <c r="I173" s="280">
        <v>105714</v>
      </c>
      <c r="J173" s="280"/>
      <c r="K173" s="280">
        <v>158571</v>
      </c>
      <c r="L173" s="280"/>
      <c r="M173" s="280"/>
      <c r="N173" s="280"/>
      <c r="O173" s="280"/>
      <c r="P173" s="280">
        <f t="shared" si="39"/>
        <v>1850000</v>
      </c>
      <c r="Q173" s="280">
        <v>1850000</v>
      </c>
      <c r="R173" s="280"/>
      <c r="S173" s="280">
        <f>Q173</f>
        <v>1850000</v>
      </c>
      <c r="T173" s="280">
        <f t="shared" si="40"/>
        <v>0</v>
      </c>
      <c r="U173" s="283" t="s">
        <v>431</v>
      </c>
      <c r="V173" s="284">
        <v>42391</v>
      </c>
      <c r="W173" s="120"/>
      <c r="X173" s="120"/>
      <c r="Y173" s="120"/>
      <c r="Z173" s="120"/>
    </row>
    <row r="174" spans="1:26" ht="22.5" customHeight="1" x14ac:dyDescent="0.3">
      <c r="A174" s="32"/>
      <c r="B174" s="33"/>
      <c r="C174" s="285"/>
      <c r="D174" s="35">
        <v>7</v>
      </c>
      <c r="E174" s="280">
        <v>3636363</v>
      </c>
      <c r="F174" s="280"/>
      <c r="G174" s="280"/>
      <c r="H174" s="289"/>
      <c r="I174" s="280">
        <v>363636</v>
      </c>
      <c r="J174" s="280"/>
      <c r="K174" s="280">
        <v>272727</v>
      </c>
      <c r="L174" s="280"/>
      <c r="M174" s="280"/>
      <c r="N174" s="280"/>
      <c r="O174" s="280"/>
      <c r="P174" s="280">
        <f t="shared" si="39"/>
        <v>3000000</v>
      </c>
      <c r="Q174" s="280">
        <v>3000000</v>
      </c>
      <c r="R174" s="280"/>
      <c r="S174" s="280">
        <f>Q174</f>
        <v>3000000</v>
      </c>
      <c r="T174" s="280">
        <f t="shared" si="40"/>
        <v>0</v>
      </c>
      <c r="U174" s="283" t="s">
        <v>432</v>
      </c>
      <c r="V174" s="284">
        <v>42402</v>
      </c>
      <c r="W174" s="120"/>
      <c r="X174" s="120"/>
      <c r="Y174" s="120"/>
      <c r="Z174" s="120"/>
    </row>
    <row r="175" spans="1:26" ht="22.5" customHeight="1" x14ac:dyDescent="0.3">
      <c r="A175" s="32"/>
      <c r="B175" s="33"/>
      <c r="C175" s="285"/>
      <c r="D175" s="35"/>
      <c r="E175" s="280"/>
      <c r="F175" s="280"/>
      <c r="G175" s="280"/>
      <c r="H175" s="289"/>
      <c r="I175" s="280"/>
      <c r="J175" s="280"/>
      <c r="K175" s="280"/>
      <c r="L175" s="280"/>
      <c r="M175" s="280"/>
      <c r="N175" s="280"/>
      <c r="O175" s="280"/>
      <c r="P175" s="280"/>
      <c r="Q175" s="280"/>
      <c r="R175" s="280"/>
      <c r="S175" s="280"/>
      <c r="T175" s="280"/>
      <c r="U175" s="283"/>
      <c r="V175" s="284"/>
      <c r="W175" s="120"/>
      <c r="X175" s="120"/>
      <c r="Y175" s="120"/>
      <c r="Z175" s="120"/>
    </row>
    <row r="176" spans="1:26" ht="22.5" customHeight="1" x14ac:dyDescent="0.3">
      <c r="A176" s="32"/>
      <c r="B176" s="783" t="s">
        <v>93</v>
      </c>
      <c r="C176" s="783"/>
      <c r="D176" s="783"/>
      <c r="E176" s="286">
        <f>SUM(E168:E175)</f>
        <v>16208668</v>
      </c>
      <c r="F176" s="286">
        <f>SUM(F160:F165)</f>
        <v>0</v>
      </c>
      <c r="G176" s="286">
        <f t="shared" ref="G176:T176" si="41">SUM(G168:G175)</f>
        <v>0</v>
      </c>
      <c r="H176" s="286">
        <f t="shared" si="41"/>
        <v>0</v>
      </c>
      <c r="I176" s="286">
        <f t="shared" si="41"/>
        <v>992251</v>
      </c>
      <c r="J176" s="286">
        <f t="shared" si="41"/>
        <v>0</v>
      </c>
      <c r="K176" s="286">
        <f t="shared" si="41"/>
        <v>1370184.375</v>
      </c>
      <c r="L176" s="286">
        <f t="shared" si="41"/>
        <v>2001415.5</v>
      </c>
      <c r="M176" s="286">
        <f t="shared" si="41"/>
        <v>0</v>
      </c>
      <c r="N176" s="286">
        <f t="shared" si="41"/>
        <v>0</v>
      </c>
      <c r="O176" s="286">
        <f t="shared" si="41"/>
        <v>0</v>
      </c>
      <c r="P176" s="286">
        <f t="shared" si="41"/>
        <v>13846232.625</v>
      </c>
      <c r="Q176" s="286">
        <f t="shared" si="41"/>
        <v>13786962</v>
      </c>
      <c r="R176" s="286">
        <f t="shared" si="41"/>
        <v>0</v>
      </c>
      <c r="S176" s="286">
        <f t="shared" si="41"/>
        <v>13786962</v>
      </c>
      <c r="T176" s="286">
        <f t="shared" si="41"/>
        <v>59270.624999999534</v>
      </c>
      <c r="U176" s="295">
        <f>SUM(U165:U165)</f>
        <v>0</v>
      </c>
      <c r="V176" s="286">
        <f>SUM(V165:V165)</f>
        <v>0</v>
      </c>
      <c r="W176" s="120"/>
      <c r="X176" s="120"/>
      <c r="Y176" s="120"/>
      <c r="Z176" s="120"/>
    </row>
    <row r="177" spans="1:26" ht="22.5" customHeight="1" x14ac:dyDescent="0.3">
      <c r="B177" s="145"/>
      <c r="C177" s="145"/>
      <c r="D177" s="145"/>
      <c r="E177" s="297"/>
      <c r="F177" s="297"/>
      <c r="G177" s="297"/>
      <c r="H177" s="298"/>
      <c r="I177" s="287"/>
      <c r="J177" s="287"/>
      <c r="K177" s="287"/>
      <c r="L177" s="297"/>
      <c r="M177" s="297"/>
      <c r="N177" s="297"/>
      <c r="O177" s="297"/>
      <c r="P177" s="297"/>
      <c r="Q177" s="297"/>
      <c r="R177" s="297"/>
      <c r="S177" s="297"/>
      <c r="T177" s="297"/>
      <c r="U177" s="301"/>
      <c r="V177" s="297"/>
      <c r="W177" s="120"/>
      <c r="X177" s="120"/>
      <c r="Y177" s="120"/>
      <c r="Z177" s="120"/>
    </row>
    <row r="178" spans="1:26" ht="22.5" customHeight="1" x14ac:dyDescent="0.3">
      <c r="A178" s="118">
        <v>13</v>
      </c>
      <c r="B178" s="105"/>
      <c r="C178" s="105" t="s">
        <v>366</v>
      </c>
      <c r="D178" s="35"/>
      <c r="E178" s="280"/>
      <c r="F178" s="280"/>
      <c r="G178" s="280"/>
      <c r="H178" s="280"/>
      <c r="I178" s="280"/>
      <c r="J178" s="280"/>
      <c r="K178" s="280"/>
      <c r="L178" s="280"/>
      <c r="M178" s="280"/>
      <c r="N178" s="280"/>
      <c r="O178" s="280"/>
      <c r="P178" s="280"/>
      <c r="Q178" s="280"/>
      <c r="R178" s="280"/>
      <c r="S178" s="280"/>
      <c r="T178" s="280"/>
      <c r="U178" s="275"/>
      <c r="V178" s="290"/>
      <c r="W178" s="120"/>
      <c r="X178" s="120"/>
      <c r="Y178" s="120"/>
      <c r="Z178" s="120"/>
    </row>
    <row r="179" spans="1:26" ht="22.5" customHeight="1" x14ac:dyDescent="0.3">
      <c r="A179" s="32"/>
      <c r="B179" s="33"/>
      <c r="C179" s="285"/>
      <c r="D179" s="35">
        <v>1</v>
      </c>
      <c r="E179" s="280">
        <v>437332</v>
      </c>
      <c r="F179" s="280"/>
      <c r="G179" s="280">
        <v>0</v>
      </c>
      <c r="H179" s="280">
        <v>0</v>
      </c>
      <c r="I179" s="280">
        <f>E179*0.05</f>
        <v>21866.600000000002</v>
      </c>
      <c r="J179" s="280">
        <v>0</v>
      </c>
      <c r="K179" s="280">
        <f>E179*0.075</f>
        <v>32799.9</v>
      </c>
      <c r="L179" s="280">
        <f>E179-I179+J179-K179</f>
        <v>382665.5</v>
      </c>
      <c r="M179" s="280">
        <v>0</v>
      </c>
      <c r="N179" s="280">
        <v>0</v>
      </c>
      <c r="O179" s="280">
        <v>0</v>
      </c>
      <c r="P179" s="280">
        <f>E179-I179-K179</f>
        <v>382665.5</v>
      </c>
      <c r="Q179" s="280">
        <v>382665</v>
      </c>
      <c r="R179" s="280">
        <f>N179-O179</f>
        <v>0</v>
      </c>
      <c r="S179" s="280">
        <v>382665</v>
      </c>
      <c r="T179" s="280">
        <f>P179-S179</f>
        <v>0.5</v>
      </c>
      <c r="U179" s="283">
        <v>71820684</v>
      </c>
      <c r="V179" s="284">
        <v>42199</v>
      </c>
      <c r="W179" s="120"/>
      <c r="X179" s="120"/>
      <c r="Y179" s="120"/>
      <c r="Z179" s="120"/>
    </row>
    <row r="180" spans="1:26" ht="22.5" customHeight="1" x14ac:dyDescent="0.3">
      <c r="A180" s="32"/>
      <c r="B180" s="33"/>
      <c r="C180" s="285"/>
      <c r="D180" s="35">
        <v>2</v>
      </c>
      <c r="E180" s="280">
        <v>211253</v>
      </c>
      <c r="F180" s="280"/>
      <c r="G180" s="280"/>
      <c r="H180" s="289"/>
      <c r="I180" s="280">
        <f>E180*0.05</f>
        <v>10562.650000000001</v>
      </c>
      <c r="J180" s="280"/>
      <c r="K180" s="280">
        <f>E180*0.075</f>
        <v>15843.974999999999</v>
      </c>
      <c r="L180" s="280"/>
      <c r="M180" s="280"/>
      <c r="N180" s="280"/>
      <c r="O180" s="280"/>
      <c r="P180" s="280">
        <f>E180-I180-K180</f>
        <v>184846.375</v>
      </c>
      <c r="Q180" s="280">
        <v>184847</v>
      </c>
      <c r="R180" s="280"/>
      <c r="S180" s="280">
        <f>Q180</f>
        <v>184847</v>
      </c>
      <c r="T180" s="280">
        <f>P180-S180</f>
        <v>-0.625</v>
      </c>
      <c r="U180" s="283" t="s">
        <v>384</v>
      </c>
      <c r="V180" s="284">
        <v>42269</v>
      </c>
      <c r="W180" s="120"/>
      <c r="X180" s="120"/>
      <c r="Y180" s="120"/>
      <c r="Z180" s="120"/>
    </row>
    <row r="181" spans="1:26" ht="22.5" customHeight="1" x14ac:dyDescent="0.3">
      <c r="A181" s="32"/>
      <c r="B181" s="33"/>
      <c r="C181" s="285"/>
      <c r="D181" s="35">
        <v>3</v>
      </c>
      <c r="E181" s="280">
        <v>2424242</v>
      </c>
      <c r="F181" s="280"/>
      <c r="G181" s="280"/>
      <c r="H181" s="289"/>
      <c r="I181" s="280">
        <v>242424</v>
      </c>
      <c r="J181" s="280"/>
      <c r="K181" s="280">
        <v>181818</v>
      </c>
      <c r="L181" s="280"/>
      <c r="M181" s="280"/>
      <c r="N181" s="280"/>
      <c r="O181" s="280"/>
      <c r="P181" s="280">
        <f>E181-I181-K181</f>
        <v>2000000</v>
      </c>
      <c r="Q181" s="280">
        <v>2000000</v>
      </c>
      <c r="R181" s="280"/>
      <c r="S181" s="280">
        <f>Q181</f>
        <v>2000000</v>
      </c>
      <c r="T181" s="280">
        <f>P181-S181</f>
        <v>0</v>
      </c>
      <c r="U181" s="283" t="s">
        <v>433</v>
      </c>
      <c r="V181" s="284">
        <v>42415</v>
      </c>
      <c r="W181" s="120"/>
      <c r="X181" s="120"/>
      <c r="Y181" s="120"/>
      <c r="Z181" s="120"/>
    </row>
    <row r="182" spans="1:26" ht="22.5" customHeight="1" x14ac:dyDescent="0.3">
      <c r="A182" s="32"/>
      <c r="B182" s="33"/>
      <c r="C182" s="285"/>
      <c r="D182" s="35">
        <v>4</v>
      </c>
      <c r="E182" s="280">
        <v>1212121</v>
      </c>
      <c r="F182" s="280"/>
      <c r="G182" s="280"/>
      <c r="H182" s="289"/>
      <c r="I182" s="280">
        <v>121212</v>
      </c>
      <c r="J182" s="280"/>
      <c r="K182" s="280">
        <f>E182*0.075</f>
        <v>90909.074999999997</v>
      </c>
      <c r="L182" s="280"/>
      <c r="M182" s="280"/>
      <c r="N182" s="280"/>
      <c r="O182" s="280"/>
      <c r="P182" s="280">
        <f>E182-I182-K182</f>
        <v>999999.92500000005</v>
      </c>
      <c r="Q182" s="280">
        <v>999999.92500000005</v>
      </c>
      <c r="R182" s="280"/>
      <c r="S182" s="280">
        <f>Q182</f>
        <v>999999.92500000005</v>
      </c>
      <c r="T182" s="280">
        <f>P182-S182</f>
        <v>0</v>
      </c>
      <c r="U182" s="283"/>
      <c r="V182" s="284"/>
      <c r="W182" s="120"/>
      <c r="X182" s="120"/>
      <c r="Y182" s="120"/>
      <c r="Z182" s="120"/>
    </row>
    <row r="183" spans="1:26" ht="22.5" customHeight="1" x14ac:dyDescent="0.3">
      <c r="A183" s="32"/>
      <c r="B183" s="33"/>
      <c r="C183" s="285"/>
      <c r="D183" s="35">
        <v>5</v>
      </c>
      <c r="E183" s="280">
        <v>8000000</v>
      </c>
      <c r="F183" s="280"/>
      <c r="G183" s="280"/>
      <c r="H183" s="289"/>
      <c r="I183" s="280">
        <v>400000</v>
      </c>
      <c r="J183" s="280"/>
      <c r="K183" s="280">
        <v>600000</v>
      </c>
      <c r="L183" s="280"/>
      <c r="M183" s="280"/>
      <c r="N183" s="280"/>
      <c r="O183" s="280"/>
      <c r="P183" s="280">
        <f>E183-I183-K183</f>
        <v>7000000</v>
      </c>
      <c r="Q183" s="280">
        <v>7000000</v>
      </c>
      <c r="R183" s="280"/>
      <c r="S183" s="280">
        <f>Q183</f>
        <v>7000000</v>
      </c>
      <c r="T183" s="280">
        <f>P183-S183</f>
        <v>0</v>
      </c>
      <c r="U183" s="283" t="s">
        <v>453</v>
      </c>
      <c r="V183" s="284">
        <v>42487</v>
      </c>
      <c r="W183" s="120"/>
      <c r="X183" s="120"/>
      <c r="Y183" s="120"/>
      <c r="Z183" s="120"/>
    </row>
    <row r="184" spans="1:26" ht="22.5" customHeight="1" x14ac:dyDescent="0.3">
      <c r="A184" s="32"/>
      <c r="B184" s="783" t="s">
        <v>93</v>
      </c>
      <c r="C184" s="783"/>
      <c r="D184" s="783"/>
      <c r="E184" s="286">
        <f>SUM(E179:E183)</f>
        <v>12284948</v>
      </c>
      <c r="F184" s="286">
        <f>SUM(F165:F176)</f>
        <v>0</v>
      </c>
      <c r="G184" s="286">
        <f t="shared" ref="G184:T184" si="42">SUM(G179:G183)</f>
        <v>0</v>
      </c>
      <c r="H184" s="286">
        <f t="shared" si="42"/>
        <v>0</v>
      </c>
      <c r="I184" s="286">
        <f t="shared" si="42"/>
        <v>796065.25</v>
      </c>
      <c r="J184" s="286">
        <f t="shared" si="42"/>
        <v>0</v>
      </c>
      <c r="K184" s="286">
        <f t="shared" si="42"/>
        <v>921370.95</v>
      </c>
      <c r="L184" s="286">
        <f t="shared" si="42"/>
        <v>382665.5</v>
      </c>
      <c r="M184" s="286">
        <f t="shared" si="42"/>
        <v>0</v>
      </c>
      <c r="N184" s="286">
        <f t="shared" si="42"/>
        <v>0</v>
      </c>
      <c r="O184" s="286">
        <f t="shared" si="42"/>
        <v>0</v>
      </c>
      <c r="P184" s="286">
        <f t="shared" si="42"/>
        <v>10567511.800000001</v>
      </c>
      <c r="Q184" s="286">
        <f t="shared" si="42"/>
        <v>10567511.925000001</v>
      </c>
      <c r="R184" s="286">
        <f t="shared" si="42"/>
        <v>0</v>
      </c>
      <c r="S184" s="286">
        <f t="shared" si="42"/>
        <v>10567511.925000001</v>
      </c>
      <c r="T184" s="286">
        <f t="shared" si="42"/>
        <v>-0.125</v>
      </c>
      <c r="U184" s="295">
        <f>SUM(U176:U176)</f>
        <v>0</v>
      </c>
      <c r="V184" s="286">
        <f>SUM(V176:V176)</f>
        <v>0</v>
      </c>
      <c r="W184" s="120"/>
      <c r="X184" s="120"/>
      <c r="Y184" s="120"/>
      <c r="Z184" s="120"/>
    </row>
    <row r="185" spans="1:26" ht="22.5" customHeight="1" x14ac:dyDescent="0.3">
      <c r="B185" s="145"/>
      <c r="C185" s="145"/>
      <c r="D185" s="145"/>
      <c r="E185" s="297"/>
      <c r="F185" s="297"/>
      <c r="G185" s="297"/>
      <c r="H185" s="298"/>
      <c r="I185" s="287"/>
      <c r="J185" s="287"/>
      <c r="K185" s="287"/>
      <c r="L185" s="297"/>
      <c r="M185" s="297"/>
      <c r="N185" s="297"/>
      <c r="O185" s="297"/>
      <c r="P185" s="297"/>
      <c r="Q185" s="297"/>
      <c r="R185" s="297"/>
      <c r="S185" s="297"/>
      <c r="T185" s="297"/>
      <c r="U185" s="301"/>
      <c r="V185" s="297"/>
      <c r="W185" s="120"/>
      <c r="X185" s="120"/>
      <c r="Y185" s="120"/>
      <c r="Z185" s="120"/>
    </row>
    <row r="186" spans="1:26" ht="22.5" customHeight="1" x14ac:dyDescent="0.3">
      <c r="A186" s="118">
        <v>14</v>
      </c>
      <c r="B186" s="105"/>
      <c r="C186" s="105" t="s">
        <v>372</v>
      </c>
      <c r="D186" s="35"/>
      <c r="E186" s="280"/>
      <c r="F186" s="280"/>
      <c r="G186" s="280"/>
      <c r="H186" s="280"/>
      <c r="I186" s="280"/>
      <c r="J186" s="280"/>
      <c r="K186" s="280"/>
      <c r="L186" s="280"/>
      <c r="M186" s="280"/>
      <c r="N186" s="280"/>
      <c r="O186" s="280"/>
      <c r="P186" s="280"/>
      <c r="Q186" s="280"/>
      <c r="R186" s="280"/>
      <c r="S186" s="280"/>
      <c r="T186" s="280"/>
      <c r="U186" s="275"/>
      <c r="V186" s="290"/>
      <c r="W186" s="120"/>
      <c r="X186" s="120"/>
      <c r="Y186" s="120"/>
      <c r="Z186" s="120"/>
    </row>
    <row r="187" spans="1:26" ht="22.5" customHeight="1" x14ac:dyDescent="0.3">
      <c r="A187" s="32"/>
      <c r="B187" s="33"/>
      <c r="C187" s="285"/>
      <c r="D187" s="35">
        <v>1</v>
      </c>
      <c r="E187" s="280">
        <v>966897</v>
      </c>
      <c r="F187" s="280"/>
      <c r="G187" s="280">
        <v>0</v>
      </c>
      <c r="H187" s="280">
        <v>0</v>
      </c>
      <c r="I187" s="280">
        <f>E187*0.05</f>
        <v>48344.850000000006</v>
      </c>
      <c r="J187" s="280">
        <v>0</v>
      </c>
      <c r="K187" s="280">
        <f>E187*0.075</f>
        <v>72517.274999999994</v>
      </c>
      <c r="L187" s="280">
        <f>E187-I187+J187-K187</f>
        <v>846034.875</v>
      </c>
      <c r="M187" s="280">
        <v>0</v>
      </c>
      <c r="N187" s="280">
        <v>0</v>
      </c>
      <c r="O187" s="280">
        <v>0</v>
      </c>
      <c r="P187" s="280">
        <f>E187-I187-K187</f>
        <v>846034.875</v>
      </c>
      <c r="Q187" s="280">
        <v>700000</v>
      </c>
      <c r="R187" s="280">
        <f>N187-O187</f>
        <v>0</v>
      </c>
      <c r="S187" s="280">
        <v>700000</v>
      </c>
      <c r="T187" s="280">
        <f>P187-S187</f>
        <v>146034.875</v>
      </c>
      <c r="U187" s="283">
        <v>69695139</v>
      </c>
      <c r="V187" s="284">
        <v>42185</v>
      </c>
      <c r="W187" s="120"/>
      <c r="X187" s="120"/>
      <c r="Y187" s="120"/>
      <c r="Z187" s="120"/>
    </row>
    <row r="188" spans="1:26" ht="22.5" customHeight="1" x14ac:dyDescent="0.3">
      <c r="A188" s="32"/>
      <c r="B188" s="33"/>
      <c r="C188" s="285"/>
      <c r="D188" s="35"/>
      <c r="E188" s="280"/>
      <c r="F188" s="280"/>
      <c r="G188" s="280"/>
      <c r="H188" s="289"/>
      <c r="I188" s="280"/>
      <c r="J188" s="280"/>
      <c r="K188" s="280"/>
      <c r="L188" s="280"/>
      <c r="M188" s="280"/>
      <c r="N188" s="280"/>
      <c r="O188" s="280"/>
      <c r="P188" s="280"/>
      <c r="Q188" s="280"/>
      <c r="R188" s="280"/>
      <c r="S188" s="280"/>
      <c r="T188" s="280"/>
      <c r="U188" s="283"/>
      <c r="V188" s="284"/>
      <c r="W188" s="120"/>
      <c r="X188" s="120"/>
      <c r="Y188" s="120"/>
      <c r="Z188" s="120"/>
    </row>
    <row r="189" spans="1:26" ht="22.5" customHeight="1" x14ac:dyDescent="0.3">
      <c r="A189" s="32"/>
      <c r="B189" s="783" t="s">
        <v>93</v>
      </c>
      <c r="C189" s="783"/>
      <c r="D189" s="783"/>
      <c r="E189" s="286">
        <f>SUM(E187)</f>
        <v>966897</v>
      </c>
      <c r="F189" s="286">
        <f>SUM(F176:F184)</f>
        <v>0</v>
      </c>
      <c r="G189" s="286">
        <f>SUM(G184:G186)</f>
        <v>0</v>
      </c>
      <c r="H189" s="289">
        <v>0</v>
      </c>
      <c r="I189" s="286">
        <f>SUM(I187)</f>
        <v>48344.850000000006</v>
      </c>
      <c r="J189" s="286">
        <f>SUM(J184:J184)</f>
        <v>0</v>
      </c>
      <c r="K189" s="286">
        <f>SUM(K187)</f>
        <v>72517.274999999994</v>
      </c>
      <c r="L189" s="286">
        <f>SUM(L184:L184)</f>
        <v>382665.5</v>
      </c>
      <c r="M189" s="286">
        <f>SUM(M184:M184)</f>
        <v>0</v>
      </c>
      <c r="N189" s="286">
        <f>SUM(N184:N184)</f>
        <v>0</v>
      </c>
      <c r="O189" s="286">
        <f>SUM(O184:O184)</f>
        <v>0</v>
      </c>
      <c r="P189" s="286">
        <f>SUM(P187)</f>
        <v>846034.875</v>
      </c>
      <c r="Q189" s="286">
        <f>SUM(Q187)</f>
        <v>700000</v>
      </c>
      <c r="R189" s="286">
        <f>SUM(R184:R184)</f>
        <v>0</v>
      </c>
      <c r="S189" s="286">
        <f>SUM(S187)</f>
        <v>700000</v>
      </c>
      <c r="T189" s="286">
        <f>SUM(T187)</f>
        <v>146034.875</v>
      </c>
      <c r="U189" s="295">
        <f>SUM(U184:U184)</f>
        <v>0</v>
      </c>
      <c r="V189" s="286">
        <f>SUM(V184:V184)</f>
        <v>0</v>
      </c>
      <c r="W189" s="120"/>
      <c r="X189" s="120"/>
      <c r="Y189" s="120"/>
      <c r="Z189" s="120"/>
    </row>
    <row r="190" spans="1:26" ht="22.5" customHeight="1" x14ac:dyDescent="0.3">
      <c r="B190" s="145"/>
      <c r="C190" s="145"/>
      <c r="D190" s="145"/>
      <c r="E190" s="297"/>
      <c r="F190" s="297"/>
      <c r="G190" s="297"/>
      <c r="H190" s="298"/>
      <c r="I190" s="287"/>
      <c r="J190" s="287"/>
      <c r="K190" s="287"/>
      <c r="L190" s="297"/>
      <c r="M190" s="297"/>
      <c r="N190" s="297"/>
      <c r="O190" s="297"/>
      <c r="P190" s="297"/>
      <c r="Q190" s="297"/>
      <c r="R190" s="297"/>
      <c r="S190" s="297"/>
      <c r="T190" s="297"/>
      <c r="U190" s="301"/>
      <c r="V190" s="297"/>
      <c r="W190" s="120"/>
      <c r="X190" s="120"/>
      <c r="Y190" s="120"/>
      <c r="Z190" s="120"/>
    </row>
    <row r="191" spans="1:26" ht="22.5" customHeight="1" x14ac:dyDescent="0.3">
      <c r="A191" s="118">
        <v>15</v>
      </c>
      <c r="B191" s="105"/>
      <c r="C191" s="105" t="s">
        <v>388</v>
      </c>
      <c r="D191" s="35"/>
      <c r="E191" s="280"/>
      <c r="F191" s="280"/>
      <c r="G191" s="280"/>
      <c r="H191" s="280"/>
      <c r="I191" s="280"/>
      <c r="J191" s="280"/>
      <c r="K191" s="280"/>
      <c r="L191" s="280"/>
      <c r="M191" s="280"/>
      <c r="N191" s="280"/>
      <c r="O191" s="280"/>
      <c r="P191" s="280"/>
      <c r="Q191" s="280"/>
      <c r="R191" s="280"/>
      <c r="S191" s="280"/>
      <c r="T191" s="280"/>
      <c r="U191" s="275"/>
      <c r="V191" s="290"/>
      <c r="W191" s="120"/>
      <c r="X191" s="120"/>
      <c r="Y191" s="120"/>
      <c r="Z191" s="120"/>
    </row>
    <row r="192" spans="1:26" ht="22.5" customHeight="1" x14ac:dyDescent="0.3">
      <c r="A192" s="32"/>
      <c r="B192" s="33"/>
      <c r="C192" s="285"/>
      <c r="D192" s="35">
        <v>1</v>
      </c>
      <c r="E192" s="280">
        <v>247536</v>
      </c>
      <c r="F192" s="280"/>
      <c r="G192" s="280">
        <v>0</v>
      </c>
      <c r="H192" s="280">
        <v>0</v>
      </c>
      <c r="I192" s="280">
        <f>E192*0.05</f>
        <v>12376.800000000001</v>
      </c>
      <c r="J192" s="280">
        <v>0</v>
      </c>
      <c r="K192" s="280">
        <f>E192*0.075</f>
        <v>18565.2</v>
      </c>
      <c r="L192" s="280">
        <f>E192-I192+J192-K192</f>
        <v>216594</v>
      </c>
      <c r="M192" s="280">
        <v>0</v>
      </c>
      <c r="N192" s="280">
        <v>0</v>
      </c>
      <c r="O192" s="280">
        <v>0</v>
      </c>
      <c r="P192" s="280">
        <f t="shared" ref="P192:P200" si="43">E192-I192-K192</f>
        <v>216594</v>
      </c>
      <c r="Q192" s="280">
        <v>216594</v>
      </c>
      <c r="R192" s="280">
        <f>N192-O192</f>
        <v>0</v>
      </c>
      <c r="S192" s="280">
        <f t="shared" ref="S192:S200" si="44">Q192</f>
        <v>216594</v>
      </c>
      <c r="T192" s="280">
        <f t="shared" ref="T192:T200" si="45">P192-S192</f>
        <v>0</v>
      </c>
      <c r="U192" s="283" t="s">
        <v>389</v>
      </c>
      <c r="V192" s="284">
        <v>42258</v>
      </c>
      <c r="W192" s="120"/>
      <c r="X192" s="120"/>
      <c r="Y192" s="120"/>
      <c r="Z192" s="120"/>
    </row>
    <row r="193" spans="1:26" ht="22.5" customHeight="1" x14ac:dyDescent="0.3">
      <c r="A193" s="32"/>
      <c r="B193" s="33"/>
      <c r="C193" s="285"/>
      <c r="D193" s="35">
        <v>2</v>
      </c>
      <c r="E193" s="280">
        <v>94178</v>
      </c>
      <c r="F193" s="280"/>
      <c r="G193" s="280"/>
      <c r="H193" s="289"/>
      <c r="I193" s="280">
        <f>E193*0.05</f>
        <v>4708.9000000000005</v>
      </c>
      <c r="J193" s="280">
        <v>0</v>
      </c>
      <c r="K193" s="280">
        <f>E193*0.075</f>
        <v>7063.3499999999995</v>
      </c>
      <c r="L193" s="280">
        <f>E193-I193+J193-K193</f>
        <v>82405.75</v>
      </c>
      <c r="M193" s="280">
        <v>0</v>
      </c>
      <c r="N193" s="280">
        <v>0</v>
      </c>
      <c r="O193" s="280">
        <v>0</v>
      </c>
      <c r="P193" s="280">
        <f t="shared" si="43"/>
        <v>82405.75</v>
      </c>
      <c r="Q193" s="280">
        <v>82405</v>
      </c>
      <c r="R193" s="280">
        <f>N193-O193</f>
        <v>0</v>
      </c>
      <c r="S193" s="280">
        <f t="shared" si="44"/>
        <v>82405</v>
      </c>
      <c r="T193" s="280">
        <f t="shared" si="45"/>
        <v>0.75</v>
      </c>
      <c r="U193" s="283" t="s">
        <v>408</v>
      </c>
      <c r="V193" s="284">
        <v>42286</v>
      </c>
      <c r="W193" s="120"/>
      <c r="X193" s="120"/>
      <c r="Y193" s="120"/>
      <c r="Z193" s="120"/>
    </row>
    <row r="194" spans="1:26" ht="22.5" customHeight="1" x14ac:dyDescent="0.3">
      <c r="A194" s="32"/>
      <c r="B194" s="33"/>
      <c r="C194" s="285"/>
      <c r="D194" s="35">
        <v>3</v>
      </c>
      <c r="E194" s="280">
        <v>57960</v>
      </c>
      <c r="F194" s="280"/>
      <c r="G194" s="280"/>
      <c r="H194" s="289"/>
      <c r="I194" s="280">
        <v>2898</v>
      </c>
      <c r="J194" s="280"/>
      <c r="K194" s="280">
        <v>4347</v>
      </c>
      <c r="L194" s="280"/>
      <c r="M194" s="280"/>
      <c r="N194" s="280"/>
      <c r="O194" s="280"/>
      <c r="P194" s="280">
        <f t="shared" si="43"/>
        <v>50715</v>
      </c>
      <c r="Q194" s="280">
        <v>50715</v>
      </c>
      <c r="R194" s="280"/>
      <c r="S194" s="280">
        <f t="shared" si="44"/>
        <v>50715</v>
      </c>
      <c r="T194" s="280">
        <f t="shared" si="45"/>
        <v>0</v>
      </c>
      <c r="U194" s="283" t="s">
        <v>434</v>
      </c>
      <c r="V194" s="284">
        <v>42340</v>
      </c>
      <c r="W194" s="120"/>
      <c r="X194" s="120"/>
      <c r="Y194" s="120"/>
      <c r="Z194" s="120"/>
    </row>
    <row r="195" spans="1:26" ht="22.5" customHeight="1" x14ac:dyDescent="0.3">
      <c r="A195" s="32"/>
      <c r="B195" s="33"/>
      <c r="C195" s="285"/>
      <c r="D195" s="35">
        <v>4</v>
      </c>
      <c r="E195" s="280">
        <v>57960</v>
      </c>
      <c r="F195" s="280"/>
      <c r="G195" s="280"/>
      <c r="H195" s="289"/>
      <c r="I195" s="280">
        <v>2898</v>
      </c>
      <c r="J195" s="280"/>
      <c r="K195" s="280">
        <v>4347</v>
      </c>
      <c r="L195" s="280"/>
      <c r="M195" s="280"/>
      <c r="N195" s="280"/>
      <c r="O195" s="280"/>
      <c r="P195" s="280">
        <f t="shared" si="43"/>
        <v>50715</v>
      </c>
      <c r="Q195" s="280">
        <v>50715</v>
      </c>
      <c r="R195" s="280"/>
      <c r="S195" s="280">
        <f t="shared" si="44"/>
        <v>50715</v>
      </c>
      <c r="T195" s="280">
        <f t="shared" si="45"/>
        <v>0</v>
      </c>
      <c r="U195" s="283" t="s">
        <v>435</v>
      </c>
      <c r="V195" s="284">
        <v>42352</v>
      </c>
      <c r="W195" s="120"/>
      <c r="X195" s="120"/>
      <c r="Y195" s="120"/>
      <c r="Z195" s="120"/>
    </row>
    <row r="196" spans="1:26" ht="22.5" customHeight="1" x14ac:dyDescent="0.3">
      <c r="A196" s="32"/>
      <c r="B196" s="33"/>
      <c r="C196" s="285"/>
      <c r="D196" s="35">
        <v>5</v>
      </c>
      <c r="E196" s="280">
        <v>217943</v>
      </c>
      <c r="F196" s="280"/>
      <c r="G196" s="280"/>
      <c r="H196" s="289"/>
      <c r="I196" s="280">
        <v>10897</v>
      </c>
      <c r="J196" s="280"/>
      <c r="K196" s="280">
        <v>16345</v>
      </c>
      <c r="L196" s="280"/>
      <c r="M196" s="280"/>
      <c r="N196" s="280"/>
      <c r="O196" s="280"/>
      <c r="P196" s="280">
        <f t="shared" si="43"/>
        <v>190701</v>
      </c>
      <c r="Q196" s="280">
        <v>190701</v>
      </c>
      <c r="R196" s="280"/>
      <c r="S196" s="280">
        <f t="shared" si="44"/>
        <v>190701</v>
      </c>
      <c r="T196" s="280">
        <f t="shared" si="45"/>
        <v>0</v>
      </c>
      <c r="U196" s="283" t="s">
        <v>436</v>
      </c>
      <c r="V196" s="284">
        <v>42374</v>
      </c>
      <c r="W196" s="120"/>
      <c r="X196" s="120"/>
      <c r="Y196" s="120"/>
      <c r="Z196" s="120"/>
    </row>
    <row r="197" spans="1:26" ht="22.5" customHeight="1" x14ac:dyDescent="0.3">
      <c r="A197" s="32"/>
      <c r="B197" s="33"/>
      <c r="C197" s="285"/>
      <c r="D197" s="35">
        <v>6</v>
      </c>
      <c r="E197" s="280">
        <v>3428572</v>
      </c>
      <c r="F197" s="280"/>
      <c r="G197" s="280"/>
      <c r="H197" s="289"/>
      <c r="I197" s="280">
        <v>171429</v>
      </c>
      <c r="J197" s="280"/>
      <c r="K197" s="280">
        <v>257143</v>
      </c>
      <c r="L197" s="280"/>
      <c r="M197" s="280"/>
      <c r="N197" s="280"/>
      <c r="O197" s="280"/>
      <c r="P197" s="280">
        <f t="shared" si="43"/>
        <v>3000000</v>
      </c>
      <c r="Q197" s="280">
        <v>3000000</v>
      </c>
      <c r="R197" s="280"/>
      <c r="S197" s="280">
        <f t="shared" si="44"/>
        <v>3000000</v>
      </c>
      <c r="T197" s="280">
        <f t="shared" si="45"/>
        <v>0</v>
      </c>
      <c r="U197" s="283" t="s">
        <v>437</v>
      </c>
      <c r="V197" s="284">
        <v>42382</v>
      </c>
      <c r="W197" s="120"/>
      <c r="X197" s="120"/>
      <c r="Y197" s="120"/>
      <c r="Z197" s="120"/>
    </row>
    <row r="198" spans="1:26" ht="22.5" customHeight="1" x14ac:dyDescent="0.3">
      <c r="A198" s="32"/>
      <c r="B198" s="33"/>
      <c r="C198" s="285"/>
      <c r="D198" s="35">
        <v>7</v>
      </c>
      <c r="E198" s="280">
        <v>220579</v>
      </c>
      <c r="F198" s="280"/>
      <c r="G198" s="280"/>
      <c r="H198" s="289"/>
      <c r="I198" s="280">
        <v>11029</v>
      </c>
      <c r="J198" s="280"/>
      <c r="K198" s="280">
        <v>16544</v>
      </c>
      <c r="L198" s="280"/>
      <c r="M198" s="280"/>
      <c r="N198" s="280"/>
      <c r="O198" s="280"/>
      <c r="P198" s="280">
        <f t="shared" si="43"/>
        <v>193006</v>
      </c>
      <c r="Q198" s="280">
        <v>193006</v>
      </c>
      <c r="R198" s="280"/>
      <c r="S198" s="280">
        <f t="shared" si="44"/>
        <v>193006</v>
      </c>
      <c r="T198" s="280">
        <f t="shared" si="45"/>
        <v>0</v>
      </c>
      <c r="U198" s="283" t="s">
        <v>438</v>
      </c>
      <c r="V198" s="284">
        <v>42402</v>
      </c>
      <c r="W198" s="120"/>
      <c r="X198" s="120"/>
      <c r="Y198" s="120"/>
      <c r="Z198" s="120"/>
    </row>
    <row r="199" spans="1:26" ht="22.5" customHeight="1" x14ac:dyDescent="0.3">
      <c r="A199" s="32"/>
      <c r="B199" s="33"/>
      <c r="C199" s="285"/>
      <c r="D199" s="35">
        <v>8</v>
      </c>
      <c r="E199" s="280">
        <v>134985</v>
      </c>
      <c r="F199" s="280"/>
      <c r="G199" s="280"/>
      <c r="H199" s="289"/>
      <c r="I199" s="280">
        <v>6749</v>
      </c>
      <c r="J199" s="280"/>
      <c r="K199" s="280">
        <v>10124</v>
      </c>
      <c r="L199" s="280"/>
      <c r="M199" s="280"/>
      <c r="N199" s="280"/>
      <c r="O199" s="280"/>
      <c r="P199" s="280">
        <f t="shared" si="43"/>
        <v>118112</v>
      </c>
      <c r="Q199" s="280">
        <v>118112</v>
      </c>
      <c r="R199" s="280"/>
      <c r="S199" s="280">
        <f t="shared" si="44"/>
        <v>118112</v>
      </c>
      <c r="T199" s="280">
        <f t="shared" si="45"/>
        <v>0</v>
      </c>
      <c r="U199" s="283" t="s">
        <v>439</v>
      </c>
      <c r="V199" s="284">
        <v>42423</v>
      </c>
      <c r="W199" s="120"/>
      <c r="X199" s="120"/>
      <c r="Y199" s="120"/>
      <c r="Z199" s="120"/>
    </row>
    <row r="200" spans="1:26" ht="22.5" customHeight="1" x14ac:dyDescent="0.3">
      <c r="A200" s="32"/>
      <c r="B200" s="33"/>
      <c r="C200" s="285"/>
      <c r="D200" s="35">
        <v>9</v>
      </c>
      <c r="E200" s="280">
        <v>82266</v>
      </c>
      <c r="F200" s="280"/>
      <c r="G200" s="280"/>
      <c r="H200" s="289"/>
      <c r="I200" s="280">
        <v>4113</v>
      </c>
      <c r="J200" s="280"/>
      <c r="K200" s="280">
        <v>6170</v>
      </c>
      <c r="L200" s="280"/>
      <c r="M200" s="280"/>
      <c r="N200" s="280"/>
      <c r="O200" s="280"/>
      <c r="P200" s="280">
        <f t="shared" si="43"/>
        <v>71983</v>
      </c>
      <c r="Q200" s="280">
        <v>71983</v>
      </c>
      <c r="R200" s="280"/>
      <c r="S200" s="280">
        <f t="shared" si="44"/>
        <v>71983</v>
      </c>
      <c r="T200" s="280">
        <f t="shared" si="45"/>
        <v>0</v>
      </c>
      <c r="U200" s="283" t="s">
        <v>454</v>
      </c>
      <c r="V200" s="284">
        <v>42474</v>
      </c>
      <c r="W200" s="120"/>
      <c r="X200" s="120"/>
      <c r="Y200" s="120"/>
      <c r="Z200" s="120"/>
    </row>
    <row r="201" spans="1:26" ht="22.5" customHeight="1" x14ac:dyDescent="0.3">
      <c r="A201" s="32"/>
      <c r="B201" s="783" t="s">
        <v>93</v>
      </c>
      <c r="C201" s="783"/>
      <c r="D201" s="783"/>
      <c r="E201" s="286">
        <f>SUM(E192:E200)</f>
        <v>4541979</v>
      </c>
      <c r="F201" s="286">
        <f>SUM(F181:F189)</f>
        <v>0</v>
      </c>
      <c r="G201" s="286">
        <f t="shared" ref="G201:T201" si="46">SUM(G192:G200)</f>
        <v>0</v>
      </c>
      <c r="H201" s="286">
        <f t="shared" si="46"/>
        <v>0</v>
      </c>
      <c r="I201" s="286">
        <f t="shared" si="46"/>
        <v>227098.7</v>
      </c>
      <c r="J201" s="286">
        <f t="shared" si="46"/>
        <v>0</v>
      </c>
      <c r="K201" s="286">
        <f t="shared" si="46"/>
        <v>340648.55</v>
      </c>
      <c r="L201" s="286">
        <f t="shared" si="46"/>
        <v>298999.75</v>
      </c>
      <c r="M201" s="286">
        <f t="shared" si="46"/>
        <v>0</v>
      </c>
      <c r="N201" s="286">
        <f t="shared" si="46"/>
        <v>0</v>
      </c>
      <c r="O201" s="286">
        <f t="shared" si="46"/>
        <v>0</v>
      </c>
      <c r="P201" s="286">
        <f t="shared" si="46"/>
        <v>3974231.75</v>
      </c>
      <c r="Q201" s="286">
        <f t="shared" si="46"/>
        <v>3974231</v>
      </c>
      <c r="R201" s="286">
        <f t="shared" si="46"/>
        <v>0</v>
      </c>
      <c r="S201" s="286">
        <f t="shared" si="46"/>
        <v>3974231</v>
      </c>
      <c r="T201" s="286">
        <f t="shared" si="46"/>
        <v>0.75</v>
      </c>
      <c r="U201" s="295">
        <f>SUM(U189:U189)</f>
        <v>0</v>
      </c>
      <c r="V201" s="286">
        <f>SUM(V189:V189)</f>
        <v>0</v>
      </c>
      <c r="W201" s="120"/>
      <c r="X201" s="120"/>
      <c r="Y201" s="120"/>
      <c r="Z201" s="120"/>
    </row>
    <row r="202" spans="1:26" ht="22.5" customHeight="1" x14ac:dyDescent="0.3">
      <c r="B202" s="145"/>
      <c r="C202" s="145"/>
      <c r="D202" s="145"/>
      <c r="E202" s="297"/>
      <c r="F202" s="297"/>
      <c r="G202" s="297"/>
      <c r="H202" s="298"/>
      <c r="I202" s="287"/>
      <c r="J202" s="287"/>
      <c r="K202" s="287"/>
      <c r="L202" s="297"/>
      <c r="M202" s="297"/>
      <c r="N202" s="297"/>
      <c r="O202" s="297"/>
      <c r="P202" s="297"/>
      <c r="Q202" s="297"/>
      <c r="R202" s="297"/>
      <c r="S202" s="297"/>
      <c r="T202" s="297"/>
      <c r="U202" s="301"/>
      <c r="V202" s="297"/>
      <c r="W202" s="120"/>
      <c r="X202" s="120"/>
      <c r="Y202" s="120"/>
      <c r="Z202" s="120"/>
    </row>
    <row r="203" spans="1:26" ht="22.5" customHeight="1" x14ac:dyDescent="0.3">
      <c r="A203" s="118">
        <v>16</v>
      </c>
      <c r="B203" s="105"/>
      <c r="C203" s="105" t="s">
        <v>378</v>
      </c>
      <c r="D203" s="35"/>
      <c r="E203" s="280"/>
      <c r="F203" s="280"/>
      <c r="G203" s="280"/>
      <c r="H203" s="280"/>
      <c r="I203" s="280"/>
      <c r="J203" s="280"/>
      <c r="K203" s="280"/>
      <c r="L203" s="280"/>
      <c r="M203" s="280"/>
      <c r="N203" s="280"/>
      <c r="O203" s="280"/>
      <c r="P203" s="280"/>
      <c r="Q203" s="280"/>
      <c r="R203" s="280"/>
      <c r="S203" s="280"/>
      <c r="T203" s="280"/>
      <c r="U203" s="275"/>
      <c r="V203" s="290"/>
      <c r="W203" s="120"/>
      <c r="X203" s="120"/>
      <c r="Y203" s="120"/>
      <c r="Z203" s="120"/>
    </row>
    <row r="204" spans="1:26" ht="22.5" customHeight="1" x14ac:dyDescent="0.3">
      <c r="A204" s="32"/>
      <c r="B204" s="33"/>
      <c r="C204" s="285"/>
      <c r="D204" s="35">
        <v>1</v>
      </c>
      <c r="E204" s="280">
        <v>2430000</v>
      </c>
      <c r="F204" s="280"/>
      <c r="G204" s="280">
        <v>0</v>
      </c>
      <c r="H204" s="280">
        <v>0</v>
      </c>
      <c r="I204" s="280">
        <f>E204*0.05</f>
        <v>121500</v>
      </c>
      <c r="J204" s="280">
        <v>0</v>
      </c>
      <c r="K204" s="280">
        <v>229500</v>
      </c>
      <c r="L204" s="280">
        <f>E204-I204+J204-K204</f>
        <v>2079000</v>
      </c>
      <c r="M204" s="280">
        <v>0</v>
      </c>
      <c r="N204" s="280">
        <v>0</v>
      </c>
      <c r="O204" s="280">
        <v>0</v>
      </c>
      <c r="P204" s="280">
        <f>E204-I204-K204</f>
        <v>2079000</v>
      </c>
      <c r="Q204" s="280">
        <v>2000000</v>
      </c>
      <c r="R204" s="280">
        <f>N204-O204</f>
        <v>0</v>
      </c>
      <c r="S204" s="280">
        <f>Q204</f>
        <v>2000000</v>
      </c>
      <c r="T204" s="280">
        <f>P204-S204</f>
        <v>79000</v>
      </c>
      <c r="U204" s="283"/>
      <c r="V204" s="284"/>
      <c r="W204" s="120"/>
      <c r="X204" s="120"/>
      <c r="Y204" s="120"/>
      <c r="Z204" s="120"/>
    </row>
    <row r="205" spans="1:26" ht="22.5" customHeight="1" x14ac:dyDescent="0.3">
      <c r="A205" s="32"/>
      <c r="B205" s="33"/>
      <c r="C205" s="285"/>
      <c r="D205" s="35">
        <v>2</v>
      </c>
      <c r="E205" s="280">
        <v>810000</v>
      </c>
      <c r="F205" s="280"/>
      <c r="G205" s="280"/>
      <c r="H205" s="289"/>
      <c r="I205" s="280">
        <f>E205*0.05</f>
        <v>40500</v>
      </c>
      <c r="J205" s="280"/>
      <c r="K205" s="280">
        <f>E205*0.075</f>
        <v>60750</v>
      </c>
      <c r="L205" s="280"/>
      <c r="M205" s="280"/>
      <c r="N205" s="280"/>
      <c r="O205" s="280"/>
      <c r="P205" s="280">
        <f>E205-I205-K205</f>
        <v>708750</v>
      </c>
      <c r="Q205" s="280">
        <v>787750</v>
      </c>
      <c r="R205" s="280">
        <f>N205-O205</f>
        <v>0</v>
      </c>
      <c r="S205" s="280">
        <f>Q205</f>
        <v>787750</v>
      </c>
      <c r="T205" s="280">
        <f>P205-S205</f>
        <v>-79000</v>
      </c>
      <c r="U205" s="283" t="s">
        <v>398</v>
      </c>
      <c r="V205" s="284">
        <v>42258</v>
      </c>
      <c r="W205" s="120"/>
      <c r="X205" s="120"/>
      <c r="Y205" s="120"/>
      <c r="Z205" s="120"/>
    </row>
    <row r="206" spans="1:26" ht="22.5" customHeight="1" x14ac:dyDescent="0.3">
      <c r="A206" s="32"/>
      <c r="B206" s="33"/>
      <c r="C206" s="285"/>
      <c r="D206" s="35"/>
      <c r="E206" s="280"/>
      <c r="F206" s="280"/>
      <c r="G206" s="280"/>
      <c r="H206" s="289"/>
      <c r="I206" s="280"/>
      <c r="J206" s="280"/>
      <c r="K206" s="280"/>
      <c r="L206" s="280"/>
      <c r="M206" s="280"/>
      <c r="N206" s="280"/>
      <c r="O206" s="280"/>
      <c r="P206" s="280"/>
      <c r="Q206" s="280"/>
      <c r="R206" s="280"/>
      <c r="S206" s="280"/>
      <c r="T206" s="280"/>
      <c r="U206" s="283"/>
      <c r="V206" s="284"/>
      <c r="W206" s="120"/>
      <c r="X206" s="120"/>
      <c r="Y206" s="120"/>
      <c r="Z206" s="120"/>
    </row>
    <row r="207" spans="1:26" ht="22.5" customHeight="1" x14ac:dyDescent="0.3">
      <c r="A207" s="32"/>
      <c r="B207" s="783" t="s">
        <v>93</v>
      </c>
      <c r="C207" s="783"/>
      <c r="D207" s="783"/>
      <c r="E207" s="286">
        <f>SUM(E204:E206)</f>
        <v>3240000</v>
      </c>
      <c r="F207" s="286">
        <f>SUM(F188:F201)</f>
        <v>0</v>
      </c>
      <c r="G207" s="286">
        <f t="shared" ref="G207:T207" si="47">SUM(G204:G206)</f>
        <v>0</v>
      </c>
      <c r="H207" s="286">
        <f t="shared" si="47"/>
        <v>0</v>
      </c>
      <c r="I207" s="286">
        <f t="shared" si="47"/>
        <v>162000</v>
      </c>
      <c r="J207" s="286">
        <f t="shared" si="47"/>
        <v>0</v>
      </c>
      <c r="K207" s="286">
        <f t="shared" si="47"/>
        <v>290250</v>
      </c>
      <c r="L207" s="286">
        <f t="shared" si="47"/>
        <v>2079000</v>
      </c>
      <c r="M207" s="286">
        <f t="shared" si="47"/>
        <v>0</v>
      </c>
      <c r="N207" s="286">
        <f t="shared" si="47"/>
        <v>0</v>
      </c>
      <c r="O207" s="286">
        <f t="shared" si="47"/>
        <v>0</v>
      </c>
      <c r="P207" s="286">
        <f t="shared" si="47"/>
        <v>2787750</v>
      </c>
      <c r="Q207" s="286">
        <f t="shared" si="47"/>
        <v>2787750</v>
      </c>
      <c r="R207" s="286">
        <f t="shared" si="47"/>
        <v>0</v>
      </c>
      <c r="S207" s="286">
        <f t="shared" si="47"/>
        <v>2787750</v>
      </c>
      <c r="T207" s="286">
        <f t="shared" si="47"/>
        <v>0</v>
      </c>
      <c r="U207" s="295">
        <f>SUM(U201:U201)</f>
        <v>0</v>
      </c>
      <c r="V207" s="286">
        <f>SUM(V201:V201)</f>
        <v>0</v>
      </c>
      <c r="W207" s="120"/>
      <c r="X207" s="120"/>
      <c r="Y207" s="120"/>
      <c r="Z207" s="120"/>
    </row>
    <row r="208" spans="1:26" x14ac:dyDescent="0.3">
      <c r="E208" s="21"/>
      <c r="I208" s="287"/>
      <c r="J208" s="287"/>
      <c r="K208" s="287"/>
      <c r="M208" s="21"/>
      <c r="U208" s="23"/>
    </row>
    <row r="209" spans="1:24" ht="15.6" x14ac:dyDescent="0.3">
      <c r="A209" s="118">
        <v>17</v>
      </c>
      <c r="B209" s="105"/>
      <c r="C209" s="105" t="s">
        <v>379</v>
      </c>
      <c r="D209" s="35"/>
      <c r="E209" s="280"/>
      <c r="F209" s="280"/>
      <c r="G209" s="280"/>
      <c r="H209" s="280"/>
      <c r="I209" s="280"/>
      <c r="J209" s="280"/>
      <c r="K209" s="280"/>
      <c r="L209" s="280"/>
      <c r="M209" s="280"/>
      <c r="N209" s="280"/>
      <c r="O209" s="280"/>
      <c r="P209" s="280"/>
      <c r="Q209" s="280"/>
      <c r="R209" s="280"/>
      <c r="S209" s="280"/>
      <c r="T209" s="280"/>
      <c r="U209" s="275"/>
      <c r="V209" s="290"/>
    </row>
    <row r="210" spans="1:24" x14ac:dyDescent="0.3">
      <c r="A210" s="32"/>
      <c r="B210" s="33"/>
      <c r="C210" s="285"/>
      <c r="D210" s="35">
        <v>1</v>
      </c>
      <c r="E210" s="280">
        <v>2001160</v>
      </c>
      <c r="F210" s="280"/>
      <c r="G210" s="280">
        <v>0</v>
      </c>
      <c r="H210" s="280">
        <v>0</v>
      </c>
      <c r="I210" s="280">
        <f>E210*0.05</f>
        <v>100058</v>
      </c>
      <c r="J210" s="280">
        <v>0</v>
      </c>
      <c r="K210" s="280">
        <f>E210*0.1</f>
        <v>200116</v>
      </c>
      <c r="L210" s="280">
        <f>E210-I210+J210-K210</f>
        <v>1700986</v>
      </c>
      <c r="M210" s="280">
        <v>0</v>
      </c>
      <c r="N210" s="280">
        <v>0</v>
      </c>
      <c r="O210" s="280">
        <v>0</v>
      </c>
      <c r="P210" s="280">
        <f>E210-I210-K210</f>
        <v>1700986</v>
      </c>
      <c r="Q210" s="280">
        <v>1700000</v>
      </c>
      <c r="R210" s="280">
        <f>N210-O210</f>
        <v>0</v>
      </c>
      <c r="S210" s="280">
        <f>Q210</f>
        <v>1700000</v>
      </c>
      <c r="T210" s="280">
        <f>P210-S210</f>
        <v>986</v>
      </c>
      <c r="U210" s="283" t="s">
        <v>399</v>
      </c>
      <c r="V210" s="284">
        <v>42262</v>
      </c>
    </row>
    <row r="211" spans="1:24" x14ac:dyDescent="0.3">
      <c r="A211" s="32"/>
      <c r="B211" s="33"/>
      <c r="C211" s="285"/>
      <c r="D211" s="35">
        <v>2</v>
      </c>
      <c r="E211" s="280">
        <v>1917905</v>
      </c>
      <c r="F211" s="280"/>
      <c r="G211" s="280"/>
      <c r="H211" s="289"/>
      <c r="I211" s="280">
        <v>95895</v>
      </c>
      <c r="J211" s="280">
        <v>-334750</v>
      </c>
      <c r="K211" s="280">
        <v>143843</v>
      </c>
      <c r="L211" s="280"/>
      <c r="M211" s="280"/>
      <c r="N211" s="280"/>
      <c r="O211" s="280"/>
      <c r="P211" s="280">
        <f>E211-I211-K211+J211</f>
        <v>1343417</v>
      </c>
      <c r="Q211" s="280">
        <v>1344403</v>
      </c>
      <c r="R211" s="280"/>
      <c r="S211" s="280">
        <f>Q211</f>
        <v>1344403</v>
      </c>
      <c r="T211" s="280">
        <f>P211-S211</f>
        <v>-986</v>
      </c>
      <c r="U211" s="283" t="s">
        <v>440</v>
      </c>
      <c r="V211" s="284">
        <v>42334</v>
      </c>
    </row>
    <row r="212" spans="1:24" x14ac:dyDescent="0.3">
      <c r="A212" s="32"/>
      <c r="B212" s="33"/>
      <c r="C212" s="285"/>
      <c r="D212" s="35">
        <v>3</v>
      </c>
      <c r="E212" s="280">
        <v>1203521</v>
      </c>
      <c r="F212" s="280"/>
      <c r="G212" s="280"/>
      <c r="H212" s="289"/>
      <c r="I212" s="280">
        <v>60176</v>
      </c>
      <c r="J212" s="280"/>
      <c r="K212" s="280">
        <v>90264</v>
      </c>
      <c r="L212" s="280"/>
      <c r="M212" s="280"/>
      <c r="N212" s="280"/>
      <c r="O212" s="280"/>
      <c r="P212" s="280">
        <f>E212-I212-K212</f>
        <v>1053081</v>
      </c>
      <c r="Q212" s="280">
        <v>1053081</v>
      </c>
      <c r="R212" s="280"/>
      <c r="S212" s="280">
        <f>Q212</f>
        <v>1053081</v>
      </c>
      <c r="T212" s="280">
        <f>P212-S212</f>
        <v>0</v>
      </c>
      <c r="U212" s="283" t="s">
        <v>441</v>
      </c>
      <c r="V212" s="284">
        <v>42403</v>
      </c>
    </row>
    <row r="213" spans="1:24" x14ac:dyDescent="0.3">
      <c r="A213" s="32"/>
      <c r="B213" s="33"/>
      <c r="C213" s="285"/>
      <c r="D213" s="35"/>
      <c r="E213" s="280"/>
      <c r="F213" s="280"/>
      <c r="G213" s="280"/>
      <c r="H213" s="289"/>
      <c r="I213" s="280"/>
      <c r="J213" s="280"/>
      <c r="K213" s="280"/>
      <c r="L213" s="280"/>
      <c r="M213" s="280"/>
      <c r="N213" s="280"/>
      <c r="O213" s="280"/>
      <c r="P213" s="280"/>
      <c r="Q213" s="280"/>
      <c r="R213" s="280"/>
      <c r="S213" s="280"/>
      <c r="T213" s="280"/>
      <c r="U213" s="283"/>
      <c r="V213" s="284"/>
    </row>
    <row r="214" spans="1:24" x14ac:dyDescent="0.3">
      <c r="A214" s="32"/>
      <c r="B214" s="783" t="s">
        <v>93</v>
      </c>
      <c r="C214" s="783"/>
      <c r="D214" s="783"/>
      <c r="E214" s="286">
        <f>SUM(E210:E212)</f>
        <v>5122586</v>
      </c>
      <c r="F214" s="286">
        <f>SUM(F201:F207)</f>
        <v>0</v>
      </c>
      <c r="G214" s="286">
        <f t="shared" ref="G214:T214" si="48">SUM(G210:G212)</f>
        <v>0</v>
      </c>
      <c r="H214" s="286">
        <f t="shared" si="48"/>
        <v>0</v>
      </c>
      <c r="I214" s="286">
        <f t="shared" si="48"/>
        <v>256129</v>
      </c>
      <c r="J214" s="286">
        <f t="shared" si="48"/>
        <v>-334750</v>
      </c>
      <c r="K214" s="286">
        <f t="shared" si="48"/>
        <v>434223</v>
      </c>
      <c r="L214" s="286">
        <f t="shared" si="48"/>
        <v>1700986</v>
      </c>
      <c r="M214" s="286">
        <f t="shared" si="48"/>
        <v>0</v>
      </c>
      <c r="N214" s="286">
        <f t="shared" si="48"/>
        <v>0</v>
      </c>
      <c r="O214" s="286">
        <f t="shared" si="48"/>
        <v>0</v>
      </c>
      <c r="P214" s="286">
        <f t="shared" si="48"/>
        <v>4097484</v>
      </c>
      <c r="Q214" s="286">
        <f t="shared" si="48"/>
        <v>4097484</v>
      </c>
      <c r="R214" s="286">
        <f t="shared" si="48"/>
        <v>0</v>
      </c>
      <c r="S214" s="286">
        <f t="shared" si="48"/>
        <v>4097484</v>
      </c>
      <c r="T214" s="286">
        <f t="shared" si="48"/>
        <v>0</v>
      </c>
      <c r="U214" s="295">
        <f>SUM(U207:U207)</f>
        <v>0</v>
      </c>
      <c r="V214" s="286">
        <f>SUM(V207:V207)</f>
        <v>0</v>
      </c>
      <c r="W214" s="120"/>
      <c r="X214" s="120"/>
    </row>
    <row r="215" spans="1:24" x14ac:dyDescent="0.3">
      <c r="E215" s="21"/>
      <c r="I215" s="287"/>
      <c r="J215" s="287"/>
      <c r="K215" s="287"/>
      <c r="M215" s="21"/>
      <c r="U215" s="23"/>
    </row>
    <row r="216" spans="1:24" ht="15.6" x14ac:dyDescent="0.3">
      <c r="A216" s="118">
        <v>18</v>
      </c>
      <c r="B216" s="105"/>
      <c r="C216" s="105" t="s">
        <v>380</v>
      </c>
      <c r="D216" s="35"/>
      <c r="E216" s="280"/>
      <c r="F216" s="280"/>
      <c r="G216" s="280"/>
      <c r="H216" s="280"/>
      <c r="I216" s="280"/>
      <c r="J216" s="280"/>
      <c r="K216" s="280"/>
      <c r="L216" s="280"/>
      <c r="M216" s="280"/>
      <c r="N216" s="280"/>
      <c r="O216" s="280"/>
      <c r="P216" s="280"/>
      <c r="Q216" s="280"/>
      <c r="R216" s="280"/>
      <c r="S216" s="280"/>
      <c r="T216" s="280"/>
      <c r="U216" s="275"/>
      <c r="V216" s="290"/>
    </row>
    <row r="217" spans="1:24" x14ac:dyDescent="0.3">
      <c r="A217" s="32"/>
      <c r="B217" s="33"/>
      <c r="C217" s="285"/>
      <c r="D217" s="35">
        <v>1</v>
      </c>
      <c r="E217" s="280">
        <v>4984832</v>
      </c>
      <c r="F217" s="280"/>
      <c r="G217" s="280">
        <v>0</v>
      </c>
      <c r="H217" s="280">
        <v>0</v>
      </c>
      <c r="I217" s="280">
        <f>E217*0.05</f>
        <v>249241.60000000001</v>
      </c>
      <c r="J217" s="280">
        <v>0</v>
      </c>
      <c r="K217" s="280">
        <f>E217*0.075</f>
        <v>373862.39999999997</v>
      </c>
      <c r="L217" s="280">
        <f>E217-I217+J217-K217</f>
        <v>4361728</v>
      </c>
      <c r="M217" s="280">
        <v>0</v>
      </c>
      <c r="N217" s="280">
        <v>0</v>
      </c>
      <c r="O217" s="280">
        <v>0</v>
      </c>
      <c r="P217" s="280">
        <f>E217-I217-K217</f>
        <v>4361728</v>
      </c>
      <c r="Q217" s="280">
        <v>2500000</v>
      </c>
      <c r="R217" s="280">
        <f>N217-O217</f>
        <v>0</v>
      </c>
      <c r="S217" s="280">
        <f>Q217</f>
        <v>2500000</v>
      </c>
      <c r="T217" s="280">
        <f t="shared" ref="T217:T224" si="49">P217-S217</f>
        <v>1861728</v>
      </c>
      <c r="U217" s="283" t="s">
        <v>404</v>
      </c>
      <c r="V217" s="284">
        <v>42269</v>
      </c>
    </row>
    <row r="218" spans="1:24" x14ac:dyDescent="0.3">
      <c r="A218" s="32"/>
      <c r="B218" s="33"/>
      <c r="C218" s="285"/>
      <c r="D218" s="35"/>
      <c r="E218" s="280"/>
      <c r="F218" s="280"/>
      <c r="G218" s="280"/>
      <c r="H218" s="289"/>
      <c r="I218" s="280"/>
      <c r="J218" s="280"/>
      <c r="K218" s="280"/>
      <c r="L218" s="280"/>
      <c r="M218" s="280"/>
      <c r="N218" s="280"/>
      <c r="O218" s="280"/>
      <c r="P218" s="280"/>
      <c r="Q218" s="280">
        <v>1500000</v>
      </c>
      <c r="R218" s="280"/>
      <c r="S218" s="280">
        <v>1500000</v>
      </c>
      <c r="T218" s="280">
        <f t="shared" si="49"/>
        <v>-1500000</v>
      </c>
      <c r="U218" s="283" t="s">
        <v>404</v>
      </c>
      <c r="V218" s="284">
        <v>42286</v>
      </c>
    </row>
    <row r="219" spans="1:24" x14ac:dyDescent="0.3">
      <c r="A219" s="32"/>
      <c r="B219" s="33"/>
      <c r="C219" s="285"/>
      <c r="D219" s="35"/>
      <c r="E219" s="280"/>
      <c r="F219" s="280"/>
      <c r="G219" s="280"/>
      <c r="H219" s="289"/>
      <c r="I219" s="280"/>
      <c r="J219" s="280"/>
      <c r="K219" s="280"/>
      <c r="L219" s="280"/>
      <c r="M219" s="280"/>
      <c r="N219" s="280"/>
      <c r="O219" s="280"/>
      <c r="P219" s="280"/>
      <c r="Q219" s="280">
        <v>361728</v>
      </c>
      <c r="R219" s="280"/>
      <c r="S219" s="280">
        <v>361728</v>
      </c>
      <c r="T219" s="280">
        <f t="shared" si="49"/>
        <v>-361728</v>
      </c>
      <c r="U219" s="283"/>
      <c r="V219" s="284"/>
    </row>
    <row r="220" spans="1:24" x14ac:dyDescent="0.3">
      <c r="A220" s="32"/>
      <c r="B220" s="33"/>
      <c r="C220" s="285"/>
      <c r="D220" s="35">
        <v>2</v>
      </c>
      <c r="E220" s="280">
        <v>1357808</v>
      </c>
      <c r="F220" s="280"/>
      <c r="G220" s="280"/>
      <c r="H220" s="289"/>
      <c r="I220" s="280">
        <f>E220*0.05</f>
        <v>67890.400000000009</v>
      </c>
      <c r="J220" s="280">
        <v>0</v>
      </c>
      <c r="K220" s="280">
        <f>E220*0.075</f>
        <v>101835.59999999999</v>
      </c>
      <c r="L220" s="280">
        <f>E220-I220+J220-K220</f>
        <v>1188082</v>
      </c>
      <c r="M220" s="280">
        <v>0</v>
      </c>
      <c r="N220" s="280">
        <v>0</v>
      </c>
      <c r="O220" s="280">
        <v>0</v>
      </c>
      <c r="P220" s="280">
        <f t="shared" ref="P220:P226" si="50">E220-I220-K220</f>
        <v>1188082</v>
      </c>
      <c r="Q220" s="280">
        <v>1100000</v>
      </c>
      <c r="R220" s="280"/>
      <c r="S220" s="280">
        <f t="shared" ref="S220:S226" si="51">Q220</f>
        <v>1100000</v>
      </c>
      <c r="T220" s="280">
        <f t="shared" si="49"/>
        <v>88082</v>
      </c>
      <c r="U220" s="283" t="s">
        <v>411</v>
      </c>
      <c r="V220" s="284">
        <v>42313</v>
      </c>
    </row>
    <row r="221" spans="1:24" x14ac:dyDescent="0.3">
      <c r="A221" s="32"/>
      <c r="B221" s="33"/>
      <c r="C221" s="285"/>
      <c r="D221" s="35">
        <v>3</v>
      </c>
      <c r="E221" s="280">
        <v>3465464</v>
      </c>
      <c r="F221" s="280"/>
      <c r="G221" s="280"/>
      <c r="H221" s="289"/>
      <c r="I221" s="280">
        <f>E221*0.05</f>
        <v>173273.2</v>
      </c>
      <c r="J221" s="280">
        <v>0</v>
      </c>
      <c r="K221" s="280">
        <f>E221*0.075</f>
        <v>259909.8</v>
      </c>
      <c r="L221" s="280">
        <f>E221-I221+J221-K221</f>
        <v>3032281</v>
      </c>
      <c r="M221" s="280">
        <v>0</v>
      </c>
      <c r="N221" s="280">
        <v>0</v>
      </c>
      <c r="O221" s="280">
        <v>0</v>
      </c>
      <c r="P221" s="280">
        <f t="shared" si="50"/>
        <v>3032281</v>
      </c>
      <c r="Q221" s="280">
        <v>2000000</v>
      </c>
      <c r="R221" s="280"/>
      <c r="S221" s="280">
        <f t="shared" si="51"/>
        <v>2000000</v>
      </c>
      <c r="T221" s="280">
        <f t="shared" si="49"/>
        <v>1032281</v>
      </c>
      <c r="U221" s="283"/>
      <c r="V221" s="284">
        <v>42331</v>
      </c>
    </row>
    <row r="222" spans="1:24" x14ac:dyDescent="0.3">
      <c r="A222" s="32"/>
      <c r="B222" s="33"/>
      <c r="C222" s="285"/>
      <c r="D222" s="35"/>
      <c r="E222" s="280"/>
      <c r="F222" s="280"/>
      <c r="G222" s="280"/>
      <c r="H222" s="289"/>
      <c r="I222" s="280"/>
      <c r="J222" s="280"/>
      <c r="K222" s="280"/>
      <c r="L222" s="280"/>
      <c r="M222" s="280"/>
      <c r="N222" s="280"/>
      <c r="O222" s="280"/>
      <c r="P222" s="280">
        <f t="shared" si="50"/>
        <v>0</v>
      </c>
      <c r="Q222" s="280">
        <v>1070363</v>
      </c>
      <c r="R222" s="280"/>
      <c r="S222" s="280">
        <f t="shared" si="51"/>
        <v>1070363</v>
      </c>
      <c r="T222" s="280">
        <f t="shared" si="49"/>
        <v>-1070363</v>
      </c>
      <c r="U222" s="283" t="s">
        <v>442</v>
      </c>
      <c r="V222" s="284">
        <v>42341</v>
      </c>
    </row>
    <row r="223" spans="1:24" x14ac:dyDescent="0.3">
      <c r="A223" s="32"/>
      <c r="B223" s="33"/>
      <c r="C223" s="285"/>
      <c r="D223" s="35">
        <v>4</v>
      </c>
      <c r="E223" s="280">
        <v>3030303</v>
      </c>
      <c r="F223" s="280"/>
      <c r="G223" s="280"/>
      <c r="H223" s="289"/>
      <c r="I223" s="280">
        <v>303030</v>
      </c>
      <c r="J223" s="280"/>
      <c r="K223" s="280">
        <v>227273</v>
      </c>
      <c r="L223" s="280"/>
      <c r="M223" s="280"/>
      <c r="N223" s="280"/>
      <c r="O223" s="280"/>
      <c r="P223" s="280">
        <f t="shared" si="50"/>
        <v>2500000</v>
      </c>
      <c r="Q223" s="280">
        <v>2500000</v>
      </c>
      <c r="R223" s="280"/>
      <c r="S223" s="280">
        <f t="shared" si="51"/>
        <v>2500000</v>
      </c>
      <c r="T223" s="280">
        <f t="shared" si="49"/>
        <v>0</v>
      </c>
      <c r="U223" s="283" t="s">
        <v>443</v>
      </c>
      <c r="V223" s="284">
        <v>42419</v>
      </c>
    </row>
    <row r="224" spans="1:24" x14ac:dyDescent="0.3">
      <c r="A224" s="32"/>
      <c r="B224" s="33"/>
      <c r="C224" s="285"/>
      <c r="D224" s="35"/>
      <c r="E224" s="280"/>
      <c r="F224" s="280"/>
      <c r="G224" s="280"/>
      <c r="H224" s="289"/>
      <c r="I224" s="280"/>
      <c r="J224" s="280"/>
      <c r="K224" s="280"/>
      <c r="L224" s="280"/>
      <c r="M224" s="280"/>
      <c r="N224" s="280"/>
      <c r="O224" s="280"/>
      <c r="P224" s="280">
        <f t="shared" si="50"/>
        <v>0</v>
      </c>
      <c r="Q224" s="280">
        <v>50000</v>
      </c>
      <c r="R224" s="280"/>
      <c r="S224" s="280">
        <f t="shared" si="51"/>
        <v>50000</v>
      </c>
      <c r="T224" s="280">
        <f t="shared" si="49"/>
        <v>-50000</v>
      </c>
      <c r="U224" s="283" t="s">
        <v>444</v>
      </c>
      <c r="V224" s="284">
        <v>42426</v>
      </c>
    </row>
    <row r="225" spans="1:24" x14ac:dyDescent="0.3">
      <c r="A225" s="32"/>
      <c r="B225" s="33"/>
      <c r="C225" s="285"/>
      <c r="D225" s="35">
        <v>5</v>
      </c>
      <c r="E225" s="280">
        <v>1142857</v>
      </c>
      <c r="F225" s="280"/>
      <c r="G225" s="280"/>
      <c r="H225" s="289"/>
      <c r="I225" s="280">
        <v>57143</v>
      </c>
      <c r="J225" s="280"/>
      <c r="K225" s="280">
        <v>85714</v>
      </c>
      <c r="L225" s="280"/>
      <c r="M225" s="280"/>
      <c r="N225" s="280"/>
      <c r="O225" s="280"/>
      <c r="P225" s="280">
        <f t="shared" si="50"/>
        <v>1000000</v>
      </c>
      <c r="Q225" s="280">
        <v>1000000</v>
      </c>
      <c r="R225" s="280"/>
      <c r="S225" s="280">
        <f t="shared" si="51"/>
        <v>1000000</v>
      </c>
      <c r="T225" s="280">
        <f>P225-S225</f>
        <v>0</v>
      </c>
      <c r="U225" s="283" t="s">
        <v>455</v>
      </c>
      <c r="V225" s="284">
        <v>42480</v>
      </c>
    </row>
    <row r="226" spans="1:24" x14ac:dyDescent="0.3">
      <c r="A226" s="32"/>
      <c r="B226" s="33"/>
      <c r="C226" s="285"/>
      <c r="D226" s="35">
        <v>6</v>
      </c>
      <c r="E226" s="280">
        <v>3428572</v>
      </c>
      <c r="F226" s="280"/>
      <c r="G226" s="280"/>
      <c r="H226" s="289"/>
      <c r="I226" s="280">
        <v>171429</v>
      </c>
      <c r="J226" s="280"/>
      <c r="K226" s="280">
        <v>257143</v>
      </c>
      <c r="L226" s="280"/>
      <c r="M226" s="280"/>
      <c r="N226" s="280"/>
      <c r="O226" s="280"/>
      <c r="P226" s="280">
        <f t="shared" si="50"/>
        <v>3000000</v>
      </c>
      <c r="Q226" s="280">
        <v>3000000</v>
      </c>
      <c r="R226" s="280"/>
      <c r="S226" s="280">
        <f t="shared" si="51"/>
        <v>3000000</v>
      </c>
      <c r="T226" s="280">
        <f>P226-S226</f>
        <v>0</v>
      </c>
      <c r="U226" s="283" t="s">
        <v>456</v>
      </c>
      <c r="V226" s="284">
        <v>42485</v>
      </c>
    </row>
    <row r="227" spans="1:24" x14ac:dyDescent="0.3">
      <c r="A227" s="32"/>
      <c r="B227" s="783" t="s">
        <v>93</v>
      </c>
      <c r="C227" s="783"/>
      <c r="D227" s="783"/>
      <c r="E227" s="286">
        <f>SUM(E217:E226)</f>
        <v>17409836</v>
      </c>
      <c r="F227" s="286">
        <f>SUM(F206:F214)</f>
        <v>0</v>
      </c>
      <c r="G227" s="286">
        <f t="shared" ref="G227:T227" si="52">SUM(G217:G226)</f>
        <v>0</v>
      </c>
      <c r="H227" s="286">
        <f t="shared" si="52"/>
        <v>0</v>
      </c>
      <c r="I227" s="286">
        <f t="shared" si="52"/>
        <v>1022007.2</v>
      </c>
      <c r="J227" s="286">
        <f t="shared" si="52"/>
        <v>0</v>
      </c>
      <c r="K227" s="286">
        <f t="shared" si="52"/>
        <v>1305737.7999999998</v>
      </c>
      <c r="L227" s="286">
        <f t="shared" si="52"/>
        <v>8582091</v>
      </c>
      <c r="M227" s="286">
        <f t="shared" si="52"/>
        <v>0</v>
      </c>
      <c r="N227" s="286">
        <f t="shared" si="52"/>
        <v>0</v>
      </c>
      <c r="O227" s="286">
        <f t="shared" si="52"/>
        <v>0</v>
      </c>
      <c r="P227" s="286">
        <f t="shared" si="52"/>
        <v>15082091</v>
      </c>
      <c r="Q227" s="286">
        <f t="shared" si="52"/>
        <v>15082091</v>
      </c>
      <c r="R227" s="286">
        <f t="shared" si="52"/>
        <v>0</v>
      </c>
      <c r="S227" s="286">
        <f t="shared" si="52"/>
        <v>15082091</v>
      </c>
      <c r="T227" s="286">
        <f t="shared" si="52"/>
        <v>0</v>
      </c>
      <c r="U227" s="295">
        <f>SUM(U214:U214)</f>
        <v>0</v>
      </c>
      <c r="V227" s="286">
        <f>SUM(V214:V214)</f>
        <v>0</v>
      </c>
      <c r="W227" s="120"/>
      <c r="X227" s="120"/>
    </row>
    <row r="228" spans="1:24" x14ac:dyDescent="0.3">
      <c r="B228" s="145"/>
      <c r="C228" s="145"/>
      <c r="D228" s="145"/>
      <c r="E228" s="297"/>
      <c r="F228" s="297"/>
      <c r="G228" s="297"/>
      <c r="H228" s="298"/>
      <c r="I228" s="287"/>
      <c r="J228" s="287"/>
      <c r="K228" s="287"/>
      <c r="L228" s="297"/>
      <c r="M228" s="297"/>
      <c r="N228" s="297"/>
      <c r="O228" s="297"/>
      <c r="P228" s="297"/>
      <c r="Q228" s="297"/>
      <c r="R228" s="297"/>
      <c r="S228" s="297"/>
      <c r="T228" s="297"/>
      <c r="U228" s="301"/>
      <c r="V228" s="297"/>
    </row>
    <row r="229" spans="1:24" ht="15.6" x14ac:dyDescent="0.3">
      <c r="A229" s="118">
        <v>19</v>
      </c>
      <c r="B229" s="105"/>
      <c r="C229" s="105" t="s">
        <v>410</v>
      </c>
      <c r="D229" s="35"/>
      <c r="E229" s="280"/>
      <c r="F229" s="280"/>
      <c r="G229" s="280"/>
      <c r="H229" s="280"/>
      <c r="I229" s="280"/>
      <c r="J229" s="280"/>
      <c r="K229" s="280"/>
      <c r="L229" s="280"/>
      <c r="M229" s="280"/>
      <c r="N229" s="280"/>
      <c r="O229" s="280"/>
      <c r="P229" s="280"/>
      <c r="Q229" s="280"/>
      <c r="R229" s="280"/>
      <c r="S229" s="280"/>
      <c r="T229" s="280"/>
      <c r="U229" s="275"/>
      <c r="V229" s="290"/>
    </row>
    <row r="230" spans="1:24" x14ac:dyDescent="0.3">
      <c r="A230" s="32"/>
      <c r="B230" s="33"/>
      <c r="C230" s="285"/>
      <c r="D230" s="35">
        <v>1</v>
      </c>
      <c r="E230" s="280">
        <v>4571428</v>
      </c>
      <c r="F230" s="280"/>
      <c r="G230" s="280">
        <v>0</v>
      </c>
      <c r="H230" s="280">
        <v>0</v>
      </c>
      <c r="I230" s="280">
        <f>E230*0.05</f>
        <v>228571.40000000002</v>
      </c>
      <c r="J230" s="280">
        <v>0</v>
      </c>
      <c r="K230" s="280">
        <f>E230*0.075</f>
        <v>342857.1</v>
      </c>
      <c r="L230" s="280">
        <f>E230-I230+J230-K230</f>
        <v>3999999.4999999995</v>
      </c>
      <c r="M230" s="280">
        <v>0</v>
      </c>
      <c r="N230" s="280">
        <v>0</v>
      </c>
      <c r="O230" s="280">
        <v>0</v>
      </c>
      <c r="P230" s="280">
        <f t="shared" ref="P230:P235" si="53">E230-I230-K230</f>
        <v>3999999.4999999995</v>
      </c>
      <c r="Q230" s="280">
        <v>4000000</v>
      </c>
      <c r="R230" s="280">
        <f>N230-O230</f>
        <v>0</v>
      </c>
      <c r="S230" s="280">
        <f t="shared" ref="S230:S235" si="54">Q230</f>
        <v>4000000</v>
      </c>
      <c r="T230" s="280">
        <f t="shared" ref="T230:T235" si="55">P230-S230</f>
        <v>-0.50000000046566129</v>
      </c>
      <c r="U230" s="283" t="s">
        <v>409</v>
      </c>
      <c r="V230" s="284">
        <v>42291</v>
      </c>
    </row>
    <row r="231" spans="1:24" x14ac:dyDescent="0.3">
      <c r="A231" s="32"/>
      <c r="B231" s="33"/>
      <c r="C231" s="285"/>
      <c r="D231" s="35">
        <v>2</v>
      </c>
      <c r="E231" s="280">
        <v>4484849</v>
      </c>
      <c r="F231" s="280"/>
      <c r="G231" s="280"/>
      <c r="H231" s="289"/>
      <c r="I231" s="280">
        <v>448485</v>
      </c>
      <c r="J231" s="280"/>
      <c r="K231" s="280">
        <v>336364</v>
      </c>
      <c r="L231" s="280"/>
      <c r="M231" s="280"/>
      <c r="N231" s="280"/>
      <c r="O231" s="280"/>
      <c r="P231" s="280">
        <f t="shared" si="53"/>
        <v>3700000</v>
      </c>
      <c r="Q231" s="280">
        <v>2000000</v>
      </c>
      <c r="R231" s="280"/>
      <c r="S231" s="280">
        <f t="shared" si="54"/>
        <v>2000000</v>
      </c>
      <c r="T231" s="280">
        <f t="shared" si="55"/>
        <v>1700000</v>
      </c>
      <c r="U231" s="283" t="s">
        <v>445</v>
      </c>
      <c r="V231" s="284">
        <v>42348</v>
      </c>
    </row>
    <row r="232" spans="1:24" x14ac:dyDescent="0.3">
      <c r="A232" s="32"/>
      <c r="B232" s="33"/>
      <c r="C232" s="285"/>
      <c r="D232" s="35"/>
      <c r="E232" s="280"/>
      <c r="F232" s="280"/>
      <c r="G232" s="280"/>
      <c r="H232" s="289"/>
      <c r="I232" s="280"/>
      <c r="J232" s="280"/>
      <c r="K232" s="280"/>
      <c r="L232" s="280"/>
      <c r="M232" s="280"/>
      <c r="N232" s="280"/>
      <c r="O232" s="280"/>
      <c r="P232" s="280">
        <f t="shared" si="53"/>
        <v>0</v>
      </c>
      <c r="Q232" s="280">
        <v>1700000</v>
      </c>
      <c r="R232" s="280"/>
      <c r="S232" s="280">
        <f t="shared" si="54"/>
        <v>1700000</v>
      </c>
      <c r="T232" s="280">
        <f t="shared" si="55"/>
        <v>-1700000</v>
      </c>
      <c r="U232" s="283" t="s">
        <v>446</v>
      </c>
      <c r="V232" s="284">
        <v>42356</v>
      </c>
    </row>
    <row r="233" spans="1:24" x14ac:dyDescent="0.3">
      <c r="A233" s="32"/>
      <c r="B233" s="33"/>
      <c r="C233" s="285"/>
      <c r="D233" s="35">
        <v>3</v>
      </c>
      <c r="E233" s="280">
        <v>4228572</v>
      </c>
      <c r="F233" s="280"/>
      <c r="G233" s="280"/>
      <c r="H233" s="289"/>
      <c r="I233" s="280">
        <v>211429</v>
      </c>
      <c r="J233" s="280"/>
      <c r="K233" s="280">
        <v>317143</v>
      </c>
      <c r="L233" s="280"/>
      <c r="M233" s="280"/>
      <c r="N233" s="280"/>
      <c r="O233" s="280"/>
      <c r="P233" s="280">
        <f t="shared" si="53"/>
        <v>3700000</v>
      </c>
      <c r="Q233" s="280">
        <v>3700000</v>
      </c>
      <c r="R233" s="280"/>
      <c r="S233" s="280">
        <f t="shared" si="54"/>
        <v>3700000</v>
      </c>
      <c r="T233" s="280">
        <f t="shared" si="55"/>
        <v>0</v>
      </c>
      <c r="U233" s="283" t="s">
        <v>447</v>
      </c>
      <c r="V233" s="284">
        <v>42382</v>
      </c>
    </row>
    <row r="234" spans="1:24" x14ac:dyDescent="0.3">
      <c r="A234" s="32"/>
      <c r="B234" s="33"/>
      <c r="C234" s="285"/>
      <c r="D234" s="35">
        <v>4</v>
      </c>
      <c r="E234" s="280">
        <v>1585715</v>
      </c>
      <c r="F234" s="280"/>
      <c r="G234" s="280"/>
      <c r="H234" s="289"/>
      <c r="I234" s="280">
        <v>79286</v>
      </c>
      <c r="J234" s="280"/>
      <c r="K234" s="280">
        <v>118929</v>
      </c>
      <c r="L234" s="280"/>
      <c r="M234" s="280"/>
      <c r="N234" s="280"/>
      <c r="O234" s="280"/>
      <c r="P234" s="280">
        <f t="shared" si="53"/>
        <v>1387500</v>
      </c>
      <c r="Q234" s="280">
        <v>1387500</v>
      </c>
      <c r="R234" s="280"/>
      <c r="S234" s="280">
        <f t="shared" si="54"/>
        <v>1387500</v>
      </c>
      <c r="T234" s="280">
        <f t="shared" si="55"/>
        <v>0</v>
      </c>
      <c r="U234" s="283" t="s">
        <v>448</v>
      </c>
      <c r="V234" s="284">
        <v>42391</v>
      </c>
    </row>
    <row r="235" spans="1:24" x14ac:dyDescent="0.3">
      <c r="A235" s="32"/>
      <c r="B235" s="33"/>
      <c r="C235" s="285"/>
      <c r="D235" s="35">
        <v>5</v>
      </c>
      <c r="E235" s="280">
        <v>1212121</v>
      </c>
      <c r="F235" s="280"/>
      <c r="G235" s="280"/>
      <c r="H235" s="289"/>
      <c r="I235" s="280">
        <v>121212</v>
      </c>
      <c r="J235" s="280"/>
      <c r="K235" s="280">
        <v>90909</v>
      </c>
      <c r="L235" s="280"/>
      <c r="M235" s="280"/>
      <c r="N235" s="280"/>
      <c r="O235" s="280"/>
      <c r="P235" s="280">
        <f t="shared" si="53"/>
        <v>1000000</v>
      </c>
      <c r="Q235" s="280">
        <v>1000000</v>
      </c>
      <c r="R235" s="280"/>
      <c r="S235" s="280">
        <f t="shared" si="54"/>
        <v>1000000</v>
      </c>
      <c r="T235" s="280">
        <f t="shared" si="55"/>
        <v>0</v>
      </c>
      <c r="U235" s="283" t="s">
        <v>449</v>
      </c>
      <c r="V235" s="284">
        <v>42419</v>
      </c>
    </row>
    <row r="236" spans="1:24" x14ac:dyDescent="0.3">
      <c r="A236" s="32"/>
      <c r="B236" s="33"/>
      <c r="C236" s="285"/>
      <c r="D236" s="35"/>
      <c r="E236" s="280"/>
      <c r="F236" s="280"/>
      <c r="G236" s="280"/>
      <c r="H236" s="289"/>
      <c r="I236" s="280"/>
      <c r="J236" s="280"/>
      <c r="K236" s="280"/>
      <c r="L236" s="280"/>
      <c r="M236" s="280"/>
      <c r="N236" s="280"/>
      <c r="O236" s="280"/>
      <c r="P236" s="280"/>
      <c r="Q236" s="280"/>
      <c r="R236" s="280"/>
      <c r="S236" s="280"/>
      <c r="T236" s="280"/>
      <c r="U236" s="283"/>
      <c r="V236" s="284"/>
    </row>
    <row r="237" spans="1:24" x14ac:dyDescent="0.3">
      <c r="A237" s="32"/>
      <c r="B237" s="783" t="s">
        <v>93</v>
      </c>
      <c r="C237" s="783"/>
      <c r="D237" s="783"/>
      <c r="E237" s="286">
        <f>SUM(E230:E235)</f>
        <v>16082685</v>
      </c>
      <c r="F237" s="286">
        <f>SUM(F214:F227)</f>
        <v>0</v>
      </c>
      <c r="G237" s="286">
        <f t="shared" ref="G237:T237" si="56">SUM(G230:G235)</f>
        <v>0</v>
      </c>
      <c r="H237" s="286">
        <f t="shared" si="56"/>
        <v>0</v>
      </c>
      <c r="I237" s="286">
        <f t="shared" si="56"/>
        <v>1088983.3999999999</v>
      </c>
      <c r="J237" s="286">
        <f t="shared" si="56"/>
        <v>0</v>
      </c>
      <c r="K237" s="286">
        <f t="shared" si="56"/>
        <v>1206202.1000000001</v>
      </c>
      <c r="L237" s="286">
        <f t="shared" si="56"/>
        <v>3999999.4999999995</v>
      </c>
      <c r="M237" s="286">
        <f t="shared" si="56"/>
        <v>0</v>
      </c>
      <c r="N237" s="286">
        <f t="shared" si="56"/>
        <v>0</v>
      </c>
      <c r="O237" s="286">
        <f t="shared" si="56"/>
        <v>0</v>
      </c>
      <c r="P237" s="286">
        <f t="shared" si="56"/>
        <v>13787499.5</v>
      </c>
      <c r="Q237" s="286">
        <f t="shared" si="56"/>
        <v>13787500</v>
      </c>
      <c r="R237" s="286">
        <f t="shared" si="56"/>
        <v>0</v>
      </c>
      <c r="S237" s="286">
        <f t="shared" si="56"/>
        <v>13787500</v>
      </c>
      <c r="T237" s="286">
        <f t="shared" si="56"/>
        <v>-0.50000000046566129</v>
      </c>
      <c r="U237" s="295">
        <f>SUM(U227:U227)</f>
        <v>0</v>
      </c>
      <c r="V237" s="286">
        <f>SUM(V227:V227)</f>
        <v>0</v>
      </c>
      <c r="W237" s="120"/>
      <c r="X237" s="120"/>
    </row>
    <row r="238" spans="1:24" x14ac:dyDescent="0.3">
      <c r="B238" s="145"/>
      <c r="C238" s="145"/>
      <c r="D238" s="145"/>
      <c r="E238" s="297"/>
      <c r="F238" s="297"/>
      <c r="G238" s="297"/>
      <c r="H238" s="298"/>
      <c r="I238" s="287"/>
      <c r="J238" s="287"/>
      <c r="K238" s="287"/>
      <c r="L238" s="297"/>
      <c r="M238" s="297"/>
      <c r="N238" s="297"/>
      <c r="O238" s="297"/>
      <c r="P238" s="297"/>
      <c r="Q238" s="297"/>
      <c r="R238" s="297"/>
      <c r="S238" s="297"/>
      <c r="T238" s="297"/>
      <c r="U238" s="301"/>
      <c r="V238" s="297"/>
      <c r="W238" s="120"/>
      <c r="X238" s="120"/>
    </row>
    <row r="239" spans="1:24" ht="15.6" x14ac:dyDescent="0.3">
      <c r="A239" s="118">
        <v>20</v>
      </c>
      <c r="B239" s="105"/>
      <c r="C239" s="105" t="s">
        <v>415</v>
      </c>
      <c r="D239" s="35"/>
      <c r="E239" s="280"/>
      <c r="F239" s="280"/>
      <c r="G239" s="280"/>
      <c r="H239" s="280"/>
      <c r="I239" s="280"/>
      <c r="J239" s="280"/>
      <c r="K239" s="280"/>
      <c r="L239" s="280"/>
      <c r="M239" s="280"/>
      <c r="N239" s="280"/>
      <c r="O239" s="280"/>
      <c r="P239" s="280"/>
      <c r="Q239" s="280"/>
      <c r="R239" s="280"/>
      <c r="S239" s="280"/>
      <c r="T239" s="280"/>
      <c r="U239" s="275"/>
      <c r="V239" s="290"/>
      <c r="W239" s="120"/>
      <c r="X239" s="120"/>
    </row>
    <row r="240" spans="1:24" x14ac:dyDescent="0.3">
      <c r="A240" s="32"/>
      <c r="B240" s="33"/>
      <c r="C240" s="285"/>
      <c r="D240" s="35">
        <v>1</v>
      </c>
      <c r="E240" s="280">
        <v>2857143</v>
      </c>
      <c r="F240" s="280"/>
      <c r="G240" s="280">
        <v>0</v>
      </c>
      <c r="H240" s="280">
        <v>0</v>
      </c>
      <c r="I240" s="280">
        <f>E240*0.05</f>
        <v>142857.15</v>
      </c>
      <c r="J240" s="280">
        <v>0</v>
      </c>
      <c r="K240" s="280">
        <f>E240*0.075</f>
        <v>214285.72500000001</v>
      </c>
      <c r="L240" s="280">
        <f>E240-I240+J240-K240</f>
        <v>2500000.125</v>
      </c>
      <c r="M240" s="280">
        <v>0</v>
      </c>
      <c r="N240" s="280">
        <v>0</v>
      </c>
      <c r="O240" s="280">
        <v>0</v>
      </c>
      <c r="P240" s="280">
        <f>E240-I240-K240</f>
        <v>2500000.125</v>
      </c>
      <c r="Q240" s="280">
        <v>2500000</v>
      </c>
      <c r="R240" s="280">
        <f>N240-O240</f>
        <v>0</v>
      </c>
      <c r="S240" s="280">
        <f>Q240</f>
        <v>2500000</v>
      </c>
      <c r="T240" s="280">
        <f>P240-S240</f>
        <v>0.125</v>
      </c>
      <c r="U240" s="283" t="s">
        <v>409</v>
      </c>
      <c r="V240" s="284">
        <v>42291</v>
      </c>
      <c r="W240" s="120"/>
      <c r="X240" s="120"/>
    </row>
    <row r="241" spans="1:24" x14ac:dyDescent="0.3">
      <c r="A241" s="32"/>
      <c r="B241" s="33"/>
      <c r="C241" s="285"/>
      <c r="D241" s="35">
        <v>2</v>
      </c>
      <c r="E241" s="280">
        <v>3272728</v>
      </c>
      <c r="F241" s="280"/>
      <c r="G241" s="280"/>
      <c r="H241" s="280"/>
      <c r="I241" s="280">
        <v>327273</v>
      </c>
      <c r="J241" s="280">
        <v>-700000</v>
      </c>
      <c r="K241" s="280">
        <v>245455</v>
      </c>
      <c r="L241" s="280"/>
      <c r="M241" s="280"/>
      <c r="N241" s="280"/>
      <c r="O241" s="280"/>
      <c r="P241" s="280">
        <f>E241-I241-K241+J241</f>
        <v>2000000</v>
      </c>
      <c r="Q241" s="280">
        <v>2000000</v>
      </c>
      <c r="R241" s="280"/>
      <c r="S241" s="280">
        <f>Q241</f>
        <v>2000000</v>
      </c>
      <c r="T241" s="280"/>
      <c r="U241" s="283" t="s">
        <v>464</v>
      </c>
      <c r="V241" s="284">
        <v>42415</v>
      </c>
      <c r="W241" s="120"/>
      <c r="X241" s="120"/>
    </row>
    <row r="242" spans="1:24" x14ac:dyDescent="0.3">
      <c r="A242" s="32"/>
      <c r="B242" s="33"/>
      <c r="C242" s="285"/>
      <c r="D242" s="35">
        <v>3</v>
      </c>
      <c r="E242" s="280">
        <v>1142857</v>
      </c>
      <c r="F242" s="280"/>
      <c r="G242" s="280"/>
      <c r="H242" s="280"/>
      <c r="I242" s="280">
        <v>57143</v>
      </c>
      <c r="J242" s="280"/>
      <c r="K242" s="280">
        <v>85714</v>
      </c>
      <c r="L242" s="280"/>
      <c r="M242" s="280"/>
      <c r="N242" s="280"/>
      <c r="O242" s="280"/>
      <c r="P242" s="280">
        <f>E242-I242-K242+J242</f>
        <v>1000000</v>
      </c>
      <c r="Q242" s="280">
        <v>1000000</v>
      </c>
      <c r="R242" s="280"/>
      <c r="S242" s="280">
        <v>1000000</v>
      </c>
      <c r="T242" s="280"/>
      <c r="U242" s="283" t="s">
        <v>465</v>
      </c>
      <c r="V242" s="284">
        <v>42430</v>
      </c>
      <c r="W242" s="120"/>
      <c r="X242" s="120"/>
    </row>
    <row r="243" spans="1:24" x14ac:dyDescent="0.3">
      <c r="A243" s="32"/>
      <c r="B243" s="33"/>
      <c r="C243" s="285"/>
      <c r="D243" s="35">
        <v>4</v>
      </c>
      <c r="E243" s="280">
        <v>2285715</v>
      </c>
      <c r="F243" s="280"/>
      <c r="G243" s="280">
        <v>0</v>
      </c>
      <c r="H243" s="280">
        <v>0</v>
      </c>
      <c r="I243" s="280">
        <v>114286</v>
      </c>
      <c r="J243" s="280">
        <v>0</v>
      </c>
      <c r="K243" s="280">
        <v>171429</v>
      </c>
      <c r="L243" s="280"/>
      <c r="M243" s="280"/>
      <c r="N243" s="280"/>
      <c r="O243" s="280">
        <v>0</v>
      </c>
      <c r="P243" s="280">
        <f>E243-I243-K243</f>
        <v>2000000</v>
      </c>
      <c r="Q243" s="280">
        <v>2000000</v>
      </c>
      <c r="R243" s="280">
        <f>N243-O243</f>
        <v>0</v>
      </c>
      <c r="S243" s="280">
        <f>Q243</f>
        <v>2000000</v>
      </c>
      <c r="T243" s="280">
        <f t="shared" ref="T243:T244" si="57">P243-S243</f>
        <v>0</v>
      </c>
      <c r="U243" s="283" t="s">
        <v>457</v>
      </c>
      <c r="V243" s="284">
        <v>42474</v>
      </c>
      <c r="W243" s="120"/>
      <c r="X243" s="120"/>
    </row>
    <row r="244" spans="1:24" x14ac:dyDescent="0.3">
      <c r="A244" s="32"/>
      <c r="B244" s="33"/>
      <c r="C244" s="285"/>
      <c r="D244" s="35">
        <v>5</v>
      </c>
      <c r="E244" s="280">
        <v>3428572</v>
      </c>
      <c r="F244" s="280"/>
      <c r="G244" s="280">
        <v>0</v>
      </c>
      <c r="H244" s="280">
        <v>0</v>
      </c>
      <c r="I244" s="280">
        <v>171429</v>
      </c>
      <c r="J244" s="280"/>
      <c r="K244" s="280">
        <v>257143</v>
      </c>
      <c r="L244" s="280"/>
      <c r="M244" s="280"/>
      <c r="N244" s="280"/>
      <c r="O244" s="280"/>
      <c r="P244" s="280">
        <f>E244-I244-K244</f>
        <v>3000000</v>
      </c>
      <c r="Q244" s="280">
        <v>3000000</v>
      </c>
      <c r="R244" s="280">
        <f>N244-O244</f>
        <v>0</v>
      </c>
      <c r="S244" s="280">
        <f>Q244</f>
        <v>3000000</v>
      </c>
      <c r="T244" s="280">
        <f t="shared" si="57"/>
        <v>0</v>
      </c>
      <c r="U244" s="283" t="s">
        <v>458</v>
      </c>
      <c r="V244" s="284">
        <v>42486</v>
      </c>
      <c r="W244" s="120"/>
      <c r="X244" s="120"/>
    </row>
    <row r="245" spans="1:24" x14ac:dyDescent="0.3">
      <c r="A245" s="32"/>
      <c r="B245" s="783" t="s">
        <v>93</v>
      </c>
      <c r="C245" s="783"/>
      <c r="D245" s="783"/>
      <c r="E245" s="286">
        <f>SUM(E240:E244)</f>
        <v>12987015</v>
      </c>
      <c r="F245" s="286">
        <f>SUM(F218:F231)</f>
        <v>0</v>
      </c>
      <c r="G245" s="286">
        <f t="shared" ref="G245:S245" si="58">SUM(G240:G244)</f>
        <v>0</v>
      </c>
      <c r="H245" s="286">
        <f t="shared" si="58"/>
        <v>0</v>
      </c>
      <c r="I245" s="286">
        <f t="shared" si="58"/>
        <v>812988.15</v>
      </c>
      <c r="J245" s="286">
        <f t="shared" si="58"/>
        <v>-700000</v>
      </c>
      <c r="K245" s="286">
        <f t="shared" si="58"/>
        <v>974026.72499999998</v>
      </c>
      <c r="L245" s="286">
        <f t="shared" si="58"/>
        <v>2500000.125</v>
      </c>
      <c r="M245" s="286">
        <f t="shared" si="58"/>
        <v>0</v>
      </c>
      <c r="N245" s="286">
        <f t="shared" si="58"/>
        <v>0</v>
      </c>
      <c r="O245" s="286">
        <f t="shared" si="58"/>
        <v>0</v>
      </c>
      <c r="P245" s="286">
        <f t="shared" si="58"/>
        <v>10500000.125</v>
      </c>
      <c r="Q245" s="286">
        <f t="shared" si="58"/>
        <v>10500000</v>
      </c>
      <c r="R245" s="286">
        <f t="shared" si="58"/>
        <v>0</v>
      </c>
      <c r="S245" s="286">
        <f t="shared" si="58"/>
        <v>10500000</v>
      </c>
      <c r="T245" s="286">
        <f>SUM(T234)</f>
        <v>0</v>
      </c>
      <c r="U245" s="295">
        <f>SUM(U231:U231)</f>
        <v>0</v>
      </c>
      <c r="V245" s="286"/>
      <c r="W245" s="120"/>
      <c r="X245" s="120"/>
    </row>
    <row r="246" spans="1:24" x14ac:dyDescent="0.3">
      <c r="B246" s="254"/>
      <c r="C246" s="302"/>
      <c r="D246" s="255"/>
      <c r="E246" s="298"/>
      <c r="F246" s="298"/>
      <c r="G246" s="298"/>
      <c r="H246" s="298"/>
      <c r="I246" s="287"/>
      <c r="J246" s="287"/>
      <c r="K246" s="287"/>
      <c r="L246" s="298"/>
      <c r="M246" s="298"/>
      <c r="N246" s="298"/>
      <c r="O246" s="298"/>
      <c r="P246" s="298"/>
      <c r="Q246" s="298"/>
      <c r="R246" s="298"/>
      <c r="S246" s="298"/>
      <c r="T246" s="298"/>
      <c r="U246" s="305"/>
      <c r="V246" s="306"/>
      <c r="W246" s="120"/>
      <c r="X246" s="120"/>
    </row>
    <row r="247" spans="1:24" ht="15.6" x14ac:dyDescent="0.3">
      <c r="A247" s="118">
        <v>21</v>
      </c>
      <c r="B247" s="105"/>
      <c r="C247" s="105" t="s">
        <v>450</v>
      </c>
      <c r="D247" s="35"/>
      <c r="E247" s="280"/>
      <c r="F247" s="280"/>
      <c r="G247" s="280"/>
      <c r="H247" s="280"/>
      <c r="I247" s="280"/>
      <c r="J247" s="280"/>
      <c r="K247" s="280"/>
      <c r="L247" s="280"/>
      <c r="M247" s="280"/>
      <c r="N247" s="280"/>
      <c r="O247" s="280"/>
      <c r="P247" s="280"/>
      <c r="Q247" s="280"/>
      <c r="R247" s="280"/>
      <c r="S247" s="280"/>
      <c r="T247" s="280"/>
      <c r="U247" s="275"/>
      <c r="V247" s="290"/>
      <c r="W247" s="120"/>
      <c r="X247" s="120"/>
    </row>
    <row r="248" spans="1:24" x14ac:dyDescent="0.3">
      <c r="A248" s="32"/>
      <c r="B248" s="33"/>
      <c r="C248" s="285"/>
      <c r="D248" s="35">
        <v>1</v>
      </c>
      <c r="E248" s="280">
        <v>723346</v>
      </c>
      <c r="F248" s="280"/>
      <c r="G248" s="280">
        <v>0</v>
      </c>
      <c r="H248" s="280">
        <v>0</v>
      </c>
      <c r="I248" s="280">
        <v>0</v>
      </c>
      <c r="J248" s="280">
        <v>-119339</v>
      </c>
      <c r="K248" s="280">
        <v>72335</v>
      </c>
      <c r="L248" s="280">
        <f>E248-I248+J248-K248</f>
        <v>531672</v>
      </c>
      <c r="M248" s="280">
        <v>0</v>
      </c>
      <c r="N248" s="280">
        <v>0</v>
      </c>
      <c r="O248" s="280">
        <v>0</v>
      </c>
      <c r="P248" s="280">
        <f>E248-I248-K248+J248</f>
        <v>531672</v>
      </c>
      <c r="Q248" s="280">
        <v>531672</v>
      </c>
      <c r="R248" s="280">
        <f>N248-O248</f>
        <v>0</v>
      </c>
      <c r="S248" s="280">
        <f>Q248</f>
        <v>531672</v>
      </c>
      <c r="T248" s="280">
        <f>P248-S248</f>
        <v>0</v>
      </c>
      <c r="U248" s="283" t="s">
        <v>409</v>
      </c>
      <c r="V248" s="284">
        <v>42291</v>
      </c>
      <c r="W248" s="120"/>
      <c r="X248" s="120"/>
    </row>
    <row r="249" spans="1:24" x14ac:dyDescent="0.3">
      <c r="A249" s="32"/>
      <c r="B249" s="783" t="s">
        <v>93</v>
      </c>
      <c r="C249" s="783"/>
      <c r="D249" s="783"/>
      <c r="E249" s="286">
        <f>SUM(E248)</f>
        <v>723346</v>
      </c>
      <c r="F249" s="286">
        <f>SUM(F222:F235)</f>
        <v>0</v>
      </c>
      <c r="G249" s="286">
        <f t="shared" ref="G249:T249" si="59">SUM(G248)</f>
        <v>0</v>
      </c>
      <c r="H249" s="286">
        <f t="shared" si="59"/>
        <v>0</v>
      </c>
      <c r="I249" s="286">
        <f t="shared" si="59"/>
        <v>0</v>
      </c>
      <c r="J249" s="286">
        <f t="shared" si="59"/>
        <v>-119339</v>
      </c>
      <c r="K249" s="286">
        <f t="shared" si="59"/>
        <v>72335</v>
      </c>
      <c r="L249" s="286">
        <f t="shared" si="59"/>
        <v>531672</v>
      </c>
      <c r="M249" s="286">
        <f t="shared" si="59"/>
        <v>0</v>
      </c>
      <c r="N249" s="286">
        <f t="shared" si="59"/>
        <v>0</v>
      </c>
      <c r="O249" s="286">
        <f t="shared" si="59"/>
        <v>0</v>
      </c>
      <c r="P249" s="286">
        <f t="shared" si="59"/>
        <v>531672</v>
      </c>
      <c r="Q249" s="286">
        <f t="shared" si="59"/>
        <v>531672</v>
      </c>
      <c r="R249" s="286">
        <f t="shared" si="59"/>
        <v>0</v>
      </c>
      <c r="S249" s="286">
        <f t="shared" si="59"/>
        <v>531672</v>
      </c>
      <c r="T249" s="286">
        <f t="shared" si="59"/>
        <v>0</v>
      </c>
      <c r="U249" s="295">
        <f>SUM(U235:U235)</f>
        <v>0</v>
      </c>
      <c r="V249" s="286">
        <f>SUM(V235:V235)</f>
        <v>42419</v>
      </c>
      <c r="W249" s="120"/>
      <c r="X249" s="120"/>
    </row>
    <row r="250" spans="1:24" x14ac:dyDescent="0.3">
      <c r="B250" s="254"/>
      <c r="C250" s="302"/>
      <c r="D250" s="255"/>
      <c r="E250" s="298"/>
      <c r="F250" s="298"/>
      <c r="G250" s="298"/>
      <c r="H250" s="298"/>
      <c r="I250" s="287">
        <f>I249/1000000</f>
        <v>0</v>
      </c>
      <c r="J250" s="287"/>
      <c r="K250" s="287"/>
      <c r="L250" s="298"/>
      <c r="M250" s="298"/>
      <c r="N250" s="298"/>
      <c r="O250" s="298"/>
      <c r="P250" s="298"/>
      <c r="Q250" s="298"/>
      <c r="R250" s="298"/>
      <c r="S250" s="298"/>
      <c r="T250" s="298"/>
      <c r="U250" s="305"/>
      <c r="V250" s="306"/>
      <c r="W250" s="120"/>
      <c r="X250" s="120"/>
    </row>
    <row r="251" spans="1:24" ht="15.6" x14ac:dyDescent="0.3">
      <c r="A251" s="118">
        <v>22</v>
      </c>
      <c r="B251" s="105"/>
      <c r="C251" s="105" t="s">
        <v>416</v>
      </c>
      <c r="D251" s="35"/>
      <c r="E251" s="280"/>
      <c r="F251" s="280"/>
      <c r="G251" s="280"/>
      <c r="H251" s="280"/>
      <c r="I251" s="280"/>
      <c r="J251" s="280"/>
      <c r="K251" s="280"/>
      <c r="L251" s="280"/>
      <c r="M251" s="280"/>
      <c r="N251" s="280"/>
      <c r="O251" s="280"/>
      <c r="P251" s="280"/>
      <c r="Q251" s="280"/>
      <c r="R251" s="280"/>
      <c r="S251" s="280"/>
      <c r="T251" s="280"/>
      <c r="U251" s="275"/>
      <c r="V251" s="290"/>
      <c r="W251" s="120"/>
      <c r="X251" s="120"/>
    </row>
    <row r="252" spans="1:24" x14ac:dyDescent="0.3">
      <c r="A252" s="32"/>
      <c r="B252" s="33"/>
      <c r="C252" s="285"/>
      <c r="D252" s="35">
        <v>1</v>
      </c>
      <c r="E252" s="280">
        <v>995421</v>
      </c>
      <c r="F252" s="280"/>
      <c r="G252" s="280">
        <v>0</v>
      </c>
      <c r="H252" s="280">
        <v>0</v>
      </c>
      <c r="I252" s="280">
        <v>49771</v>
      </c>
      <c r="J252" s="280">
        <v>0</v>
      </c>
      <c r="K252" s="280">
        <v>99542</v>
      </c>
      <c r="L252" s="280">
        <f>E252-I252+J252-K252</f>
        <v>846108</v>
      </c>
      <c r="M252" s="280">
        <v>0</v>
      </c>
      <c r="N252" s="280">
        <v>0</v>
      </c>
      <c r="O252" s="280">
        <v>0</v>
      </c>
      <c r="P252" s="280">
        <f>E252-I252-K252+J252</f>
        <v>846108</v>
      </c>
      <c r="Q252" s="280">
        <v>600000</v>
      </c>
      <c r="R252" s="280">
        <f>N252-O252</f>
        <v>0</v>
      </c>
      <c r="S252" s="280">
        <f>Q252</f>
        <v>600000</v>
      </c>
      <c r="T252" s="280">
        <f>P252-S252</f>
        <v>246108</v>
      </c>
      <c r="U252" s="283" t="s">
        <v>409</v>
      </c>
      <c r="V252" s="284">
        <v>42291</v>
      </c>
      <c r="W252" s="120"/>
      <c r="X252" s="120"/>
    </row>
    <row r="253" spans="1:24" x14ac:dyDescent="0.3">
      <c r="A253" s="32"/>
      <c r="B253" s="33"/>
      <c r="C253" s="285"/>
      <c r="D253" s="35"/>
      <c r="E253" s="280"/>
      <c r="F253" s="280"/>
      <c r="G253" s="280"/>
      <c r="H253" s="280"/>
      <c r="I253" s="280"/>
      <c r="J253" s="280"/>
      <c r="K253" s="280"/>
      <c r="L253" s="280"/>
      <c r="M253" s="280"/>
      <c r="N253" s="280"/>
      <c r="O253" s="280"/>
      <c r="P253" s="280"/>
      <c r="Q253" s="280">
        <v>246108</v>
      </c>
      <c r="R253" s="280"/>
      <c r="S253" s="280">
        <f>Q253</f>
        <v>246108</v>
      </c>
      <c r="T253" s="280">
        <f>P253-S253</f>
        <v>-246108</v>
      </c>
      <c r="U253" s="283"/>
      <c r="V253" s="284"/>
      <c r="W253" s="120"/>
      <c r="X253" s="120"/>
    </row>
    <row r="254" spans="1:24" x14ac:dyDescent="0.3">
      <c r="A254" s="32"/>
      <c r="B254" s="783" t="s">
        <v>93</v>
      </c>
      <c r="C254" s="783"/>
      <c r="D254" s="783"/>
      <c r="E254" s="286">
        <f>SUM(E252:E253)</f>
        <v>995421</v>
      </c>
      <c r="F254" s="286">
        <f>SUM(F227:F239)</f>
        <v>0</v>
      </c>
      <c r="G254" s="286">
        <f t="shared" ref="G254:T254" si="60">SUM(G252:G253)</f>
        <v>0</v>
      </c>
      <c r="H254" s="286">
        <f t="shared" si="60"/>
        <v>0</v>
      </c>
      <c r="I254" s="286">
        <f t="shared" si="60"/>
        <v>49771</v>
      </c>
      <c r="J254" s="286">
        <f t="shared" si="60"/>
        <v>0</v>
      </c>
      <c r="K254" s="286">
        <f t="shared" si="60"/>
        <v>99542</v>
      </c>
      <c r="L254" s="286">
        <f t="shared" si="60"/>
        <v>846108</v>
      </c>
      <c r="M254" s="286">
        <f t="shared" si="60"/>
        <v>0</v>
      </c>
      <c r="N254" s="286">
        <f t="shared" si="60"/>
        <v>0</v>
      </c>
      <c r="O254" s="286">
        <f t="shared" si="60"/>
        <v>0</v>
      </c>
      <c r="P254" s="286">
        <f t="shared" si="60"/>
        <v>846108</v>
      </c>
      <c r="Q254" s="286">
        <f t="shared" si="60"/>
        <v>846108</v>
      </c>
      <c r="R254" s="286">
        <f t="shared" si="60"/>
        <v>0</v>
      </c>
      <c r="S254" s="286">
        <f t="shared" si="60"/>
        <v>846108</v>
      </c>
      <c r="T254" s="286">
        <f t="shared" si="60"/>
        <v>0</v>
      </c>
      <c r="U254" s="295">
        <f>SUM(U239:U239)</f>
        <v>0</v>
      </c>
      <c r="V254" s="286">
        <f>SUM(V239:V239)</f>
        <v>0</v>
      </c>
      <c r="W254" s="120"/>
      <c r="X254" s="120"/>
    </row>
    <row r="255" spans="1:24" x14ac:dyDescent="0.3">
      <c r="B255" s="145"/>
      <c r="C255" s="145"/>
      <c r="D255" s="145"/>
      <c r="E255" s="297"/>
      <c r="F255" s="297"/>
      <c r="G255" s="297"/>
      <c r="H255" s="297"/>
      <c r="I255" s="287"/>
      <c r="J255" s="287"/>
      <c r="K255" s="287"/>
      <c r="L255" s="297"/>
      <c r="M255" s="297"/>
      <c r="N255" s="297"/>
      <c r="O255" s="297"/>
      <c r="P255" s="297"/>
      <c r="Q255" s="297"/>
      <c r="R255" s="297"/>
      <c r="S255" s="297"/>
      <c r="T255" s="297"/>
      <c r="U255" s="301"/>
      <c r="V255" s="297"/>
      <c r="W255" s="120"/>
      <c r="X255" s="120"/>
    </row>
    <row r="256" spans="1:24" ht="15.6" x14ac:dyDescent="0.3">
      <c r="A256" s="118">
        <v>23</v>
      </c>
      <c r="B256" s="105"/>
      <c r="C256" s="105" t="s">
        <v>381</v>
      </c>
      <c r="D256" s="35"/>
      <c r="E256" s="280"/>
      <c r="F256" s="280"/>
      <c r="G256" s="280"/>
      <c r="H256" s="280"/>
      <c r="I256" s="280"/>
      <c r="J256" s="280"/>
      <c r="K256" s="280"/>
      <c r="L256" s="280"/>
      <c r="M256" s="280"/>
      <c r="N256" s="280"/>
      <c r="O256" s="280"/>
      <c r="P256" s="280"/>
      <c r="Q256" s="280"/>
      <c r="R256" s="280"/>
      <c r="S256" s="280"/>
      <c r="T256" s="280"/>
      <c r="U256" s="275"/>
      <c r="V256" s="290"/>
      <c r="W256" s="120"/>
      <c r="X256" s="120"/>
    </row>
    <row r="257" spans="1:24" x14ac:dyDescent="0.3">
      <c r="A257" s="32"/>
      <c r="B257" s="33"/>
      <c r="C257" s="285"/>
      <c r="D257" s="35">
        <v>1</v>
      </c>
      <c r="E257" s="280">
        <v>4848484</v>
      </c>
      <c r="F257" s="280"/>
      <c r="G257" s="280">
        <v>0</v>
      </c>
      <c r="H257" s="280">
        <v>0</v>
      </c>
      <c r="I257" s="280">
        <v>484848</v>
      </c>
      <c r="J257" s="280">
        <v>0</v>
      </c>
      <c r="K257" s="280">
        <f>E257*0.075</f>
        <v>363636.3</v>
      </c>
      <c r="L257" s="280">
        <f>E257-I257+J257-K257</f>
        <v>3999999.7</v>
      </c>
      <c r="M257" s="280">
        <v>0</v>
      </c>
      <c r="N257" s="280">
        <v>0</v>
      </c>
      <c r="O257" s="280">
        <v>0</v>
      </c>
      <c r="P257" s="280">
        <f>E257-I257-K257</f>
        <v>3999999.7</v>
      </c>
      <c r="Q257" s="280">
        <v>4000000</v>
      </c>
      <c r="R257" s="280">
        <f>N257-O257</f>
        <v>0</v>
      </c>
      <c r="S257" s="280">
        <f>Q257</f>
        <v>4000000</v>
      </c>
      <c r="T257" s="280">
        <f>P257-S257</f>
        <v>-0.29999999981373549</v>
      </c>
      <c r="U257" s="283" t="s">
        <v>409</v>
      </c>
      <c r="V257" s="284">
        <v>42291</v>
      </c>
      <c r="W257" s="120"/>
      <c r="X257" s="120"/>
    </row>
    <row r="258" spans="1:24" x14ac:dyDescent="0.3">
      <c r="A258" s="32"/>
      <c r="B258" s="33"/>
      <c r="C258" s="285"/>
      <c r="D258" s="35">
        <v>2</v>
      </c>
      <c r="E258" s="280">
        <v>2285715</v>
      </c>
      <c r="F258" s="280"/>
      <c r="G258" s="280">
        <v>0</v>
      </c>
      <c r="H258" s="280">
        <v>0</v>
      </c>
      <c r="I258" s="280">
        <v>114286</v>
      </c>
      <c r="J258" s="280">
        <v>0</v>
      </c>
      <c r="K258" s="280">
        <v>171429</v>
      </c>
      <c r="L258" s="280"/>
      <c r="M258" s="280"/>
      <c r="N258" s="280"/>
      <c r="O258" s="280">
        <v>0</v>
      </c>
      <c r="P258" s="280">
        <f>E258-I258-K258</f>
        <v>2000000</v>
      </c>
      <c r="Q258" s="280">
        <v>2000000</v>
      </c>
      <c r="R258" s="280"/>
      <c r="S258" s="280">
        <f>Q258</f>
        <v>2000000</v>
      </c>
      <c r="T258" s="280">
        <f>P258-S258</f>
        <v>0</v>
      </c>
      <c r="U258" s="283" t="s">
        <v>459</v>
      </c>
      <c r="V258" s="284">
        <v>42474</v>
      </c>
      <c r="W258" s="120"/>
      <c r="X258" s="120"/>
    </row>
    <row r="259" spans="1:24" x14ac:dyDescent="0.3">
      <c r="A259" s="32"/>
      <c r="B259" s="783" t="s">
        <v>93</v>
      </c>
      <c r="C259" s="783"/>
      <c r="D259" s="783"/>
      <c r="E259" s="286">
        <f>SUM(E257:E258)</f>
        <v>7134199</v>
      </c>
      <c r="F259" s="286">
        <f>SUM(F231:F247)</f>
        <v>0</v>
      </c>
      <c r="G259" s="286">
        <f t="shared" ref="G259:T259" si="61">SUM(G257:G258)</f>
        <v>0</v>
      </c>
      <c r="H259" s="286">
        <f t="shared" si="61"/>
        <v>0</v>
      </c>
      <c r="I259" s="286">
        <f t="shared" si="61"/>
        <v>599134</v>
      </c>
      <c r="J259" s="286">
        <f t="shared" si="61"/>
        <v>0</v>
      </c>
      <c r="K259" s="286">
        <f t="shared" si="61"/>
        <v>535065.30000000005</v>
      </c>
      <c r="L259" s="286">
        <f t="shared" si="61"/>
        <v>3999999.7</v>
      </c>
      <c r="M259" s="286">
        <f t="shared" si="61"/>
        <v>0</v>
      </c>
      <c r="N259" s="286">
        <f t="shared" si="61"/>
        <v>0</v>
      </c>
      <c r="O259" s="286">
        <f t="shared" si="61"/>
        <v>0</v>
      </c>
      <c r="P259" s="286">
        <f t="shared" si="61"/>
        <v>5999999.7000000002</v>
      </c>
      <c r="Q259" s="286">
        <f t="shared" si="61"/>
        <v>6000000</v>
      </c>
      <c r="R259" s="286">
        <f t="shared" si="61"/>
        <v>0</v>
      </c>
      <c r="S259" s="286">
        <f t="shared" si="61"/>
        <v>6000000</v>
      </c>
      <c r="T259" s="286">
        <f t="shared" si="61"/>
        <v>-0.29999999981373549</v>
      </c>
      <c r="U259" s="295">
        <f>SUM(U247:U247)</f>
        <v>0</v>
      </c>
      <c r="V259" s="286">
        <f>SUM(V247:V247)</f>
        <v>0</v>
      </c>
      <c r="W259" s="120"/>
      <c r="X259" s="120"/>
    </row>
    <row r="260" spans="1:24" x14ac:dyDescent="0.3">
      <c r="B260" s="145"/>
      <c r="C260" s="145"/>
      <c r="D260" s="145"/>
      <c r="E260" s="297"/>
      <c r="F260" s="297"/>
      <c r="G260" s="297"/>
      <c r="H260" s="297"/>
      <c r="I260" s="287"/>
      <c r="J260" s="287"/>
      <c r="K260" s="287"/>
      <c r="L260" s="297"/>
      <c r="M260" s="297"/>
      <c r="N260" s="297"/>
      <c r="O260" s="297"/>
      <c r="P260" s="297"/>
      <c r="Q260" s="297"/>
      <c r="R260" s="297"/>
      <c r="S260" s="297"/>
      <c r="T260" s="297"/>
      <c r="U260" s="301"/>
      <c r="V260" s="297"/>
      <c r="W260" s="120"/>
      <c r="X260" s="120"/>
    </row>
    <row r="261" spans="1:24" ht="15.6" x14ac:dyDescent="0.3">
      <c r="A261" s="118">
        <v>24</v>
      </c>
      <c r="B261" s="105"/>
      <c r="C261" s="105" t="s">
        <v>460</v>
      </c>
      <c r="D261" s="35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75"/>
      <c r="V261" s="290"/>
      <c r="W261" s="120"/>
      <c r="X261" s="120"/>
    </row>
    <row r="262" spans="1:24" x14ac:dyDescent="0.3">
      <c r="A262" s="32"/>
      <c r="B262" s="33"/>
      <c r="C262" s="285"/>
      <c r="D262" s="35">
        <v>1</v>
      </c>
      <c r="E262" s="280">
        <v>2021712</v>
      </c>
      <c r="F262" s="280"/>
      <c r="G262" s="280">
        <v>0</v>
      </c>
      <c r="H262" s="280">
        <v>0</v>
      </c>
      <c r="I262" s="280">
        <v>202171</v>
      </c>
      <c r="J262" s="280">
        <v>0</v>
      </c>
      <c r="K262" s="280">
        <v>151628</v>
      </c>
      <c r="L262" s="280">
        <f>E262-I262+J262-K262</f>
        <v>1667913</v>
      </c>
      <c r="M262" s="280">
        <v>0</v>
      </c>
      <c r="N262" s="280">
        <v>0</v>
      </c>
      <c r="O262" s="280">
        <v>0</v>
      </c>
      <c r="P262" s="280">
        <f>E262-I262-K262</f>
        <v>1667913</v>
      </c>
      <c r="Q262" s="280">
        <v>1667913</v>
      </c>
      <c r="R262" s="280">
        <f>N262-O262</f>
        <v>0</v>
      </c>
      <c r="S262" s="280">
        <f>Q262</f>
        <v>1667913</v>
      </c>
      <c r="T262" s="280">
        <f>P262-S262</f>
        <v>0</v>
      </c>
      <c r="U262" s="283" t="s">
        <v>461</v>
      </c>
      <c r="V262" s="284">
        <v>42485</v>
      </c>
      <c r="W262" s="120"/>
      <c r="X262" s="120"/>
    </row>
    <row r="263" spans="1:24" x14ac:dyDescent="0.3">
      <c r="A263" s="32"/>
      <c r="B263" s="783" t="s">
        <v>93</v>
      </c>
      <c r="C263" s="783"/>
      <c r="D263" s="783"/>
      <c r="E263" s="286">
        <f>SUM(E261:E262)</f>
        <v>2021712</v>
      </c>
      <c r="F263" s="286">
        <f>SUM(F236:F252)</f>
        <v>0</v>
      </c>
      <c r="G263" s="286">
        <f t="shared" ref="G263:T263" si="62">SUM(G261:G262)</f>
        <v>0</v>
      </c>
      <c r="H263" s="286">
        <f t="shared" si="62"/>
        <v>0</v>
      </c>
      <c r="I263" s="286">
        <f t="shared" si="62"/>
        <v>202171</v>
      </c>
      <c r="J263" s="286">
        <f t="shared" si="62"/>
        <v>0</v>
      </c>
      <c r="K263" s="286">
        <f t="shared" si="62"/>
        <v>151628</v>
      </c>
      <c r="L263" s="286">
        <f t="shared" si="62"/>
        <v>1667913</v>
      </c>
      <c r="M263" s="286">
        <f t="shared" si="62"/>
        <v>0</v>
      </c>
      <c r="N263" s="286">
        <f t="shared" si="62"/>
        <v>0</v>
      </c>
      <c r="O263" s="286">
        <f t="shared" si="62"/>
        <v>0</v>
      </c>
      <c r="P263" s="286">
        <f t="shared" si="62"/>
        <v>1667913</v>
      </c>
      <c r="Q263" s="286">
        <f t="shared" si="62"/>
        <v>1667913</v>
      </c>
      <c r="R263" s="286">
        <f t="shared" si="62"/>
        <v>0</v>
      </c>
      <c r="S263" s="286">
        <f t="shared" si="62"/>
        <v>1667913</v>
      </c>
      <c r="T263" s="286">
        <f t="shared" si="62"/>
        <v>0</v>
      </c>
      <c r="U263" s="295">
        <f>SUM(U252:U252)</f>
        <v>0</v>
      </c>
      <c r="V263" s="286">
        <f>SUM(V252:V252)</f>
        <v>42291</v>
      </c>
      <c r="W263" s="120"/>
      <c r="X263" s="120"/>
    </row>
    <row r="264" spans="1:24" x14ac:dyDescent="0.3">
      <c r="B264" s="145"/>
      <c r="C264" s="145"/>
      <c r="D264" s="145"/>
      <c r="E264" s="297"/>
      <c r="F264" s="297"/>
      <c r="G264" s="297"/>
      <c r="H264" s="297"/>
      <c r="I264" s="287"/>
      <c r="J264" s="287"/>
      <c r="K264" s="287"/>
      <c r="L264" s="297"/>
      <c r="M264" s="297"/>
      <c r="N264" s="297"/>
      <c r="O264" s="297"/>
      <c r="P264" s="297"/>
      <c r="Q264" s="297"/>
      <c r="R264" s="297"/>
      <c r="S264" s="297"/>
      <c r="T264" s="297"/>
      <c r="U264" s="301"/>
      <c r="V264" s="297"/>
      <c r="W264" s="120"/>
      <c r="X264" s="120"/>
    </row>
    <row r="265" spans="1:24" ht="15.6" x14ac:dyDescent="0.3">
      <c r="A265" s="118">
        <v>25</v>
      </c>
      <c r="B265" s="105"/>
      <c r="C265" s="105" t="s">
        <v>462</v>
      </c>
      <c r="D265" s="35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75"/>
      <c r="V265" s="290"/>
      <c r="W265" s="120"/>
      <c r="X265" s="120"/>
    </row>
    <row r="266" spans="1:24" x14ac:dyDescent="0.3">
      <c r="A266" s="32"/>
      <c r="B266" s="33"/>
      <c r="C266" s="285"/>
      <c r="D266" s="35">
        <v>1</v>
      </c>
      <c r="E266" s="280">
        <v>11311621</v>
      </c>
      <c r="F266" s="280"/>
      <c r="G266" s="280">
        <v>0</v>
      </c>
      <c r="H266" s="280">
        <v>0</v>
      </c>
      <c r="I266" s="280">
        <v>1131162</v>
      </c>
      <c r="J266" s="280">
        <v>1000000</v>
      </c>
      <c r="K266" s="280">
        <v>848372</v>
      </c>
      <c r="L266" s="280">
        <f>E266-I266+J266-K266</f>
        <v>10332087</v>
      </c>
      <c r="M266" s="280">
        <v>0</v>
      </c>
      <c r="N266" s="280">
        <v>0</v>
      </c>
      <c r="O266" s="280">
        <v>0</v>
      </c>
      <c r="P266" s="280">
        <f>E266+G266-I266-K266-O266-J266</f>
        <v>8332087</v>
      </c>
      <c r="Q266" s="280">
        <v>8332087</v>
      </c>
      <c r="R266" s="280">
        <f>N266-O266</f>
        <v>0</v>
      </c>
      <c r="S266" s="280">
        <f>Q266</f>
        <v>8332087</v>
      </c>
      <c r="T266" s="280">
        <f>P266-S266</f>
        <v>0</v>
      </c>
      <c r="U266" s="283" t="s">
        <v>463</v>
      </c>
      <c r="V266" s="284">
        <v>42485</v>
      </c>
      <c r="W266" s="120"/>
      <c r="X266" s="120"/>
    </row>
    <row r="267" spans="1:24" x14ac:dyDescent="0.3">
      <c r="A267" s="32"/>
      <c r="B267" s="783" t="s">
        <v>93</v>
      </c>
      <c r="C267" s="783"/>
      <c r="D267" s="783"/>
      <c r="E267" s="286">
        <f>SUM(E265:E266)</f>
        <v>11311621</v>
      </c>
      <c r="F267" s="286">
        <f>SUM(F240:F256)</f>
        <v>0</v>
      </c>
      <c r="G267" s="286">
        <f t="shared" ref="G267:T267" si="63">SUM(G265:G266)</f>
        <v>0</v>
      </c>
      <c r="H267" s="286">
        <f t="shared" si="63"/>
        <v>0</v>
      </c>
      <c r="I267" s="286">
        <f t="shared" si="63"/>
        <v>1131162</v>
      </c>
      <c r="J267" s="286">
        <f t="shared" si="63"/>
        <v>1000000</v>
      </c>
      <c r="K267" s="286">
        <f t="shared" si="63"/>
        <v>848372</v>
      </c>
      <c r="L267" s="286">
        <f t="shared" si="63"/>
        <v>10332087</v>
      </c>
      <c r="M267" s="286">
        <f t="shared" si="63"/>
        <v>0</v>
      </c>
      <c r="N267" s="286">
        <f t="shared" si="63"/>
        <v>0</v>
      </c>
      <c r="O267" s="286">
        <f t="shared" si="63"/>
        <v>0</v>
      </c>
      <c r="P267" s="286">
        <f t="shared" si="63"/>
        <v>8332087</v>
      </c>
      <c r="Q267" s="286">
        <f t="shared" si="63"/>
        <v>8332087</v>
      </c>
      <c r="R267" s="286">
        <f t="shared" si="63"/>
        <v>0</v>
      </c>
      <c r="S267" s="286">
        <f t="shared" si="63"/>
        <v>8332087</v>
      </c>
      <c r="T267" s="286">
        <f t="shared" si="63"/>
        <v>0</v>
      </c>
      <c r="U267" s="295">
        <f>SUM(U256:U256)</f>
        <v>0</v>
      </c>
      <c r="V267" s="286">
        <f>SUM(V256:V256)</f>
        <v>0</v>
      </c>
      <c r="W267" s="120"/>
      <c r="X267" s="120"/>
    </row>
    <row r="268" spans="1:24" ht="15" thickBot="1" x14ac:dyDescent="0.35">
      <c r="C268" s="150" t="s">
        <v>139</v>
      </c>
      <c r="E268" s="307">
        <f>E120+E107+E97+E71+E37+E127+E134+E142+E153+E189+E184+E176+E165+E160+E201+E207+E214+E227+E237+E245+E249+E254+E259+E263+E267</f>
        <v>943440948.89999998</v>
      </c>
      <c r="F268" s="307"/>
      <c r="G268" s="307">
        <f t="shared" ref="G268:S268" si="64">G120+G107+G97+G71+G37+G127+G134+G142+G153+G189+G184+G176+G165+G160+G201+G207+G214+G227+G237+G245+G249+G254+G259+G263+G267</f>
        <v>14476293.25</v>
      </c>
      <c r="H268" s="307">
        <f t="shared" si="64"/>
        <v>28085941.399999999</v>
      </c>
      <c r="I268" s="307">
        <f t="shared" si="64"/>
        <v>67676857.745000005</v>
      </c>
      <c r="J268" s="307">
        <f t="shared" si="64"/>
        <v>8182810</v>
      </c>
      <c r="K268" s="307">
        <f t="shared" si="64"/>
        <v>71680008.702499986</v>
      </c>
      <c r="L268" s="307">
        <f t="shared" si="64"/>
        <v>98695152.375</v>
      </c>
      <c r="M268" s="307">
        <f t="shared" si="64"/>
        <v>78749.875</v>
      </c>
      <c r="N268" s="307">
        <f t="shared" si="64"/>
        <v>42247564</v>
      </c>
      <c r="O268" s="307">
        <f t="shared" si="64"/>
        <v>7817569.3937499989</v>
      </c>
      <c r="P268" s="307">
        <f t="shared" si="64"/>
        <v>819899403.70874989</v>
      </c>
      <c r="Q268" s="307">
        <f t="shared" si="64"/>
        <v>723172830.92499995</v>
      </c>
      <c r="R268" s="307">
        <f t="shared" si="64"/>
        <v>94934096.753749996</v>
      </c>
      <c r="S268" s="307">
        <f t="shared" si="64"/>
        <v>818106927.67874992</v>
      </c>
      <c r="T268" s="307">
        <f>T120+T107+T97+T71+T37+T127+T134+T142+T153+T189+T184+T176+T165+T160+T201+T207+T214+T227+T237+T245+T249+T254+T259+T263+T267</f>
        <v>1792475.9049999902</v>
      </c>
      <c r="U268" s="308"/>
      <c r="V268" s="307"/>
    </row>
    <row r="269" spans="1:24" x14ac:dyDescent="0.3">
      <c r="E269" s="37"/>
      <c r="P269" s="120"/>
      <c r="Q269" s="120"/>
      <c r="S269" s="120"/>
      <c r="T269" s="120"/>
    </row>
    <row r="270" spans="1:24" x14ac:dyDescent="0.3">
      <c r="L270" s="120"/>
      <c r="M270" s="21"/>
      <c r="P270" s="120"/>
      <c r="S270" s="120"/>
      <c r="U270" s="120"/>
    </row>
    <row r="271" spans="1:24" x14ac:dyDescent="0.3">
      <c r="M271" s="21"/>
      <c r="U271" s="37"/>
    </row>
    <row r="272" spans="1:24" x14ac:dyDescent="0.3">
      <c r="E272" s="120"/>
      <c r="I272" s="120"/>
      <c r="K272" s="120"/>
      <c r="M272" s="120"/>
    </row>
    <row r="273" spans="4:18" x14ac:dyDescent="0.3"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</row>
    <row r="274" spans="4:18" x14ac:dyDescent="0.3">
      <c r="E274" s="120"/>
      <c r="I274" s="298"/>
      <c r="J274" s="37"/>
      <c r="K274" s="298"/>
      <c r="M274" s="120"/>
      <c r="P274" s="309"/>
      <c r="Q274" s="120"/>
      <c r="R274" s="21"/>
    </row>
    <row r="275" spans="4:18" x14ac:dyDescent="0.3">
      <c r="E275" s="120"/>
      <c r="I275" s="298"/>
      <c r="K275" s="298"/>
      <c r="P275" s="309"/>
      <c r="Q275" s="120"/>
      <c r="R275" s="21"/>
    </row>
    <row r="278" spans="4:18" x14ac:dyDescent="0.3">
      <c r="D278" s="310"/>
      <c r="M278" s="120"/>
    </row>
  </sheetData>
  <mergeCells count="38">
    <mergeCell ref="B97:D97"/>
    <mergeCell ref="U1:V1"/>
    <mergeCell ref="A2:V2"/>
    <mergeCell ref="A3:V3"/>
    <mergeCell ref="A4:V4"/>
    <mergeCell ref="A5:A6"/>
    <mergeCell ref="B5:B6"/>
    <mergeCell ref="C5:C6"/>
    <mergeCell ref="I5:O5"/>
    <mergeCell ref="P5:P6"/>
    <mergeCell ref="S5:S6"/>
    <mergeCell ref="T5:T6"/>
    <mergeCell ref="U5:U6"/>
    <mergeCell ref="V5:V6"/>
    <mergeCell ref="B37:D37"/>
    <mergeCell ref="B71:D71"/>
    <mergeCell ref="B201:D201"/>
    <mergeCell ref="B107:D107"/>
    <mergeCell ref="B120:D120"/>
    <mergeCell ref="B127:D127"/>
    <mergeCell ref="B134:D134"/>
    <mergeCell ref="B142:D142"/>
    <mergeCell ref="B153:D153"/>
    <mergeCell ref="B160:D160"/>
    <mergeCell ref="B165:D165"/>
    <mergeCell ref="B176:D176"/>
    <mergeCell ref="B184:D184"/>
    <mergeCell ref="B189:D189"/>
    <mergeCell ref="B254:D254"/>
    <mergeCell ref="B259:D259"/>
    <mergeCell ref="B263:D263"/>
    <mergeCell ref="B267:D267"/>
    <mergeCell ref="B207:D207"/>
    <mergeCell ref="B214:D214"/>
    <mergeCell ref="B227:D227"/>
    <mergeCell ref="B237:D237"/>
    <mergeCell ref="B245:D245"/>
    <mergeCell ref="B249:D249"/>
  </mergeCells>
  <printOptions horizontalCentered="1"/>
  <pageMargins left="0.4" right="0.17" top="0.5" bottom="0.5" header="0.18" footer="0.27"/>
  <pageSetup paperSize="9" scale="43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5"/>
  <sheetViews>
    <sheetView view="pageBreakPreview" zoomScale="85" zoomScaleSheetLayoutView="85" workbookViewId="0">
      <pane xSplit="1" topLeftCell="B1" activePane="topRight" state="frozen"/>
      <selection activeCell="G34" sqref="G34"/>
      <selection pane="topRight" activeCell="A8" sqref="A8:A11"/>
    </sheetView>
  </sheetViews>
  <sheetFormatPr defaultColWidth="9.109375" defaultRowHeight="13.8" x14ac:dyDescent="0.3"/>
  <cols>
    <col min="1" max="1" width="34.88671875" style="6" customWidth="1"/>
    <col min="2" max="2" width="15.6640625" style="6" customWidth="1"/>
    <col min="3" max="3" width="15.44140625" style="436" customWidth="1"/>
    <col min="4" max="4" width="16.109375" style="6" customWidth="1"/>
    <col min="5" max="5" width="14.109375" style="6" customWidth="1"/>
    <col min="6" max="6" width="14" style="6" customWidth="1"/>
    <col min="7" max="7" width="16.109375" style="6" customWidth="1"/>
    <col min="8" max="8" width="14.6640625" style="6" customWidth="1"/>
    <col min="9" max="9" width="16.109375" style="6" customWidth="1"/>
    <col min="10" max="10" width="15.88671875" style="436" customWidth="1"/>
    <col min="11" max="11" width="18.88671875" style="6" customWidth="1"/>
    <col min="12" max="12" width="15.109375" style="6" bestFit="1" customWidth="1"/>
    <col min="13" max="13" width="12.33203125" style="6" bestFit="1" customWidth="1"/>
    <col min="14" max="14" width="9.109375" style="6"/>
    <col min="15" max="15" width="12.33203125" style="6" bestFit="1" customWidth="1"/>
    <col min="16" max="16384" width="9.109375" style="6"/>
  </cols>
  <sheetData>
    <row r="1" spans="1:15" s="469" customFormat="1" ht="15.6" x14ac:dyDescent="0.3">
      <c r="A1" s="797" t="s">
        <v>26</v>
      </c>
      <c r="B1" s="797"/>
      <c r="C1" s="797"/>
      <c r="D1" s="797"/>
      <c r="E1" s="797"/>
      <c r="F1" s="797"/>
      <c r="G1" s="797"/>
      <c r="H1" s="797"/>
      <c r="I1" s="797"/>
      <c r="J1" s="797"/>
      <c r="K1" s="797"/>
    </row>
    <row r="2" spans="1:15" s="469" customFormat="1" ht="17.399999999999999" x14ac:dyDescent="0.3">
      <c r="A2" s="798" t="s">
        <v>65</v>
      </c>
      <c r="B2" s="798"/>
      <c r="C2" s="798"/>
      <c r="D2" s="798"/>
      <c r="E2" s="798"/>
      <c r="F2" s="798"/>
      <c r="G2" s="798"/>
      <c r="H2" s="798"/>
      <c r="I2" s="798"/>
      <c r="J2" s="798"/>
      <c r="K2" s="798"/>
    </row>
    <row r="3" spans="1:15" s="469" customFormat="1" ht="17.399999999999999" x14ac:dyDescent="0.3">
      <c r="A3" s="798" t="str">
        <f>'Anx A'!A3:H3</f>
        <v>Project Control Unit:-  Dev of C-15 Islamabad</v>
      </c>
      <c r="B3" s="798"/>
      <c r="C3" s="798"/>
      <c r="D3" s="798"/>
      <c r="E3" s="798"/>
      <c r="F3" s="798"/>
      <c r="G3" s="798"/>
      <c r="H3" s="798"/>
      <c r="I3" s="798"/>
      <c r="J3" s="798"/>
      <c r="K3" s="798"/>
    </row>
    <row r="4" spans="1:15" s="469" customFormat="1" ht="16.2" thickBot="1" x14ac:dyDescent="0.35">
      <c r="A4" s="799"/>
      <c r="B4" s="799"/>
      <c r="C4" s="799"/>
      <c r="D4" s="799"/>
      <c r="E4" s="799"/>
      <c r="F4" s="799"/>
      <c r="G4" s="799"/>
      <c r="H4" s="799"/>
      <c r="I4" s="799"/>
      <c r="J4" s="799"/>
      <c r="K4" s="799"/>
    </row>
    <row r="5" spans="1:15" s="559" customFormat="1" ht="26.25" customHeight="1" thickTop="1" thickBot="1" x14ac:dyDescent="0.35">
      <c r="A5" s="796" t="s">
        <v>17</v>
      </c>
      <c r="B5" s="796" t="s">
        <v>482</v>
      </c>
      <c r="C5" s="796"/>
      <c r="D5" s="796"/>
      <c r="E5" s="796"/>
      <c r="F5" s="796"/>
      <c r="G5" s="796" t="s">
        <v>483</v>
      </c>
      <c r="H5" s="796"/>
      <c r="I5" s="796"/>
      <c r="J5" s="796"/>
      <c r="K5" s="800" t="s">
        <v>19</v>
      </c>
    </row>
    <row r="6" spans="1:15" s="559" customFormat="1" ht="30" customHeight="1" thickTop="1" thickBot="1" x14ac:dyDescent="0.35">
      <c r="A6" s="796"/>
      <c r="B6" s="467" t="s">
        <v>468</v>
      </c>
      <c r="C6" s="467" t="s">
        <v>50</v>
      </c>
      <c r="D6" s="800" t="s">
        <v>486</v>
      </c>
      <c r="E6" s="467" t="s">
        <v>50</v>
      </c>
      <c r="F6" s="467" t="s">
        <v>466</v>
      </c>
      <c r="G6" s="467" t="s">
        <v>467</v>
      </c>
      <c r="H6" s="467" t="s">
        <v>50</v>
      </c>
      <c r="I6" s="800" t="s">
        <v>488</v>
      </c>
      <c r="J6" s="467" t="s">
        <v>51</v>
      </c>
      <c r="K6" s="801"/>
    </row>
    <row r="7" spans="1:15" s="559" customFormat="1" ht="21.75" customHeight="1" thickTop="1" thickBot="1" x14ac:dyDescent="0.35">
      <c r="A7" s="796"/>
      <c r="B7" s="467" t="s">
        <v>13</v>
      </c>
      <c r="C7" s="467" t="s">
        <v>13</v>
      </c>
      <c r="D7" s="802"/>
      <c r="E7" s="467" t="s">
        <v>485</v>
      </c>
      <c r="F7" s="467" t="s">
        <v>13</v>
      </c>
      <c r="G7" s="467" t="s">
        <v>13</v>
      </c>
      <c r="H7" s="467" t="s">
        <v>13</v>
      </c>
      <c r="I7" s="802"/>
      <c r="J7" s="467" t="s">
        <v>13</v>
      </c>
      <c r="K7" s="801"/>
    </row>
    <row r="8" spans="1:15" s="472" customFormat="1" ht="36.75" customHeight="1" thickTop="1" x14ac:dyDescent="0.25">
      <c r="A8" s="486"/>
      <c r="B8" s="536"/>
      <c r="C8" s="537"/>
      <c r="D8" s="536"/>
      <c r="E8" s="599"/>
      <c r="F8" s="536"/>
      <c r="G8" s="536"/>
      <c r="H8" s="537"/>
      <c r="I8" s="538"/>
      <c r="J8" s="536"/>
      <c r="K8" s="539"/>
      <c r="L8" s="540"/>
      <c r="M8" s="540"/>
      <c r="N8" s="540"/>
      <c r="O8" s="540"/>
    </row>
    <row r="9" spans="1:15" s="472" customFormat="1" ht="36.75" customHeight="1" x14ac:dyDescent="0.25">
      <c r="A9" s="486"/>
      <c r="B9" s="536"/>
      <c r="C9" s="537"/>
      <c r="D9" s="536"/>
      <c r="E9" s="536"/>
      <c r="F9" s="536"/>
      <c r="G9" s="536"/>
      <c r="H9" s="537"/>
      <c r="I9" s="536"/>
      <c r="J9" s="536"/>
      <c r="K9" s="581"/>
      <c r="L9" s="540"/>
      <c r="M9" s="540"/>
      <c r="N9" s="540"/>
      <c r="O9" s="540"/>
    </row>
    <row r="10" spans="1:15" s="472" customFormat="1" ht="36.75" customHeight="1" x14ac:dyDescent="0.25">
      <c r="A10" s="486"/>
      <c r="B10" s="536"/>
      <c r="C10" s="537"/>
      <c r="D10" s="536"/>
      <c r="E10" s="536"/>
      <c r="F10" s="536"/>
      <c r="G10" s="536"/>
      <c r="H10" s="537"/>
      <c r="I10" s="536"/>
      <c r="J10" s="536"/>
      <c r="K10" s="581"/>
      <c r="L10" s="540"/>
      <c r="M10" s="540"/>
      <c r="N10" s="540"/>
      <c r="O10" s="540"/>
    </row>
    <row r="11" spans="1:15" s="472" customFormat="1" ht="36.75" customHeight="1" thickBot="1" x14ac:dyDescent="0.3">
      <c r="A11" s="486"/>
      <c r="B11" s="536"/>
      <c r="C11" s="537"/>
      <c r="D11" s="536"/>
      <c r="E11" s="536"/>
      <c r="F11" s="536"/>
      <c r="G11" s="536"/>
      <c r="H11" s="537"/>
      <c r="I11" s="536"/>
      <c r="J11" s="536"/>
      <c r="K11" s="596"/>
      <c r="L11" s="540"/>
      <c r="M11" s="540"/>
      <c r="N11" s="540"/>
      <c r="O11" s="540"/>
    </row>
    <row r="12" spans="1:15" s="469" customFormat="1" ht="36.75" customHeight="1" thickTop="1" thickBot="1" x14ac:dyDescent="0.35">
      <c r="A12" s="541" t="s">
        <v>47</v>
      </c>
      <c r="B12" s="594">
        <f>SUM(B8:B11)</f>
        <v>0</v>
      </c>
      <c r="C12" s="594">
        <f>SUM(C8:C11)</f>
        <v>0</v>
      </c>
      <c r="D12" s="594"/>
      <c r="E12" s="594"/>
      <c r="F12" s="594">
        <f>SUM(F8:F11)</f>
        <v>0</v>
      </c>
      <c r="G12" s="594">
        <f>SUM(G8:G11)</f>
        <v>0</v>
      </c>
      <c r="H12" s="594">
        <f>SUM(H8:H11)</f>
        <v>0</v>
      </c>
      <c r="I12" s="594"/>
      <c r="J12" s="594">
        <f>SUM(J8:J11)</f>
        <v>0</v>
      </c>
      <c r="K12" s="595"/>
      <c r="M12" s="542"/>
    </row>
    <row r="13" spans="1:15" s="469" customFormat="1" ht="16.2" thickTop="1" x14ac:dyDescent="0.3">
      <c r="A13" s="795"/>
      <c r="B13" s="795"/>
      <c r="C13" s="795"/>
      <c r="D13" s="795"/>
      <c r="E13" s="795"/>
      <c r="F13" s="795"/>
      <c r="G13" s="795"/>
      <c r="H13" s="795"/>
      <c r="I13" s="795"/>
      <c r="J13" s="795"/>
      <c r="K13" s="795"/>
      <c r="L13" s="795"/>
    </row>
    <row r="14" spans="1:15" s="469" customFormat="1" ht="15.6" x14ac:dyDescent="0.3">
      <c r="A14" s="543"/>
      <c r="B14" s="544"/>
      <c r="C14" s="544"/>
      <c r="D14" s="544"/>
      <c r="E14" s="544"/>
      <c r="F14" s="545"/>
      <c r="G14" s="544"/>
      <c r="H14" s="544"/>
      <c r="I14" s="544"/>
      <c r="J14" s="546"/>
      <c r="K14" s="468"/>
    </row>
    <row r="15" spans="1:15" s="469" customFormat="1" ht="15" x14ac:dyDescent="0.25">
      <c r="B15" s="547"/>
      <c r="C15" s="545"/>
      <c r="D15" s="545"/>
      <c r="E15" s="545"/>
      <c r="F15" s="545"/>
      <c r="G15" s="545"/>
      <c r="H15" s="545"/>
      <c r="I15" s="548"/>
      <c r="J15" s="549"/>
    </row>
    <row r="16" spans="1:15" s="469" customFormat="1" ht="15" x14ac:dyDescent="0.25">
      <c r="B16" s="495"/>
      <c r="C16" s="550"/>
      <c r="D16" s="551"/>
      <c r="E16" s="551"/>
      <c r="F16" s="551"/>
      <c r="G16" s="551"/>
      <c r="H16" s="551"/>
      <c r="I16" s="542"/>
      <c r="J16" s="552"/>
    </row>
    <row r="17" spans="2:10" s="469" customFormat="1" ht="15" x14ac:dyDescent="0.25">
      <c r="B17" s="495"/>
      <c r="C17" s="552"/>
      <c r="D17" s="542"/>
      <c r="E17" s="542"/>
      <c r="F17" s="553"/>
      <c r="G17" s="554"/>
      <c r="J17" s="552"/>
    </row>
    <row r="18" spans="2:10" s="469" customFormat="1" ht="15" x14ac:dyDescent="0.25">
      <c r="C18" s="555"/>
      <c r="F18" s="556"/>
      <c r="H18" s="556"/>
      <c r="I18" s="556"/>
      <c r="J18" s="557"/>
    </row>
    <row r="19" spans="2:10" s="469" customFormat="1" ht="15" x14ac:dyDescent="0.25">
      <c r="C19" s="555"/>
      <c r="D19" s="554"/>
      <c r="G19" s="542"/>
      <c r="H19" s="556"/>
      <c r="I19" s="556"/>
      <c r="J19" s="558"/>
    </row>
    <row r="20" spans="2:10" s="469" customFormat="1" ht="15" x14ac:dyDescent="0.25">
      <c r="B20" s="542"/>
      <c r="C20" s="552"/>
      <c r="D20" s="542"/>
      <c r="E20" s="542"/>
      <c r="H20" s="556"/>
      <c r="I20" s="556"/>
      <c r="J20" s="552"/>
    </row>
    <row r="21" spans="2:10" s="469" customFormat="1" ht="15" x14ac:dyDescent="0.25">
      <c r="C21" s="555"/>
      <c r="H21" s="542"/>
      <c r="I21" s="542"/>
      <c r="J21" s="555"/>
    </row>
    <row r="22" spans="2:10" s="469" customFormat="1" ht="15" x14ac:dyDescent="0.25">
      <c r="C22" s="552"/>
      <c r="D22" s="542"/>
      <c r="E22" s="542"/>
      <c r="J22" s="555"/>
    </row>
    <row r="23" spans="2:10" x14ac:dyDescent="0.3">
      <c r="C23" s="435"/>
      <c r="D23" s="219"/>
      <c r="E23" s="219"/>
      <c r="G23" s="215"/>
    </row>
    <row r="25" spans="2:10" x14ac:dyDescent="0.3">
      <c r="G25" s="219"/>
    </row>
  </sheetData>
  <mergeCells count="11">
    <mergeCell ref="A13:L13"/>
    <mergeCell ref="A5:A7"/>
    <mergeCell ref="B5:F5"/>
    <mergeCell ref="A1:K1"/>
    <mergeCell ref="A2:K2"/>
    <mergeCell ref="A4:K4"/>
    <mergeCell ref="A3:K3"/>
    <mergeCell ref="G5:J5"/>
    <mergeCell ref="K5:K7"/>
    <mergeCell ref="D6:D7"/>
    <mergeCell ref="I6:I7"/>
  </mergeCells>
  <phoneticPr fontId="0" type="noConversion"/>
  <conditionalFormatting sqref="J18">
    <cfRule type="cellIs" dxfId="0" priority="2" operator="lessThan">
      <formula>0</formula>
    </cfRule>
  </conditionalFormatting>
  <printOptions horizontalCentered="1"/>
  <pageMargins left="0.7" right="0.45" top="0.75" bottom="0.75" header="0.3" footer="0.3"/>
  <pageSetup paperSize="9" scale="65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  <pageSetUpPr fitToPage="1"/>
  </sheetPr>
  <dimension ref="A1:Y70"/>
  <sheetViews>
    <sheetView view="pageBreakPreview" zoomScale="80" zoomScaleSheetLayoutView="80" workbookViewId="0">
      <pane ySplit="7" topLeftCell="A26" activePane="bottomLeft" state="frozen"/>
      <selection activeCell="S63" sqref="S63"/>
      <selection pane="bottomLeft" activeCell="E30" sqref="E30"/>
    </sheetView>
  </sheetViews>
  <sheetFormatPr defaultColWidth="9.109375" defaultRowHeight="13.8" x14ac:dyDescent="0.3"/>
  <cols>
    <col min="1" max="1" width="21.44140625" style="42" bestFit="1" customWidth="1"/>
    <col min="2" max="2" width="5.88671875" style="42" customWidth="1"/>
    <col min="3" max="3" width="14.5546875" style="42" bestFit="1" customWidth="1"/>
    <col min="4" max="4" width="14.5546875" style="6" bestFit="1" customWidth="1"/>
    <col min="5" max="5" width="17.33203125" style="6" bestFit="1" customWidth="1"/>
    <col min="6" max="6" width="14.5546875" style="42" bestFit="1" customWidth="1"/>
    <col min="7" max="7" width="17.33203125" style="42" bestFit="1" customWidth="1"/>
    <col min="8" max="8" width="14.5546875" style="42" bestFit="1" customWidth="1"/>
    <col min="9" max="9" width="17.33203125" style="42" bestFit="1" customWidth="1"/>
    <col min="10" max="10" width="12.44140625" style="42" customWidth="1"/>
    <col min="11" max="11" width="11.33203125" style="42" bestFit="1" customWidth="1"/>
    <col min="12" max="12" width="15.44140625" style="42" bestFit="1" customWidth="1"/>
    <col min="13" max="13" width="11.33203125" style="42" bestFit="1" customWidth="1"/>
    <col min="14" max="14" width="19.5546875" style="42" bestFit="1" customWidth="1"/>
    <col min="15" max="15" width="11.6640625" style="42" customWidth="1"/>
    <col min="16" max="16" width="19.5546875" style="42" bestFit="1" customWidth="1"/>
    <col min="17" max="17" width="14.5546875" style="42" bestFit="1" customWidth="1"/>
    <col min="18" max="18" width="17.33203125" style="42" bestFit="1" customWidth="1"/>
    <col min="19" max="19" width="14.5546875" style="42" bestFit="1" customWidth="1"/>
    <col min="20" max="20" width="17.33203125" style="42" bestFit="1" customWidth="1"/>
    <col min="21" max="21" width="7.88671875" style="42" customWidth="1"/>
    <col min="22" max="22" width="9.109375" style="42"/>
    <col min="23" max="23" width="11.33203125" style="42" bestFit="1" customWidth="1"/>
    <col min="24" max="24" width="15.109375" style="42" bestFit="1" customWidth="1"/>
    <col min="25" max="25" width="9.5546875" style="42" bestFit="1" customWidth="1"/>
    <col min="26" max="16384" width="9.109375" style="42"/>
  </cols>
  <sheetData>
    <row r="1" spans="1:22" ht="18" x14ac:dyDescent="0.35">
      <c r="A1" s="737" t="s">
        <v>288</v>
      </c>
      <c r="B1" s="737"/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  <c r="N1" s="737"/>
      <c r="O1" s="737"/>
      <c r="P1" s="737"/>
      <c r="Q1" s="737"/>
      <c r="R1" s="737"/>
      <c r="S1" s="737"/>
      <c r="T1" s="737"/>
      <c r="U1" s="737"/>
    </row>
    <row r="2" spans="1:22" ht="15.6" x14ac:dyDescent="0.3">
      <c r="A2" s="806" t="s">
        <v>201</v>
      </c>
      <c r="B2" s="806"/>
      <c r="C2" s="806"/>
      <c r="D2" s="806"/>
      <c r="E2" s="806"/>
      <c r="F2" s="806"/>
      <c r="G2" s="806"/>
      <c r="H2" s="806"/>
      <c r="I2" s="806"/>
      <c r="J2" s="806"/>
      <c r="K2" s="806"/>
      <c r="L2" s="806"/>
      <c r="M2" s="806"/>
      <c r="N2" s="806"/>
      <c r="O2" s="806"/>
      <c r="P2" s="806"/>
      <c r="Q2" s="806"/>
      <c r="R2" s="806"/>
      <c r="S2" s="806"/>
      <c r="T2" s="806"/>
      <c r="U2" s="806"/>
    </row>
    <row r="3" spans="1:22" ht="15.6" x14ac:dyDescent="0.3">
      <c r="A3" s="806" t="s">
        <v>147</v>
      </c>
      <c r="B3" s="806"/>
      <c r="C3" s="806"/>
      <c r="D3" s="806"/>
      <c r="E3" s="806"/>
      <c r="F3" s="806"/>
      <c r="G3" s="806"/>
      <c r="H3" s="806"/>
      <c r="I3" s="806"/>
      <c r="J3" s="806"/>
      <c r="K3" s="806"/>
      <c r="L3" s="806"/>
      <c r="M3" s="806"/>
      <c r="N3" s="806"/>
      <c r="O3" s="806"/>
      <c r="P3" s="806"/>
      <c r="Q3" s="806"/>
      <c r="R3" s="806"/>
      <c r="S3" s="806"/>
      <c r="T3" s="806"/>
      <c r="U3" s="806"/>
    </row>
    <row r="4" spans="1:22" ht="16.2" thickBot="1" x14ac:dyDescent="0.35">
      <c r="A4" s="806" t="s">
        <v>146</v>
      </c>
      <c r="B4" s="806"/>
      <c r="C4" s="806"/>
      <c r="D4" s="806"/>
      <c r="E4" s="806"/>
      <c r="F4" s="806"/>
      <c r="G4" s="806"/>
      <c r="H4" s="806"/>
      <c r="I4" s="806"/>
      <c r="J4" s="806"/>
      <c r="K4" s="806"/>
      <c r="L4" s="806"/>
      <c r="M4" s="806"/>
      <c r="N4" s="806"/>
      <c r="O4" s="806"/>
      <c r="P4" s="806"/>
      <c r="Q4" s="806"/>
      <c r="R4" s="806"/>
      <c r="S4" s="806"/>
      <c r="T4" s="806"/>
      <c r="U4" s="806"/>
    </row>
    <row r="5" spans="1:22" s="55" customFormat="1" ht="15" customHeight="1" thickTop="1" thickBot="1" x14ac:dyDescent="0.35">
      <c r="A5" s="807" t="s">
        <v>17</v>
      </c>
      <c r="B5" s="807" t="s">
        <v>12</v>
      </c>
      <c r="C5" s="807" t="s">
        <v>45</v>
      </c>
      <c r="D5" s="807"/>
      <c r="E5" s="807"/>
      <c r="F5" s="807"/>
      <c r="G5" s="807"/>
      <c r="H5" s="807"/>
      <c r="I5" s="807"/>
      <c r="J5" s="803" t="s">
        <v>353</v>
      </c>
      <c r="K5" s="807" t="s">
        <v>46</v>
      </c>
      <c r="L5" s="807"/>
      <c r="M5" s="807"/>
      <c r="N5" s="807"/>
      <c r="O5" s="807"/>
      <c r="P5" s="807"/>
      <c r="Q5" s="808" t="s">
        <v>48</v>
      </c>
      <c r="R5" s="809"/>
      <c r="S5" s="809"/>
      <c r="T5" s="810"/>
      <c r="U5" s="807" t="s">
        <v>19</v>
      </c>
    </row>
    <row r="6" spans="1:22" s="55" customFormat="1" ht="30" customHeight="1" thickTop="1" thickBot="1" x14ac:dyDescent="0.35">
      <c r="A6" s="807"/>
      <c r="B6" s="807"/>
      <c r="C6" s="807" t="s">
        <v>18</v>
      </c>
      <c r="D6" s="814" t="s">
        <v>15</v>
      </c>
      <c r="E6" s="814"/>
      <c r="F6" s="807" t="s">
        <v>50</v>
      </c>
      <c r="G6" s="807"/>
      <c r="H6" s="807" t="s">
        <v>51</v>
      </c>
      <c r="I6" s="807"/>
      <c r="J6" s="804"/>
      <c r="K6" s="807" t="s">
        <v>15</v>
      </c>
      <c r="L6" s="807"/>
      <c r="M6" s="807" t="s">
        <v>50</v>
      </c>
      <c r="N6" s="807"/>
      <c r="O6" s="807" t="s">
        <v>51</v>
      </c>
      <c r="P6" s="807"/>
      <c r="Q6" s="807" t="s">
        <v>58</v>
      </c>
      <c r="R6" s="807"/>
      <c r="S6" s="807" t="s">
        <v>51</v>
      </c>
      <c r="T6" s="807"/>
      <c r="U6" s="807"/>
    </row>
    <row r="7" spans="1:22" s="55" customFormat="1" ht="21.75" customHeight="1" thickTop="1" thickBot="1" x14ac:dyDescent="0.35">
      <c r="A7" s="807"/>
      <c r="B7" s="807"/>
      <c r="C7" s="807"/>
      <c r="D7" s="182" t="s">
        <v>11</v>
      </c>
      <c r="E7" s="182" t="s">
        <v>13</v>
      </c>
      <c r="F7" s="181" t="s">
        <v>11</v>
      </c>
      <c r="G7" s="181" t="s">
        <v>13</v>
      </c>
      <c r="H7" s="181" t="s">
        <v>11</v>
      </c>
      <c r="I7" s="181" t="s">
        <v>13</v>
      </c>
      <c r="J7" s="805"/>
      <c r="K7" s="181" t="s">
        <v>11</v>
      </c>
      <c r="L7" s="181" t="s">
        <v>13</v>
      </c>
      <c r="M7" s="181" t="s">
        <v>11</v>
      </c>
      <c r="N7" s="181" t="s">
        <v>13</v>
      </c>
      <c r="O7" s="181" t="s">
        <v>11</v>
      </c>
      <c r="P7" s="181" t="s">
        <v>13</v>
      </c>
      <c r="Q7" s="56" t="s">
        <v>11</v>
      </c>
      <c r="R7" s="56" t="s">
        <v>13</v>
      </c>
      <c r="S7" s="56" t="s">
        <v>11</v>
      </c>
      <c r="T7" s="56" t="s">
        <v>13</v>
      </c>
      <c r="U7" s="807"/>
    </row>
    <row r="8" spans="1:22" ht="14.4" thickTop="1" x14ac:dyDescent="0.3">
      <c r="A8" s="192" t="s">
        <v>38</v>
      </c>
      <c r="B8" s="3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71"/>
    </row>
    <row r="9" spans="1:22" x14ac:dyDescent="0.3">
      <c r="A9" s="187" t="s">
        <v>202</v>
      </c>
      <c r="B9" s="187" t="s">
        <v>39</v>
      </c>
      <c r="C9" s="40">
        <v>2041335</v>
      </c>
      <c r="D9" s="188">
        <v>220100</v>
      </c>
      <c r="E9" s="188">
        <v>994852</v>
      </c>
      <c r="F9" s="188">
        <v>2041335</v>
      </c>
      <c r="G9" s="188">
        <v>7430319.6049999995</v>
      </c>
      <c r="H9" s="188">
        <v>220100</v>
      </c>
      <c r="I9" s="188">
        <v>994852</v>
      </c>
      <c r="J9" s="188"/>
      <c r="K9" s="40">
        <v>220100</v>
      </c>
      <c r="L9" s="41">
        <v>994852</v>
      </c>
      <c r="M9" s="40">
        <v>2041335</v>
      </c>
      <c r="N9" s="41">
        <v>7430319.6049999995</v>
      </c>
      <c r="O9" s="40">
        <v>220100</v>
      </c>
      <c r="P9" s="41">
        <v>994852</v>
      </c>
      <c r="Q9" s="188">
        <v>0</v>
      </c>
      <c r="R9" s="188">
        <v>0</v>
      </c>
      <c r="S9" s="188">
        <v>0</v>
      </c>
      <c r="T9" s="188">
        <v>0</v>
      </c>
      <c r="U9" s="131"/>
      <c r="V9" s="71"/>
    </row>
    <row r="10" spans="1:22" x14ac:dyDescent="0.3">
      <c r="A10" s="187"/>
      <c r="B10" s="187"/>
      <c r="C10" s="40"/>
      <c r="D10" s="188"/>
      <c r="E10" s="188"/>
      <c r="F10" s="188"/>
      <c r="G10" s="188"/>
      <c r="H10" s="188"/>
      <c r="I10" s="188"/>
      <c r="J10" s="41"/>
      <c r="K10" s="40"/>
      <c r="L10" s="41"/>
      <c r="M10" s="40"/>
      <c r="N10" s="41"/>
      <c r="O10" s="40"/>
      <c r="P10" s="41"/>
      <c r="Q10" s="41"/>
      <c r="R10" s="41"/>
      <c r="S10" s="41"/>
      <c r="T10" s="41"/>
      <c r="U10" s="131"/>
      <c r="V10" s="71"/>
    </row>
    <row r="11" spans="1:22" x14ac:dyDescent="0.3">
      <c r="A11" s="192" t="s">
        <v>73</v>
      </c>
      <c r="B11" s="187"/>
      <c r="C11" s="187"/>
      <c r="D11" s="188"/>
      <c r="E11" s="188"/>
      <c r="F11" s="188"/>
      <c r="G11" s="188"/>
      <c r="H11" s="40"/>
      <c r="I11" s="41"/>
      <c r="J11" s="41"/>
      <c r="K11" s="40"/>
      <c r="L11" s="41"/>
      <c r="M11" s="40"/>
      <c r="N11" s="41"/>
      <c r="O11" s="40"/>
      <c r="P11" s="41"/>
      <c r="Q11" s="41"/>
      <c r="R11" s="41"/>
      <c r="S11" s="41"/>
      <c r="T11" s="41"/>
      <c r="U11" s="131"/>
      <c r="V11" s="71"/>
    </row>
    <row r="12" spans="1:22" x14ac:dyDescent="0.3">
      <c r="A12" s="187" t="s">
        <v>203</v>
      </c>
      <c r="B12" s="187" t="s">
        <v>39</v>
      </c>
      <c r="C12" s="187">
        <v>103193.61029199189</v>
      </c>
      <c r="D12" s="188">
        <v>0</v>
      </c>
      <c r="E12" s="187">
        <v>0</v>
      </c>
      <c r="F12" s="188">
        <v>103193.61029199189</v>
      </c>
      <c r="G12" s="187">
        <v>3569466.98</v>
      </c>
      <c r="H12" s="188">
        <v>0</v>
      </c>
      <c r="I12" s="188">
        <v>0</v>
      </c>
      <c r="J12" s="188"/>
      <c r="K12" s="40"/>
      <c r="L12" s="41"/>
      <c r="M12" s="40"/>
      <c r="N12" s="41"/>
      <c r="O12" s="40"/>
      <c r="P12" s="41"/>
      <c r="Q12" s="188">
        <v>103193.61029199189</v>
      </c>
      <c r="R12" s="187">
        <v>3569466.98</v>
      </c>
      <c r="S12" s="188">
        <v>103193.61029199189</v>
      </c>
      <c r="T12" s="188">
        <v>3569466.98</v>
      </c>
      <c r="U12" s="131"/>
      <c r="V12" s="71"/>
    </row>
    <row r="13" spans="1:22" x14ac:dyDescent="0.3">
      <c r="A13" s="187" t="s">
        <v>204</v>
      </c>
      <c r="B13" s="187" t="s">
        <v>39</v>
      </c>
      <c r="C13" s="187">
        <v>108082.84398670134</v>
      </c>
      <c r="D13" s="188">
        <v>0</v>
      </c>
      <c r="E13" s="187">
        <v>0</v>
      </c>
      <c r="F13" s="188">
        <v>108082.84398670134</v>
      </c>
      <c r="G13" s="187">
        <v>3738585.5734999999</v>
      </c>
      <c r="H13" s="188">
        <v>0</v>
      </c>
      <c r="I13" s="188">
        <v>0</v>
      </c>
      <c r="J13" s="188"/>
      <c r="K13" s="40"/>
      <c r="L13" s="41"/>
      <c r="M13" s="40"/>
      <c r="N13" s="41"/>
      <c r="O13" s="40"/>
      <c r="P13" s="41"/>
      <c r="Q13" s="188">
        <v>108082.84398670134</v>
      </c>
      <c r="R13" s="187">
        <v>3738585.5734999999</v>
      </c>
      <c r="S13" s="188">
        <v>108082.84398670134</v>
      </c>
      <c r="T13" s="188">
        <v>3738585.5734999999</v>
      </c>
      <c r="U13" s="131"/>
      <c r="V13" s="71"/>
    </row>
    <row r="14" spans="1:22" x14ac:dyDescent="0.3">
      <c r="A14" s="187" t="s">
        <v>205</v>
      </c>
      <c r="B14" s="187" t="s">
        <v>39</v>
      </c>
      <c r="C14" s="187">
        <v>122750.9684880023</v>
      </c>
      <c r="D14" s="188">
        <v>0</v>
      </c>
      <c r="E14" s="187">
        <v>0</v>
      </c>
      <c r="F14" s="188">
        <v>122750.9684880023</v>
      </c>
      <c r="G14" s="187">
        <v>4245956</v>
      </c>
      <c r="H14" s="188">
        <v>0</v>
      </c>
      <c r="I14" s="188">
        <v>0</v>
      </c>
      <c r="J14" s="188"/>
      <c r="K14" s="40"/>
      <c r="L14" s="41"/>
      <c r="M14" s="40"/>
      <c r="N14" s="41"/>
      <c r="O14" s="40"/>
      <c r="P14" s="41"/>
      <c r="Q14" s="188">
        <v>122750.9684880023</v>
      </c>
      <c r="R14" s="187">
        <v>4245956</v>
      </c>
      <c r="S14" s="188">
        <v>122750.9684880023</v>
      </c>
      <c r="T14" s="188">
        <v>4245956</v>
      </c>
      <c r="U14" s="131"/>
      <c r="V14" s="71"/>
    </row>
    <row r="15" spans="1:22" x14ac:dyDescent="0.3">
      <c r="A15" s="187" t="s">
        <v>206</v>
      </c>
      <c r="B15" s="187" t="s">
        <v>39</v>
      </c>
      <c r="C15" s="187">
        <v>132908.78866724487</v>
      </c>
      <c r="D15" s="188">
        <v>0</v>
      </c>
      <c r="E15" s="187">
        <v>0</v>
      </c>
      <c r="F15" s="188">
        <v>132908.78866724487</v>
      </c>
      <c r="G15" s="187">
        <v>4597315</v>
      </c>
      <c r="H15" s="188">
        <v>0</v>
      </c>
      <c r="I15" s="188">
        <v>0</v>
      </c>
      <c r="J15" s="188"/>
      <c r="K15" s="40"/>
      <c r="L15" s="41"/>
      <c r="M15" s="40"/>
      <c r="N15" s="41"/>
      <c r="O15" s="40"/>
      <c r="P15" s="41"/>
      <c r="Q15" s="188">
        <v>132908.78866724487</v>
      </c>
      <c r="R15" s="187">
        <v>4597315</v>
      </c>
      <c r="S15" s="188">
        <v>132908.78866724487</v>
      </c>
      <c r="T15" s="188">
        <v>4597315</v>
      </c>
      <c r="U15" s="131"/>
      <c r="V15" s="71"/>
    </row>
    <row r="16" spans="1:22" x14ac:dyDescent="0.3">
      <c r="A16" s="187" t="s">
        <v>207</v>
      </c>
      <c r="B16" s="187" t="s">
        <v>39</v>
      </c>
      <c r="C16" s="187">
        <v>95554.402717548423</v>
      </c>
      <c r="D16" s="188">
        <v>0</v>
      </c>
      <c r="E16" s="187">
        <v>0</v>
      </c>
      <c r="F16" s="188">
        <v>95554.402717548423</v>
      </c>
      <c r="G16" s="187">
        <v>3305226.7900000005</v>
      </c>
      <c r="H16" s="188">
        <v>0</v>
      </c>
      <c r="I16" s="188">
        <v>0</v>
      </c>
      <c r="J16" s="188"/>
      <c r="K16" s="40"/>
      <c r="L16" s="41"/>
      <c r="M16" s="40"/>
      <c r="N16" s="41"/>
      <c r="O16" s="40"/>
      <c r="P16" s="41"/>
      <c r="Q16" s="188">
        <v>95554.402717548423</v>
      </c>
      <c r="R16" s="187">
        <v>3305226.7900000005</v>
      </c>
      <c r="S16" s="188">
        <v>95554.402717548423</v>
      </c>
      <c r="T16" s="188">
        <v>3305226.7900000005</v>
      </c>
      <c r="U16" s="131"/>
      <c r="V16" s="71"/>
    </row>
    <row r="17" spans="1:22" x14ac:dyDescent="0.3">
      <c r="A17" s="187" t="s">
        <v>289</v>
      </c>
      <c r="B17" s="187" t="s">
        <v>39</v>
      </c>
      <c r="C17" s="187">
        <v>96900.327262214501</v>
      </c>
      <c r="D17" s="188">
        <v>0</v>
      </c>
      <c r="E17" s="187">
        <v>0</v>
      </c>
      <c r="F17" s="188">
        <v>96900.327262214501</v>
      </c>
      <c r="G17" s="187">
        <v>3351782.32</v>
      </c>
      <c r="H17" s="188">
        <v>0</v>
      </c>
      <c r="I17" s="188">
        <v>0</v>
      </c>
      <c r="J17" s="188"/>
      <c r="K17" s="40"/>
      <c r="L17" s="41"/>
      <c r="M17" s="40"/>
      <c r="N17" s="41"/>
      <c r="O17" s="40"/>
      <c r="P17" s="41"/>
      <c r="Q17" s="188">
        <v>96900.327262214501</v>
      </c>
      <c r="R17" s="187">
        <v>3351782.32</v>
      </c>
      <c r="S17" s="188">
        <v>96900.327262214501</v>
      </c>
      <c r="T17" s="188">
        <v>3351782.32</v>
      </c>
      <c r="U17" s="131"/>
      <c r="V17" s="71"/>
    </row>
    <row r="18" spans="1:22" x14ac:dyDescent="0.3">
      <c r="A18" s="218" t="s">
        <v>290</v>
      </c>
      <c r="B18" s="187" t="s">
        <v>39</v>
      </c>
      <c r="C18" s="187">
        <v>47366.999999999993</v>
      </c>
      <c r="D18" s="188">
        <v>0</v>
      </c>
      <c r="E18" s="187">
        <v>0</v>
      </c>
      <c r="F18" s="188">
        <v>47366.999999999993</v>
      </c>
      <c r="G18" s="187">
        <v>1638424.5299999998</v>
      </c>
      <c r="H18" s="188">
        <v>0</v>
      </c>
      <c r="I18" s="188">
        <v>0</v>
      </c>
      <c r="J18" s="188"/>
      <c r="K18" s="40"/>
      <c r="L18" s="41"/>
      <c r="M18" s="40"/>
      <c r="N18" s="41"/>
      <c r="O18" s="40"/>
      <c r="P18" s="41"/>
      <c r="Q18" s="188">
        <v>47366.999999999993</v>
      </c>
      <c r="R18" s="187">
        <v>1638424.5299999998</v>
      </c>
      <c r="S18" s="188">
        <v>47366.999999999993</v>
      </c>
      <c r="T18" s="188">
        <v>1638424.5299999998</v>
      </c>
      <c r="U18" s="131"/>
      <c r="V18" s="71"/>
    </row>
    <row r="19" spans="1:22" x14ac:dyDescent="0.3">
      <c r="A19" s="187" t="s">
        <v>291</v>
      </c>
      <c r="B19" s="187" t="s">
        <v>39</v>
      </c>
      <c r="C19" s="187">
        <v>11495.949985544954</v>
      </c>
      <c r="D19" s="188">
        <v>0</v>
      </c>
      <c r="E19" s="187">
        <v>0</v>
      </c>
      <c r="F19" s="188">
        <v>11495.949985544954</v>
      </c>
      <c r="G19" s="187">
        <v>397644.91</v>
      </c>
      <c r="H19" s="188">
        <v>0</v>
      </c>
      <c r="I19" s="188">
        <v>0</v>
      </c>
      <c r="J19" s="188"/>
      <c r="K19" s="40"/>
      <c r="L19" s="41"/>
      <c r="M19" s="40"/>
      <c r="N19" s="41"/>
      <c r="O19" s="40"/>
      <c r="P19" s="41"/>
      <c r="Q19" s="188">
        <v>11495.949985544954</v>
      </c>
      <c r="R19" s="187">
        <v>397644.91</v>
      </c>
      <c r="S19" s="188">
        <v>11495.949985544954</v>
      </c>
      <c r="T19" s="188">
        <v>397644.91</v>
      </c>
      <c r="U19" s="131"/>
      <c r="V19" s="71"/>
    </row>
    <row r="20" spans="1:22" x14ac:dyDescent="0.3">
      <c r="A20" s="187" t="s">
        <v>292</v>
      </c>
      <c r="B20" s="187" t="s">
        <v>39</v>
      </c>
      <c r="C20" s="187">
        <v>96127.175484243999</v>
      </c>
      <c r="D20" s="188">
        <v>0</v>
      </c>
      <c r="E20" s="187">
        <v>0</v>
      </c>
      <c r="F20" s="188">
        <v>96127.175484243999</v>
      </c>
      <c r="G20" s="187">
        <v>3325039</v>
      </c>
      <c r="H20" s="188">
        <v>0</v>
      </c>
      <c r="I20" s="188">
        <v>0</v>
      </c>
      <c r="J20" s="188"/>
      <c r="K20" s="40"/>
      <c r="L20" s="41"/>
      <c r="M20" s="40"/>
      <c r="N20" s="41"/>
      <c r="O20" s="40"/>
      <c r="P20" s="41"/>
      <c r="Q20" s="188">
        <v>96127.175484243999</v>
      </c>
      <c r="R20" s="187">
        <v>3325039</v>
      </c>
      <c r="S20" s="188">
        <v>96127.175484243999</v>
      </c>
      <c r="T20" s="188">
        <v>3325039</v>
      </c>
      <c r="U20" s="131"/>
      <c r="V20" s="71"/>
    </row>
    <row r="21" spans="1:22" x14ac:dyDescent="0.3">
      <c r="A21" s="187" t="s">
        <v>311</v>
      </c>
      <c r="B21" s="187" t="s">
        <v>39</v>
      </c>
      <c r="C21" s="187">
        <v>51426</v>
      </c>
      <c r="D21" s="188">
        <v>0</v>
      </c>
      <c r="E21" s="187">
        <v>0</v>
      </c>
      <c r="F21" s="188">
        <v>51426</v>
      </c>
      <c r="G21" s="187">
        <v>1778825.34</v>
      </c>
      <c r="H21" s="188">
        <v>0</v>
      </c>
      <c r="I21" s="188">
        <v>0</v>
      </c>
      <c r="J21" s="188"/>
      <c r="K21" s="40"/>
      <c r="L21" s="41"/>
      <c r="M21" s="40"/>
      <c r="N21" s="41"/>
      <c r="O21" s="40"/>
      <c r="P21" s="41"/>
      <c r="Q21" s="188">
        <v>51426</v>
      </c>
      <c r="R21" s="187">
        <v>1778825.34</v>
      </c>
      <c r="S21" s="188">
        <v>51426</v>
      </c>
      <c r="T21" s="188">
        <v>1778825.34</v>
      </c>
      <c r="U21" s="131"/>
      <c r="V21" s="71"/>
    </row>
    <row r="22" spans="1:22" x14ac:dyDescent="0.3">
      <c r="A22" s="187" t="s">
        <v>347</v>
      </c>
      <c r="B22" s="187" t="s">
        <v>39</v>
      </c>
      <c r="C22" s="187">
        <v>7320.2</v>
      </c>
      <c r="D22" s="188">
        <v>0</v>
      </c>
      <c r="E22" s="187">
        <v>0</v>
      </c>
      <c r="F22" s="188">
        <v>7320.2</v>
      </c>
      <c r="G22" s="187">
        <v>253205.71800000002</v>
      </c>
      <c r="H22" s="188">
        <v>0</v>
      </c>
      <c r="I22" s="188">
        <v>0</v>
      </c>
      <c r="J22" s="188"/>
      <c r="K22" s="40"/>
      <c r="L22" s="41"/>
      <c r="M22" s="40"/>
      <c r="N22" s="41"/>
      <c r="O22" s="40"/>
      <c r="P22" s="41"/>
      <c r="Q22" s="188">
        <v>7320.2</v>
      </c>
      <c r="R22" s="187">
        <v>253205.71800000002</v>
      </c>
      <c r="S22" s="188">
        <v>7320.2</v>
      </c>
      <c r="T22" s="188">
        <v>253205.71800000002</v>
      </c>
      <c r="U22" s="131"/>
      <c r="V22" s="71"/>
    </row>
    <row r="23" spans="1:22" x14ac:dyDescent="0.3">
      <c r="A23" s="214"/>
      <c r="B23" s="214"/>
      <c r="C23" s="214"/>
      <c r="D23" s="215"/>
      <c r="E23" s="214"/>
      <c r="F23" s="215"/>
      <c r="G23" s="214"/>
      <c r="H23" s="215"/>
      <c r="I23" s="214"/>
      <c r="J23" s="214"/>
      <c r="K23" s="216"/>
      <c r="L23" s="216"/>
      <c r="M23" s="216"/>
      <c r="N23" s="216"/>
      <c r="O23" s="216"/>
      <c r="P23" s="216"/>
      <c r="Q23" s="215"/>
      <c r="R23" s="214"/>
      <c r="S23" s="215"/>
      <c r="T23" s="214"/>
      <c r="U23" s="217"/>
      <c r="V23" s="71"/>
    </row>
    <row r="24" spans="1:22" x14ac:dyDescent="0.3">
      <c r="A24" s="192" t="s">
        <v>293</v>
      </c>
      <c r="B24" s="3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71"/>
    </row>
    <row r="25" spans="1:22" x14ac:dyDescent="0.3">
      <c r="A25" s="187" t="s">
        <v>294</v>
      </c>
      <c r="B25" s="187" t="s">
        <v>39</v>
      </c>
      <c r="C25" s="40">
        <v>3647.0357142857142</v>
      </c>
      <c r="D25" s="188">
        <v>0</v>
      </c>
      <c r="E25" s="188">
        <v>0</v>
      </c>
      <c r="F25" s="188">
        <v>3647.0357142857142</v>
      </c>
      <c r="G25" s="188">
        <v>102117</v>
      </c>
      <c r="H25" s="188">
        <v>0</v>
      </c>
      <c r="I25" s="188">
        <v>0</v>
      </c>
      <c r="J25" s="188"/>
      <c r="K25" s="40">
        <v>0</v>
      </c>
      <c r="L25" s="41">
        <f>I25</f>
        <v>0</v>
      </c>
      <c r="M25" s="40">
        <f>F25</f>
        <v>3647.0357142857142</v>
      </c>
      <c r="N25" s="41">
        <f>G25</f>
        <v>102117</v>
      </c>
      <c r="O25" s="40">
        <v>0</v>
      </c>
      <c r="P25" s="41">
        <v>0</v>
      </c>
      <c r="Q25" s="188">
        <v>0</v>
      </c>
      <c r="R25" s="187">
        <v>0</v>
      </c>
      <c r="S25" s="188">
        <v>0</v>
      </c>
      <c r="T25" s="188">
        <v>0</v>
      </c>
      <c r="U25" s="131"/>
      <c r="V25" s="71"/>
    </row>
    <row r="26" spans="1:22" x14ac:dyDescent="0.3">
      <c r="A26" s="187" t="s">
        <v>312</v>
      </c>
      <c r="B26" s="187" t="s">
        <v>39</v>
      </c>
      <c r="C26" s="40">
        <v>8521.5714285714294</v>
      </c>
      <c r="D26" s="188">
        <v>0</v>
      </c>
      <c r="E26" s="188">
        <v>0</v>
      </c>
      <c r="F26" s="188">
        <v>8521.5714285714294</v>
      </c>
      <c r="G26" s="188">
        <v>238604</v>
      </c>
      <c r="H26" s="188">
        <v>0</v>
      </c>
      <c r="I26" s="188">
        <v>0</v>
      </c>
      <c r="J26" s="188"/>
      <c r="K26" s="40">
        <v>0</v>
      </c>
      <c r="L26" s="41">
        <f>I26</f>
        <v>0</v>
      </c>
      <c r="M26" s="40">
        <f t="shared" ref="M26:M34" si="0">F26</f>
        <v>8521.5714285714294</v>
      </c>
      <c r="N26" s="41">
        <f t="shared" ref="N26:N34" si="1">G26</f>
        <v>238604</v>
      </c>
      <c r="O26" s="40">
        <v>0</v>
      </c>
      <c r="P26" s="41">
        <v>0</v>
      </c>
      <c r="Q26" s="188">
        <v>0</v>
      </c>
      <c r="R26" s="187">
        <v>0</v>
      </c>
      <c r="S26" s="188">
        <v>0</v>
      </c>
      <c r="T26" s="188">
        <v>0</v>
      </c>
      <c r="U26" s="131"/>
      <c r="V26" s="71"/>
    </row>
    <row r="27" spans="1:22" s="257" customFormat="1" x14ac:dyDescent="0.3">
      <c r="A27" s="187" t="s">
        <v>313</v>
      </c>
      <c r="B27" s="187" t="s">
        <v>39</v>
      </c>
      <c r="C27" s="40">
        <v>223320.21</v>
      </c>
      <c r="D27" s="188">
        <v>55454</v>
      </c>
      <c r="E27" s="188">
        <v>1426848</v>
      </c>
      <c r="F27" s="188">
        <v>223320.21</v>
      </c>
      <c r="G27" s="188">
        <v>5601003</v>
      </c>
      <c r="H27" s="188">
        <v>55454</v>
      </c>
      <c r="I27" s="188">
        <v>1426848</v>
      </c>
      <c r="J27" s="188"/>
      <c r="K27" s="40">
        <v>55454</v>
      </c>
      <c r="L27" s="41">
        <v>1426848</v>
      </c>
      <c r="M27" s="40">
        <f t="shared" si="0"/>
        <v>223320.21</v>
      </c>
      <c r="N27" s="41">
        <f t="shared" si="1"/>
        <v>5601003</v>
      </c>
      <c r="O27" s="40">
        <v>55454</v>
      </c>
      <c r="P27" s="41">
        <v>1426848</v>
      </c>
      <c r="Q27" s="188">
        <v>0</v>
      </c>
      <c r="R27" s="187">
        <v>0</v>
      </c>
      <c r="S27" s="188">
        <v>0</v>
      </c>
      <c r="T27" s="188">
        <v>0</v>
      </c>
      <c r="U27" s="131"/>
      <c r="V27" s="256"/>
    </row>
    <row r="28" spans="1:22" x14ac:dyDescent="0.3">
      <c r="A28" s="187" t="s">
        <v>343</v>
      </c>
      <c r="B28" s="187" t="s">
        <v>39</v>
      </c>
      <c r="C28" s="40">
        <v>195669.6</v>
      </c>
      <c r="D28" s="188">
        <v>36141</v>
      </c>
      <c r="E28" s="188">
        <v>924506</v>
      </c>
      <c r="F28" s="188">
        <v>195669.6</v>
      </c>
      <c r="G28" s="188">
        <v>4889955</v>
      </c>
      <c r="H28" s="188">
        <v>36141</v>
      </c>
      <c r="I28" s="188">
        <v>924506</v>
      </c>
      <c r="J28" s="188"/>
      <c r="K28" s="40">
        <v>36141</v>
      </c>
      <c r="L28" s="41">
        <v>924506</v>
      </c>
      <c r="M28" s="40">
        <f t="shared" si="0"/>
        <v>195669.6</v>
      </c>
      <c r="N28" s="41">
        <f t="shared" si="1"/>
        <v>4889955</v>
      </c>
      <c r="O28" s="40">
        <v>36141</v>
      </c>
      <c r="P28" s="41">
        <v>924506</v>
      </c>
      <c r="Q28" s="188">
        <v>0</v>
      </c>
      <c r="R28" s="187">
        <v>0</v>
      </c>
      <c r="S28" s="188">
        <v>0</v>
      </c>
      <c r="T28" s="188">
        <v>0</v>
      </c>
      <c r="U28" s="131"/>
      <c r="V28" s="71"/>
    </row>
    <row r="29" spans="1:22" x14ac:dyDescent="0.3">
      <c r="A29" s="187" t="s">
        <v>344</v>
      </c>
      <c r="B29" s="187" t="s">
        <v>39</v>
      </c>
      <c r="C29" s="40">
        <v>866.15</v>
      </c>
      <c r="D29" s="188">
        <v>0</v>
      </c>
      <c r="E29" s="188">
        <v>0</v>
      </c>
      <c r="F29" s="188">
        <v>866.15</v>
      </c>
      <c r="G29" s="188">
        <v>24252.2</v>
      </c>
      <c r="H29" s="188">
        <v>0</v>
      </c>
      <c r="I29" s="188">
        <v>0</v>
      </c>
      <c r="J29" s="188"/>
      <c r="K29" s="40">
        <v>0</v>
      </c>
      <c r="L29" s="41">
        <v>0</v>
      </c>
      <c r="M29" s="40">
        <f t="shared" si="0"/>
        <v>866.15</v>
      </c>
      <c r="N29" s="41">
        <f t="shared" si="1"/>
        <v>24252.2</v>
      </c>
      <c r="O29" s="40">
        <v>0</v>
      </c>
      <c r="P29" s="41">
        <v>0</v>
      </c>
      <c r="Q29" s="188">
        <v>0</v>
      </c>
      <c r="R29" s="187">
        <v>0</v>
      </c>
      <c r="S29" s="188">
        <v>0</v>
      </c>
      <c r="T29" s="188">
        <v>0</v>
      </c>
      <c r="U29" s="131"/>
      <c r="V29" s="71"/>
    </row>
    <row r="30" spans="1:22" x14ac:dyDescent="0.3">
      <c r="A30" s="187" t="s">
        <v>345</v>
      </c>
      <c r="B30" s="187" t="s">
        <v>39</v>
      </c>
      <c r="C30" s="40">
        <v>116340</v>
      </c>
      <c r="D30" s="188">
        <v>23041</v>
      </c>
      <c r="E30" s="188">
        <v>590490</v>
      </c>
      <c r="F30" s="188">
        <v>116340</v>
      </c>
      <c r="G30" s="188">
        <v>2908874</v>
      </c>
      <c r="H30" s="188">
        <v>23041</v>
      </c>
      <c r="I30" s="188">
        <v>590490</v>
      </c>
      <c r="J30" s="188"/>
      <c r="K30" s="40">
        <v>23041</v>
      </c>
      <c r="L30" s="41">
        <v>590490</v>
      </c>
      <c r="M30" s="40">
        <f t="shared" si="0"/>
        <v>116340</v>
      </c>
      <c r="N30" s="41">
        <f t="shared" si="1"/>
        <v>2908874</v>
      </c>
      <c r="O30" s="40">
        <v>23041</v>
      </c>
      <c r="P30" s="41">
        <v>590490</v>
      </c>
      <c r="Q30" s="188">
        <v>0</v>
      </c>
      <c r="R30" s="187">
        <v>0</v>
      </c>
      <c r="S30" s="188">
        <v>0</v>
      </c>
      <c r="T30" s="188">
        <v>0</v>
      </c>
      <c r="U30" s="131"/>
      <c r="V30" s="71"/>
    </row>
    <row r="31" spans="1:22" x14ac:dyDescent="0.3">
      <c r="A31" s="187" t="s">
        <v>346</v>
      </c>
      <c r="B31" s="187" t="s">
        <v>39</v>
      </c>
      <c r="C31" s="40">
        <v>52955.8</v>
      </c>
      <c r="D31" s="188">
        <v>27890.6</v>
      </c>
      <c r="E31" s="188">
        <v>714218</v>
      </c>
      <c r="F31" s="188">
        <v>52955.8</v>
      </c>
      <c r="G31" s="188">
        <v>1319793</v>
      </c>
      <c r="H31" s="188">
        <v>27890.6</v>
      </c>
      <c r="I31" s="188">
        <v>714218</v>
      </c>
      <c r="J31" s="188"/>
      <c r="K31" s="40">
        <v>27890.6</v>
      </c>
      <c r="L31" s="41">
        <v>714218</v>
      </c>
      <c r="M31" s="40">
        <f t="shared" si="0"/>
        <v>52955.8</v>
      </c>
      <c r="N31" s="41">
        <f t="shared" si="1"/>
        <v>1319793</v>
      </c>
      <c r="O31" s="40">
        <v>27890.6</v>
      </c>
      <c r="P31" s="41">
        <v>714218</v>
      </c>
      <c r="Q31" s="188">
        <v>0</v>
      </c>
      <c r="R31" s="187">
        <v>0</v>
      </c>
      <c r="S31" s="188">
        <v>0</v>
      </c>
      <c r="T31" s="188">
        <v>0</v>
      </c>
      <c r="U31" s="131"/>
      <c r="V31" s="71"/>
    </row>
    <row r="32" spans="1:22" x14ac:dyDescent="0.3">
      <c r="A32" s="187" t="s">
        <v>368</v>
      </c>
      <c r="B32" s="187" t="s">
        <v>39</v>
      </c>
      <c r="C32" s="40">
        <v>52474</v>
      </c>
      <c r="D32" s="188">
        <v>13978</v>
      </c>
      <c r="E32" s="188">
        <v>354761</v>
      </c>
      <c r="F32" s="188">
        <v>52474</v>
      </c>
      <c r="G32" s="188">
        <v>1331790</v>
      </c>
      <c r="H32" s="188">
        <v>13978</v>
      </c>
      <c r="I32" s="188">
        <v>354761</v>
      </c>
      <c r="J32" s="188"/>
      <c r="K32" s="40">
        <v>13978</v>
      </c>
      <c r="L32" s="41">
        <v>354761</v>
      </c>
      <c r="M32" s="40">
        <f t="shared" si="0"/>
        <v>52474</v>
      </c>
      <c r="N32" s="41">
        <f t="shared" si="1"/>
        <v>1331790</v>
      </c>
      <c r="O32" s="40">
        <v>13978</v>
      </c>
      <c r="P32" s="41">
        <v>354761</v>
      </c>
      <c r="Q32" s="188"/>
      <c r="R32" s="252"/>
      <c r="S32" s="188"/>
      <c r="T32" s="188"/>
      <c r="U32" s="131"/>
      <c r="V32" s="71"/>
    </row>
    <row r="33" spans="1:25" x14ac:dyDescent="0.3">
      <c r="A33" s="187" t="s">
        <v>369</v>
      </c>
      <c r="B33" s="187" t="s">
        <v>39</v>
      </c>
      <c r="C33" s="40">
        <v>18152</v>
      </c>
      <c r="D33" s="188">
        <v>18152</v>
      </c>
      <c r="E33" s="188">
        <v>469955</v>
      </c>
      <c r="F33" s="188">
        <v>18152</v>
      </c>
      <c r="G33" s="188">
        <v>469955</v>
      </c>
      <c r="H33" s="188">
        <v>18152</v>
      </c>
      <c r="I33" s="188">
        <v>469955</v>
      </c>
      <c r="J33" s="188"/>
      <c r="K33" s="40">
        <v>18152</v>
      </c>
      <c r="L33" s="41">
        <v>469955</v>
      </c>
      <c r="M33" s="40">
        <f t="shared" si="0"/>
        <v>18152</v>
      </c>
      <c r="N33" s="41">
        <f t="shared" si="1"/>
        <v>469955</v>
      </c>
      <c r="O33" s="40">
        <v>18152</v>
      </c>
      <c r="P33" s="41">
        <v>469955</v>
      </c>
      <c r="Q33" s="188"/>
      <c r="R33" s="252"/>
      <c r="S33" s="188"/>
      <c r="T33" s="188"/>
      <c r="U33" s="131"/>
      <c r="V33" s="71"/>
    </row>
    <row r="34" spans="1:25" x14ac:dyDescent="0.3">
      <c r="A34" s="187" t="s">
        <v>370</v>
      </c>
      <c r="B34" s="187" t="s">
        <v>39</v>
      </c>
      <c r="C34" s="40">
        <v>84329</v>
      </c>
      <c r="D34" s="188">
        <v>84329</v>
      </c>
      <c r="E34" s="188">
        <v>393870</v>
      </c>
      <c r="F34" s="188">
        <v>84329</v>
      </c>
      <c r="G34" s="188">
        <v>393870</v>
      </c>
      <c r="H34" s="188">
        <v>84329</v>
      </c>
      <c r="I34" s="188">
        <v>393870</v>
      </c>
      <c r="J34" s="188"/>
      <c r="K34" s="40">
        <v>69362.251957884961</v>
      </c>
      <c r="L34" s="41">
        <v>112164</v>
      </c>
      <c r="M34" s="40">
        <f t="shared" si="0"/>
        <v>84329</v>
      </c>
      <c r="N34" s="41">
        <f t="shared" si="1"/>
        <v>393870</v>
      </c>
      <c r="O34" s="40">
        <v>69362.251957884961</v>
      </c>
      <c r="P34" s="41">
        <v>112164</v>
      </c>
      <c r="Q34" s="188"/>
      <c r="R34" s="252"/>
      <c r="S34" s="188"/>
      <c r="T34" s="188"/>
      <c r="U34" s="131"/>
      <c r="V34" s="71"/>
    </row>
    <row r="35" spans="1:25" x14ac:dyDescent="0.3">
      <c r="A35" s="187"/>
      <c r="B35" s="187"/>
      <c r="C35" s="40"/>
      <c r="D35" s="188"/>
      <c r="E35" s="188"/>
      <c r="F35" s="188"/>
      <c r="G35" s="188"/>
      <c r="H35" s="188"/>
      <c r="I35" s="188"/>
      <c r="J35" s="188"/>
      <c r="K35" s="40"/>
      <c r="L35" s="41"/>
      <c r="M35" s="40"/>
      <c r="N35" s="41"/>
      <c r="O35" s="40"/>
      <c r="P35" s="41"/>
      <c r="Q35" s="188"/>
      <c r="R35" s="252"/>
      <c r="S35" s="188"/>
      <c r="T35" s="188"/>
      <c r="U35" s="131"/>
      <c r="V35" s="71"/>
    </row>
    <row r="36" spans="1:25" x14ac:dyDescent="0.3">
      <c r="A36" s="253" t="s">
        <v>74</v>
      </c>
      <c r="B36" s="187"/>
      <c r="C36" s="40"/>
      <c r="D36" s="188"/>
      <c r="E36" s="188"/>
      <c r="F36" s="188"/>
      <c r="G36" s="188"/>
      <c r="H36" s="188"/>
      <c r="I36" s="188"/>
      <c r="J36" s="188"/>
      <c r="K36" s="40"/>
      <c r="L36" s="41"/>
      <c r="M36" s="40"/>
      <c r="N36" s="41"/>
      <c r="O36" s="40"/>
      <c r="P36" s="41"/>
      <c r="Q36" s="188"/>
      <c r="R36" s="252"/>
      <c r="S36" s="188"/>
      <c r="T36" s="188"/>
      <c r="U36" s="131"/>
      <c r="V36" s="71"/>
    </row>
    <row r="37" spans="1:25" x14ac:dyDescent="0.3">
      <c r="A37" s="187" t="s">
        <v>322</v>
      </c>
      <c r="B37" s="187" t="s">
        <v>39</v>
      </c>
      <c r="C37" s="40">
        <v>149</v>
      </c>
      <c r="D37" s="188">
        <v>0</v>
      </c>
      <c r="E37" s="188">
        <v>0</v>
      </c>
      <c r="F37" s="188">
        <v>149</v>
      </c>
      <c r="G37" s="188">
        <v>830526</v>
      </c>
      <c r="H37" s="188">
        <v>0</v>
      </c>
      <c r="I37" s="188">
        <v>0</v>
      </c>
      <c r="J37" s="188"/>
      <c r="K37" s="40">
        <v>0</v>
      </c>
      <c r="L37" s="41">
        <v>0</v>
      </c>
      <c r="M37" s="40">
        <v>149</v>
      </c>
      <c r="N37" s="41">
        <v>830526</v>
      </c>
      <c r="O37" s="40">
        <v>0</v>
      </c>
      <c r="P37" s="41">
        <v>0</v>
      </c>
      <c r="Q37" s="188">
        <v>0</v>
      </c>
      <c r="R37" s="252">
        <v>0</v>
      </c>
      <c r="S37" s="188">
        <v>0</v>
      </c>
      <c r="T37" s="188">
        <v>0</v>
      </c>
      <c r="U37" s="131"/>
      <c r="V37" s="71"/>
    </row>
    <row r="38" spans="1:25" x14ac:dyDescent="0.3">
      <c r="A38" s="187"/>
      <c r="B38" s="187"/>
      <c r="C38" s="40"/>
      <c r="D38" s="188"/>
      <c r="E38" s="188"/>
      <c r="F38" s="188"/>
      <c r="G38" s="188"/>
      <c r="H38" s="188"/>
      <c r="I38" s="188"/>
      <c r="J38" s="188"/>
      <c r="K38" s="40"/>
      <c r="L38" s="41"/>
      <c r="M38" s="40"/>
      <c r="N38" s="41"/>
      <c r="O38" s="40"/>
      <c r="P38" s="41"/>
      <c r="Q38" s="188"/>
      <c r="R38" s="252"/>
      <c r="S38" s="188"/>
      <c r="T38" s="188"/>
      <c r="U38" s="131"/>
      <c r="V38" s="71"/>
    </row>
    <row r="39" spans="1:25" x14ac:dyDescent="0.3">
      <c r="A39" s="192" t="s">
        <v>72</v>
      </c>
      <c r="B39" s="187"/>
      <c r="C39" s="40"/>
      <c r="D39" s="188"/>
      <c r="E39" s="188"/>
      <c r="F39" s="188"/>
      <c r="G39" s="188"/>
      <c r="H39" s="188"/>
      <c r="I39" s="188"/>
      <c r="J39" s="188"/>
      <c r="K39" s="40"/>
      <c r="L39" s="41"/>
      <c r="M39" s="40"/>
      <c r="N39" s="41"/>
      <c r="O39" s="40"/>
      <c r="P39" s="41"/>
      <c r="Q39" s="188"/>
      <c r="R39" s="252"/>
      <c r="S39" s="188"/>
      <c r="T39" s="188"/>
      <c r="U39" s="131"/>
      <c r="V39" s="71"/>
    </row>
    <row r="40" spans="1:25" x14ac:dyDescent="0.3">
      <c r="A40" s="187" t="s">
        <v>321</v>
      </c>
      <c r="B40" s="187" t="s">
        <v>39</v>
      </c>
      <c r="C40" s="40">
        <v>608.41299443772675</v>
      </c>
      <c r="D40" s="188">
        <v>0</v>
      </c>
      <c r="E40" s="188">
        <v>0</v>
      </c>
      <c r="F40" s="188">
        <v>608.41299443772675</v>
      </c>
      <c r="G40" s="188">
        <v>50369805</v>
      </c>
      <c r="H40" s="188">
        <v>0</v>
      </c>
      <c r="I40" s="188">
        <v>0</v>
      </c>
      <c r="J40" s="188">
        <v>8651247</v>
      </c>
      <c r="K40" s="40">
        <v>0</v>
      </c>
      <c r="L40" s="41">
        <v>0</v>
      </c>
      <c r="M40" s="40">
        <v>414.45656590084644</v>
      </c>
      <c r="N40" s="41">
        <v>34275558</v>
      </c>
      <c r="O40" s="40">
        <v>0</v>
      </c>
      <c r="P40" s="41">
        <v>0</v>
      </c>
      <c r="Q40" s="188">
        <v>90</v>
      </c>
      <c r="R40" s="188">
        <v>7443000</v>
      </c>
      <c r="S40" s="188">
        <v>90</v>
      </c>
      <c r="T40" s="188">
        <v>7443000</v>
      </c>
      <c r="U40" s="131"/>
      <c r="V40" s="71"/>
      <c r="W40" s="214">
        <f>G40-P40</f>
        <v>50369805</v>
      </c>
      <c r="X40" s="52">
        <f>42468399.36-W40</f>
        <v>-7901405.6400000006</v>
      </c>
    </row>
    <row r="41" spans="1:25" x14ac:dyDescent="0.3">
      <c r="A41" s="187"/>
      <c r="B41" s="187"/>
      <c r="C41" s="40"/>
      <c r="D41" s="188"/>
      <c r="E41" s="188"/>
      <c r="F41" s="188"/>
      <c r="G41" s="188"/>
      <c r="H41" s="188"/>
      <c r="I41" s="188"/>
      <c r="J41" s="188"/>
      <c r="K41" s="40"/>
      <c r="L41" s="41"/>
      <c r="M41" s="40"/>
      <c r="N41" s="41"/>
      <c r="O41" s="40"/>
      <c r="P41" s="41"/>
      <c r="Q41" s="188"/>
      <c r="R41" s="188"/>
      <c r="S41" s="188"/>
      <c r="T41" s="188"/>
      <c r="U41" s="131"/>
      <c r="V41" s="71"/>
      <c r="W41" s="214">
        <f>W40-5789000</f>
        <v>44580805</v>
      </c>
      <c r="X41" s="42">
        <v>2403841</v>
      </c>
      <c r="Y41" s="214">
        <f>W41-X41</f>
        <v>42176964</v>
      </c>
    </row>
    <row r="42" spans="1:25" x14ac:dyDescent="0.3">
      <c r="A42" s="192" t="s">
        <v>37</v>
      </c>
      <c r="B42" s="187"/>
      <c r="C42" s="40"/>
      <c r="D42" s="188"/>
      <c r="E42" s="188"/>
      <c r="F42" s="188"/>
      <c r="G42" s="188"/>
      <c r="H42" s="188"/>
      <c r="I42" s="188"/>
      <c r="J42" s="188"/>
      <c r="K42" s="40"/>
      <c r="L42" s="41"/>
      <c r="M42" s="40"/>
      <c r="N42" s="41"/>
      <c r="O42" s="40"/>
      <c r="P42" s="41"/>
      <c r="Q42" s="188"/>
      <c r="R42" s="188"/>
      <c r="S42" s="188"/>
      <c r="T42" s="188"/>
      <c r="U42" s="131"/>
      <c r="V42" s="71"/>
    </row>
    <row r="43" spans="1:25" x14ac:dyDescent="0.3">
      <c r="A43" s="3" t="s">
        <v>342</v>
      </c>
      <c r="B43" s="3" t="s">
        <v>358</v>
      </c>
      <c r="C43" s="40">
        <v>370.3959595959596</v>
      </c>
      <c r="D43" s="188">
        <v>35</v>
      </c>
      <c r="E43" s="188">
        <v>309500</v>
      </c>
      <c r="F43" s="188">
        <v>370.3959595959596</v>
      </c>
      <c r="G43" s="188">
        <v>3626000</v>
      </c>
      <c r="H43" s="188">
        <v>35</v>
      </c>
      <c r="I43" s="188">
        <v>309500</v>
      </c>
      <c r="J43" s="188">
        <v>3316500</v>
      </c>
      <c r="K43" s="40">
        <v>35.395959595959596</v>
      </c>
      <c r="L43" s="41">
        <v>309500</v>
      </c>
      <c r="M43" s="40">
        <v>35.395959595959596</v>
      </c>
      <c r="N43" s="41">
        <v>309500</v>
      </c>
      <c r="O43" s="40">
        <v>35.395959595959596</v>
      </c>
      <c r="P43" s="41">
        <v>309500</v>
      </c>
      <c r="Q43" s="188">
        <v>0</v>
      </c>
      <c r="R43" s="188">
        <v>0</v>
      </c>
      <c r="S43" s="188">
        <v>0</v>
      </c>
      <c r="T43" s="188">
        <v>0</v>
      </c>
      <c r="U43" s="131"/>
      <c r="V43" s="71"/>
    </row>
    <row r="44" spans="1:25" x14ac:dyDescent="0.3">
      <c r="A44" s="3"/>
      <c r="B44" s="3"/>
      <c r="C44" s="40"/>
      <c r="D44" s="188"/>
      <c r="E44" s="188"/>
      <c r="F44" s="188"/>
      <c r="G44" s="188"/>
      <c r="H44" s="188"/>
      <c r="I44" s="188"/>
      <c r="J44" s="188"/>
      <c r="K44" s="40"/>
      <c r="L44" s="41"/>
      <c r="M44" s="40"/>
      <c r="N44" s="41"/>
      <c r="O44" s="40"/>
      <c r="P44" s="41"/>
      <c r="Q44" s="188"/>
      <c r="R44" s="188"/>
      <c r="S44" s="188"/>
      <c r="T44" s="188"/>
      <c r="U44" s="131"/>
      <c r="V44" s="71"/>
    </row>
    <row r="45" spans="1:25" x14ac:dyDescent="0.3">
      <c r="A45" s="192" t="s">
        <v>356</v>
      </c>
      <c r="B45" s="3"/>
      <c r="C45" s="40"/>
      <c r="D45" s="188"/>
      <c r="E45" s="188"/>
      <c r="F45" s="188"/>
      <c r="G45" s="188"/>
      <c r="H45" s="188"/>
      <c r="I45" s="188"/>
      <c r="J45" s="188"/>
      <c r="K45" s="40"/>
      <c r="L45" s="41"/>
      <c r="M45" s="40"/>
      <c r="N45" s="41"/>
      <c r="O45" s="40"/>
      <c r="P45" s="41"/>
      <c r="Q45" s="188"/>
      <c r="R45" s="188"/>
      <c r="S45" s="188"/>
      <c r="T45" s="188"/>
      <c r="U45" s="131"/>
      <c r="V45" s="71"/>
    </row>
    <row r="46" spans="1:25" x14ac:dyDescent="0.3">
      <c r="A46" s="3" t="s">
        <v>359</v>
      </c>
      <c r="B46" s="187" t="s">
        <v>39</v>
      </c>
      <c r="C46" s="40">
        <v>4637</v>
      </c>
      <c r="D46" s="188">
        <v>0</v>
      </c>
      <c r="E46" s="188">
        <v>0</v>
      </c>
      <c r="F46" s="188">
        <v>4637</v>
      </c>
      <c r="G46" s="188">
        <v>15831.510000000009</v>
      </c>
      <c r="H46" s="188">
        <v>0</v>
      </c>
      <c r="I46" s="188">
        <v>0</v>
      </c>
      <c r="J46" s="188"/>
      <c r="K46" s="40">
        <v>-5280.9841655019891</v>
      </c>
      <c r="L46" s="41">
        <v>-168554</v>
      </c>
      <c r="M46" s="40">
        <v>4637</v>
      </c>
      <c r="N46" s="41">
        <v>15831.510000000009</v>
      </c>
      <c r="O46" s="40">
        <v>-5280.9841655019891</v>
      </c>
      <c r="P46" s="41">
        <v>-168554</v>
      </c>
      <c r="Q46" s="188"/>
      <c r="R46" s="188"/>
      <c r="S46" s="188"/>
      <c r="T46" s="188"/>
      <c r="U46" s="131"/>
      <c r="V46" s="71"/>
    </row>
    <row r="47" spans="1:25" x14ac:dyDescent="0.3">
      <c r="A47" s="3" t="s">
        <v>360</v>
      </c>
      <c r="B47" s="187" t="s">
        <v>39</v>
      </c>
      <c r="C47" s="40">
        <v>6689</v>
      </c>
      <c r="D47" s="188">
        <v>0</v>
      </c>
      <c r="E47" s="188">
        <v>0</v>
      </c>
      <c r="F47" s="188">
        <v>6689</v>
      </c>
      <c r="G47" s="188">
        <v>289165.46999999997</v>
      </c>
      <c r="H47" s="188">
        <v>0</v>
      </c>
      <c r="I47" s="188">
        <v>0</v>
      </c>
      <c r="J47" s="188"/>
      <c r="K47" s="40">
        <v>0</v>
      </c>
      <c r="L47" s="41">
        <v>0</v>
      </c>
      <c r="M47" s="40">
        <v>6689</v>
      </c>
      <c r="N47" s="41">
        <v>289165.46999999997</v>
      </c>
      <c r="O47" s="40">
        <v>0</v>
      </c>
      <c r="P47" s="41">
        <v>0</v>
      </c>
      <c r="Q47" s="188"/>
      <c r="R47" s="188"/>
      <c r="S47" s="188"/>
      <c r="T47" s="188"/>
      <c r="U47" s="131"/>
      <c r="V47" s="71"/>
    </row>
    <row r="48" spans="1:25" x14ac:dyDescent="0.3">
      <c r="A48" s="3" t="s">
        <v>361</v>
      </c>
      <c r="B48" s="187" t="s">
        <v>39</v>
      </c>
      <c r="C48" s="40">
        <v>4994</v>
      </c>
      <c r="D48" s="188">
        <v>0</v>
      </c>
      <c r="E48" s="188">
        <v>0</v>
      </c>
      <c r="F48" s="188">
        <v>4994</v>
      </c>
      <c r="G48" s="188">
        <v>215890.62000000002</v>
      </c>
      <c r="H48" s="188">
        <v>0</v>
      </c>
      <c r="I48" s="188">
        <v>0</v>
      </c>
      <c r="J48" s="188"/>
      <c r="K48" s="40">
        <v>0</v>
      </c>
      <c r="L48" s="41">
        <v>0</v>
      </c>
      <c r="M48" s="40">
        <v>4994</v>
      </c>
      <c r="N48" s="41">
        <v>215890.62000000002</v>
      </c>
      <c r="O48" s="40">
        <v>0</v>
      </c>
      <c r="P48" s="41">
        <v>0</v>
      </c>
      <c r="Q48" s="188"/>
      <c r="R48" s="188"/>
      <c r="S48" s="188"/>
      <c r="T48" s="188"/>
      <c r="U48" s="131"/>
      <c r="V48" s="71"/>
    </row>
    <row r="49" spans="1:22" x14ac:dyDescent="0.3">
      <c r="A49" s="3"/>
      <c r="B49" s="3"/>
      <c r="C49" s="40"/>
      <c r="D49" s="188"/>
      <c r="E49" s="188"/>
      <c r="F49" s="188"/>
      <c r="G49" s="188"/>
      <c r="H49" s="188"/>
      <c r="I49" s="188"/>
      <c r="J49" s="188"/>
      <c r="K49" s="40"/>
      <c r="L49" s="41"/>
      <c r="M49" s="40"/>
      <c r="N49" s="41"/>
      <c r="O49" s="40"/>
      <c r="P49" s="41"/>
      <c r="Q49" s="188"/>
      <c r="R49" s="188"/>
      <c r="S49" s="188"/>
      <c r="T49" s="188"/>
      <c r="U49" s="131"/>
      <c r="V49" s="71"/>
    </row>
    <row r="50" spans="1:22" x14ac:dyDescent="0.3">
      <c r="A50" s="192" t="s">
        <v>38</v>
      </c>
      <c r="B50" s="3"/>
      <c r="C50" s="40"/>
      <c r="D50" s="188"/>
      <c r="E50" s="188"/>
      <c r="F50" s="188"/>
      <c r="G50" s="188"/>
      <c r="H50" s="188"/>
      <c r="I50" s="188"/>
      <c r="J50" s="188"/>
      <c r="K50" s="40"/>
      <c r="L50" s="41"/>
      <c r="M50" s="40"/>
      <c r="N50" s="41"/>
      <c r="O50" s="40"/>
      <c r="P50" s="41"/>
      <c r="Q50" s="188"/>
      <c r="R50" s="188"/>
      <c r="S50" s="188"/>
      <c r="T50" s="188"/>
      <c r="U50" s="131"/>
      <c r="V50" s="71"/>
    </row>
    <row r="51" spans="1:22" x14ac:dyDescent="0.3">
      <c r="A51" s="3" t="s">
        <v>362</v>
      </c>
      <c r="B51" s="187" t="s">
        <v>39</v>
      </c>
      <c r="C51" s="40">
        <v>11272</v>
      </c>
      <c r="D51" s="188">
        <v>0</v>
      </c>
      <c r="E51" s="188">
        <v>0</v>
      </c>
      <c r="F51" s="188">
        <v>11272</v>
      </c>
      <c r="G51" s="188">
        <v>315052.39999999997</v>
      </c>
      <c r="H51" s="188">
        <v>0</v>
      </c>
      <c r="I51" s="188">
        <v>0</v>
      </c>
      <c r="J51" s="188"/>
      <c r="K51" s="188">
        <v>0</v>
      </c>
      <c r="L51" s="188">
        <v>0</v>
      </c>
      <c r="M51" s="188">
        <v>11272</v>
      </c>
      <c r="N51" s="188">
        <v>315052.39999999997</v>
      </c>
      <c r="O51" s="188">
        <v>0</v>
      </c>
      <c r="P51" s="188">
        <v>0</v>
      </c>
      <c r="Q51" s="188"/>
      <c r="R51" s="188"/>
      <c r="S51" s="188"/>
      <c r="T51" s="188"/>
      <c r="U51" s="131"/>
      <c r="V51" s="71"/>
    </row>
    <row r="52" spans="1:22" x14ac:dyDescent="0.3">
      <c r="A52" s="3"/>
      <c r="B52" s="187"/>
      <c r="C52" s="40"/>
      <c r="D52" s="188"/>
      <c r="E52" s="188"/>
      <c r="F52" s="188"/>
      <c r="G52" s="188"/>
      <c r="H52" s="188"/>
      <c r="I52" s="188"/>
      <c r="J52" s="188"/>
      <c r="K52" s="40"/>
      <c r="L52" s="41"/>
      <c r="M52" s="40"/>
      <c r="N52" s="41"/>
      <c r="O52" s="40"/>
      <c r="P52" s="41"/>
      <c r="Q52" s="188"/>
      <c r="R52" s="188"/>
      <c r="S52" s="188"/>
      <c r="T52" s="188"/>
      <c r="U52" s="131"/>
      <c r="V52" s="71"/>
    </row>
    <row r="53" spans="1:22" x14ac:dyDescent="0.3">
      <c r="A53" s="192" t="s">
        <v>357</v>
      </c>
      <c r="B53" s="3"/>
      <c r="C53" s="40"/>
      <c r="D53" s="188"/>
      <c r="E53" s="188"/>
      <c r="F53" s="188"/>
      <c r="G53" s="188"/>
      <c r="H53" s="188"/>
      <c r="I53" s="188"/>
      <c r="J53" s="188"/>
      <c r="K53" s="40"/>
      <c r="L53" s="41"/>
      <c r="M53" s="40"/>
      <c r="N53" s="41"/>
      <c r="O53" s="40"/>
      <c r="P53" s="41"/>
      <c r="Q53" s="188"/>
      <c r="R53" s="188"/>
      <c r="S53" s="188"/>
      <c r="T53" s="188"/>
      <c r="U53" s="131"/>
      <c r="V53" s="71"/>
    </row>
    <row r="54" spans="1:22" x14ac:dyDescent="0.3">
      <c r="A54" s="3" t="s">
        <v>362</v>
      </c>
      <c r="B54" s="187" t="s">
        <v>39</v>
      </c>
      <c r="C54" s="40">
        <v>4707</v>
      </c>
      <c r="D54" s="188">
        <v>0</v>
      </c>
      <c r="E54" s="188">
        <v>0</v>
      </c>
      <c r="F54" s="188">
        <v>4707</v>
      </c>
      <c r="G54" s="188">
        <v>50985</v>
      </c>
      <c r="H54" s="188">
        <v>0</v>
      </c>
      <c r="I54" s="188">
        <v>0</v>
      </c>
      <c r="J54" s="188"/>
      <c r="K54" s="40">
        <v>-3058.9869731357112</v>
      </c>
      <c r="L54" s="41">
        <v>-43201</v>
      </c>
      <c r="M54" s="40">
        <v>4707</v>
      </c>
      <c r="N54" s="41">
        <v>50985</v>
      </c>
      <c r="O54" s="40">
        <v>-3058.9869731357112</v>
      </c>
      <c r="P54" s="41">
        <v>-43201</v>
      </c>
      <c r="Q54" s="188"/>
      <c r="R54" s="188"/>
      <c r="S54" s="188"/>
      <c r="T54" s="188"/>
      <c r="U54" s="131"/>
      <c r="V54" s="71"/>
    </row>
    <row r="55" spans="1:22" x14ac:dyDescent="0.3">
      <c r="A55" s="3" t="s">
        <v>363</v>
      </c>
      <c r="B55" s="187" t="s">
        <v>39</v>
      </c>
      <c r="C55" s="40">
        <v>2631</v>
      </c>
      <c r="D55" s="188">
        <v>0</v>
      </c>
      <c r="E55" s="188">
        <v>0</v>
      </c>
      <c r="F55" s="188">
        <v>2631</v>
      </c>
      <c r="G55" s="188">
        <v>52646.310000000005</v>
      </c>
      <c r="H55" s="188">
        <v>0</v>
      </c>
      <c r="I55" s="188">
        <v>0</v>
      </c>
      <c r="J55" s="188"/>
      <c r="K55" s="40">
        <v>0</v>
      </c>
      <c r="L55" s="41">
        <v>0</v>
      </c>
      <c r="M55" s="40">
        <v>2631</v>
      </c>
      <c r="N55" s="41">
        <v>52646.310000000005</v>
      </c>
      <c r="O55" s="40">
        <v>0</v>
      </c>
      <c r="P55" s="41">
        <v>0</v>
      </c>
      <c r="Q55" s="188"/>
      <c r="R55" s="188"/>
      <c r="S55" s="188"/>
      <c r="T55" s="188"/>
      <c r="U55" s="131"/>
      <c r="V55" s="71"/>
    </row>
    <row r="56" spans="1:22" x14ac:dyDescent="0.3">
      <c r="A56" s="3"/>
      <c r="B56" s="3"/>
      <c r="C56" s="40"/>
      <c r="D56" s="188"/>
      <c r="E56" s="188"/>
      <c r="F56" s="188"/>
      <c r="G56" s="188"/>
      <c r="H56" s="188"/>
      <c r="I56" s="188"/>
      <c r="J56" s="188"/>
      <c r="K56" s="40"/>
      <c r="L56" s="41"/>
      <c r="M56" s="40"/>
      <c r="N56" s="41"/>
      <c r="O56" s="40"/>
      <c r="P56" s="41"/>
      <c r="Q56" s="188"/>
      <c r="R56" s="188"/>
      <c r="S56" s="188"/>
      <c r="T56" s="188"/>
      <c r="U56" s="131"/>
      <c r="V56" s="71"/>
    </row>
    <row r="57" spans="1:22" x14ac:dyDescent="0.3">
      <c r="A57" s="192" t="s">
        <v>75</v>
      </c>
      <c r="B57" s="187"/>
      <c r="C57" s="40"/>
      <c r="D57" s="188"/>
      <c r="E57" s="188"/>
      <c r="F57" s="188"/>
      <c r="G57" s="188"/>
      <c r="H57" s="188"/>
      <c r="I57" s="188"/>
      <c r="J57" s="188"/>
      <c r="K57" s="40"/>
      <c r="L57" s="41"/>
      <c r="M57" s="40"/>
      <c r="N57" s="41"/>
      <c r="O57" s="40"/>
      <c r="P57" s="41"/>
      <c r="Q57" s="188"/>
      <c r="R57" s="188"/>
      <c r="S57" s="188"/>
      <c r="T57" s="188"/>
      <c r="U57" s="131"/>
      <c r="V57" s="71"/>
    </row>
    <row r="58" spans="1:22" ht="41.4" x14ac:dyDescent="0.3">
      <c r="A58" s="258" t="s">
        <v>348</v>
      </c>
      <c r="B58" s="3" t="s">
        <v>349</v>
      </c>
      <c r="C58" s="40">
        <f>1700+4200</f>
        <v>5900</v>
      </c>
      <c r="D58" s="188">
        <v>0</v>
      </c>
      <c r="E58" s="188">
        <v>0</v>
      </c>
      <c r="F58" s="188">
        <f>C58</f>
        <v>5900</v>
      </c>
      <c r="G58" s="188">
        <v>994480.8</v>
      </c>
      <c r="H58" s="188">
        <v>0</v>
      </c>
      <c r="I58" s="188">
        <v>0</v>
      </c>
      <c r="J58" s="188"/>
      <c r="K58" s="40"/>
      <c r="L58" s="41"/>
      <c r="M58" s="40"/>
      <c r="N58" s="41"/>
      <c r="O58" s="40"/>
      <c r="P58" s="41"/>
      <c r="Q58" s="188">
        <v>5900</v>
      </c>
      <c r="R58" s="188">
        <v>994480.8</v>
      </c>
      <c r="S58" s="188">
        <v>5900</v>
      </c>
      <c r="T58" s="188">
        <v>994480.8</v>
      </c>
      <c r="U58" s="131"/>
      <c r="V58" s="71"/>
    </row>
    <row r="59" spans="1:22" ht="27.6" x14ac:dyDescent="0.3">
      <c r="A59" s="258" t="s">
        <v>350</v>
      </c>
      <c r="B59" s="3" t="s">
        <v>349</v>
      </c>
      <c r="C59" s="40">
        <v>550</v>
      </c>
      <c r="D59" s="188">
        <v>0</v>
      </c>
      <c r="E59" s="188">
        <v>0</v>
      </c>
      <c r="F59" s="188">
        <v>550</v>
      </c>
      <c r="G59" s="188">
        <v>55247.5</v>
      </c>
      <c r="H59" s="188">
        <v>0</v>
      </c>
      <c r="I59" s="188">
        <v>0</v>
      </c>
      <c r="J59" s="188"/>
      <c r="K59" s="40"/>
      <c r="L59" s="41"/>
      <c r="M59" s="40"/>
      <c r="N59" s="41"/>
      <c r="O59" s="40"/>
      <c r="P59" s="41"/>
      <c r="Q59" s="188">
        <v>550</v>
      </c>
      <c r="R59" s="188">
        <v>55247.5</v>
      </c>
      <c r="S59" s="188">
        <v>550</v>
      </c>
      <c r="T59" s="188">
        <v>55247.5</v>
      </c>
      <c r="U59" s="131"/>
      <c r="V59" s="71"/>
    </row>
    <row r="60" spans="1:22" x14ac:dyDescent="0.3">
      <c r="A60" s="3"/>
      <c r="B60" s="3"/>
      <c r="C60" s="40"/>
      <c r="D60" s="188"/>
      <c r="E60" s="188"/>
      <c r="F60" s="188"/>
      <c r="G60" s="188"/>
      <c r="H60" s="188"/>
      <c r="I60" s="188"/>
      <c r="J60" s="188"/>
      <c r="K60" s="40"/>
      <c r="L60" s="41"/>
      <c r="M60" s="40"/>
      <c r="N60" s="41"/>
      <c r="O60" s="40"/>
      <c r="P60" s="41"/>
      <c r="Q60" s="188"/>
      <c r="R60" s="188"/>
      <c r="S60" s="188"/>
      <c r="T60" s="188"/>
      <c r="U60" s="131"/>
      <c r="V60" s="71"/>
    </row>
    <row r="61" spans="1:22" ht="14.4" thickBot="1" x14ac:dyDescent="0.35">
      <c r="A61" s="187"/>
      <c r="B61" s="187"/>
      <c r="C61" s="40"/>
      <c r="D61" s="188"/>
      <c r="E61" s="188"/>
      <c r="F61" s="188"/>
      <c r="G61" s="188"/>
      <c r="H61" s="188"/>
      <c r="I61" s="188"/>
      <c r="J61" s="41"/>
      <c r="K61" s="40"/>
      <c r="L61" s="41"/>
      <c r="M61" s="40"/>
      <c r="N61" s="41"/>
      <c r="O61" s="40"/>
      <c r="P61" s="41"/>
      <c r="Q61" s="41"/>
      <c r="R61" s="41"/>
      <c r="S61" s="41"/>
      <c r="T61" s="41"/>
      <c r="U61" s="131"/>
      <c r="V61" s="71"/>
    </row>
    <row r="62" spans="1:22" ht="15" thickTop="1" thickBot="1" x14ac:dyDescent="0.35">
      <c r="A62" s="811" t="s">
        <v>47</v>
      </c>
      <c r="B62" s="812"/>
      <c r="C62" s="813"/>
      <c r="D62" s="189"/>
      <c r="E62" s="190">
        <f>SUM(E9:E59)</f>
        <v>6179000</v>
      </c>
      <c r="F62" s="191"/>
      <c r="G62" s="190">
        <f>SUM(G9:G59)</f>
        <v>111727635.57650003</v>
      </c>
      <c r="H62" s="191"/>
      <c r="I62" s="190">
        <f>SUM(I9:I59)</f>
        <v>6179000</v>
      </c>
      <c r="J62" s="190">
        <f>SUM(J40:J43)</f>
        <v>11967747</v>
      </c>
      <c r="K62" s="191"/>
      <c r="L62" s="190">
        <f>SUM(L9:L59)</f>
        <v>5685539</v>
      </c>
      <c r="M62" s="191"/>
      <c r="N62" s="190">
        <f>SUM(N9:N59)</f>
        <v>61065688.114999995</v>
      </c>
      <c r="O62" s="191"/>
      <c r="P62" s="190">
        <f>SUM(P9:P59)</f>
        <v>5685539</v>
      </c>
      <c r="Q62" s="191"/>
      <c r="R62" s="190">
        <f>SUM(R9:R59)</f>
        <v>38694200.461499996</v>
      </c>
      <c r="S62" s="191"/>
      <c r="T62" s="190">
        <f>SUM(T9:T59)</f>
        <v>38694200.461499996</v>
      </c>
      <c r="U62" s="57"/>
    </row>
    <row r="63" spans="1:22" ht="14.4" thickTop="1" x14ac:dyDescent="0.3">
      <c r="E63" s="219"/>
      <c r="F63" s="214"/>
      <c r="G63" s="214">
        <f>G62-N62</f>
        <v>50661947.461500034</v>
      </c>
      <c r="L63" s="52">
        <f>L62/1000000</f>
        <v>5.6855390000000003</v>
      </c>
      <c r="N63" s="52">
        <f>N62/1000000</f>
        <v>61.065688114999993</v>
      </c>
    </row>
    <row r="64" spans="1:22" x14ac:dyDescent="0.3">
      <c r="E64" s="219"/>
      <c r="G64" s="214"/>
      <c r="L64" s="52"/>
      <c r="N64" s="52"/>
    </row>
    <row r="65" spans="4:8" x14ac:dyDescent="0.3">
      <c r="D65" s="219"/>
      <c r="E65" s="219"/>
      <c r="G65" s="214"/>
      <c r="H65" s="214"/>
    </row>
    <row r="66" spans="4:8" x14ac:dyDescent="0.3">
      <c r="D66" s="219"/>
      <c r="G66" s="214"/>
    </row>
    <row r="67" spans="4:8" x14ac:dyDescent="0.3">
      <c r="D67" s="219"/>
      <c r="G67" s="214"/>
    </row>
    <row r="68" spans="4:8" x14ac:dyDescent="0.3">
      <c r="D68" s="219"/>
    </row>
    <row r="69" spans="4:8" x14ac:dyDescent="0.3">
      <c r="D69" s="219"/>
    </row>
    <row r="70" spans="4:8" x14ac:dyDescent="0.3">
      <c r="D70" s="219"/>
    </row>
  </sheetData>
  <mergeCells count="21">
    <mergeCell ref="A62:C62"/>
    <mergeCell ref="C6:C7"/>
    <mergeCell ref="D6:E6"/>
    <mergeCell ref="F6:G6"/>
    <mergeCell ref="H6:I6"/>
    <mergeCell ref="J5:J7"/>
    <mergeCell ref="A1:U1"/>
    <mergeCell ref="A2:U2"/>
    <mergeCell ref="A3:U3"/>
    <mergeCell ref="A4:U4"/>
    <mergeCell ref="A5:A7"/>
    <mergeCell ref="B5:B7"/>
    <mergeCell ref="C5:I5"/>
    <mergeCell ref="K5:P5"/>
    <mergeCell ref="Q5:T5"/>
    <mergeCell ref="U5:U7"/>
    <mergeCell ref="O6:P6"/>
    <mergeCell ref="Q6:R6"/>
    <mergeCell ref="S6:T6"/>
    <mergeCell ref="K6:L6"/>
    <mergeCell ref="M6:N6"/>
  </mergeCells>
  <printOptions horizontalCentered="1"/>
  <pageMargins left="0.7" right="0.45" top="0.75" bottom="0.75" header="0.3" footer="0.3"/>
  <pageSetup paperSize="9" scale="43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50"/>
  <sheetViews>
    <sheetView view="pageBreakPreview" topLeftCell="F1" zoomScale="70" zoomScaleSheetLayoutView="70" workbookViewId="0">
      <pane ySplit="6" topLeftCell="A82" activePane="bottomLeft" state="frozen"/>
      <selection activeCell="I25" sqref="I25"/>
      <selection pane="bottomLeft" activeCell="N99" sqref="N99"/>
    </sheetView>
  </sheetViews>
  <sheetFormatPr defaultColWidth="7.109375" defaultRowHeight="13.8" x14ac:dyDescent="0.25"/>
  <cols>
    <col min="1" max="1" width="4.6640625" style="161" customWidth="1"/>
    <col min="2" max="2" width="17" style="161" customWidth="1"/>
    <col min="3" max="3" width="29.33203125" style="38" customWidth="1"/>
    <col min="4" max="4" width="9.109375" style="38" customWidth="1"/>
    <col min="5" max="7" width="17.88671875" style="38" customWidth="1"/>
    <col min="8" max="10" width="22.88671875" style="162" customWidth="1"/>
    <col min="11" max="11" width="16.33203125" style="162" bestFit="1" customWidth="1"/>
    <col min="12" max="12" width="16.5546875" style="161" customWidth="1"/>
    <col min="13" max="13" width="15.44140625" style="162" customWidth="1"/>
    <col min="14" max="14" width="17.6640625" style="162" customWidth="1"/>
    <col min="15" max="15" width="9.6640625" style="162" customWidth="1"/>
    <col min="16" max="16" width="14.88671875" style="162" customWidth="1"/>
    <col min="17" max="17" width="12.109375" style="38" customWidth="1"/>
    <col min="18" max="18" width="18.5546875" style="162" customWidth="1"/>
    <col min="19" max="19" width="14.6640625" style="163" customWidth="1"/>
    <col min="20" max="20" width="9.44140625" style="162" customWidth="1"/>
    <col min="21" max="21" width="14.33203125" style="162" customWidth="1"/>
    <col min="22" max="23" width="18.5546875" style="38" bestFit="1" customWidth="1"/>
    <col min="24" max="24" width="8.44140625" style="38" bestFit="1" customWidth="1"/>
    <col min="25" max="16384" width="7.109375" style="38"/>
  </cols>
  <sheetData>
    <row r="1" spans="1:27" x14ac:dyDescent="0.25">
      <c r="A1" s="815" t="s">
        <v>85</v>
      </c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815"/>
      <c r="P1" s="815"/>
      <c r="Q1" s="815"/>
      <c r="R1" s="815"/>
      <c r="S1" s="815"/>
      <c r="T1" s="815"/>
      <c r="U1" s="815"/>
      <c r="V1" s="199" t="s">
        <v>302</v>
      </c>
    </row>
    <row r="2" spans="1:27" x14ac:dyDescent="0.25">
      <c r="A2" s="816" t="s">
        <v>287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</row>
    <row r="3" spans="1:27" x14ac:dyDescent="0.25">
      <c r="A3" s="816" t="s">
        <v>147</v>
      </c>
      <c r="B3" s="816"/>
      <c r="C3" s="816"/>
      <c r="D3" s="816"/>
      <c r="E3" s="816"/>
      <c r="F3" s="816"/>
      <c r="G3" s="816"/>
      <c r="H3" s="816"/>
      <c r="I3" s="816"/>
      <c r="J3" s="816"/>
      <c r="K3" s="816"/>
      <c r="L3" s="816"/>
      <c r="M3" s="816"/>
      <c r="N3" s="816"/>
      <c r="O3" s="816"/>
      <c r="P3" s="816"/>
      <c r="Q3" s="816"/>
      <c r="R3" s="816"/>
      <c r="S3" s="816"/>
      <c r="T3" s="816"/>
      <c r="U3" s="816"/>
    </row>
    <row r="4" spans="1:27" x14ac:dyDescent="0.25">
      <c r="A4" s="817" t="s">
        <v>146</v>
      </c>
      <c r="B4" s="817"/>
      <c r="C4" s="817"/>
      <c r="D4" s="817"/>
      <c r="E4" s="817"/>
      <c r="F4" s="817"/>
      <c r="G4" s="817"/>
      <c r="H4" s="817"/>
      <c r="I4" s="817"/>
      <c r="J4" s="817"/>
      <c r="K4" s="817"/>
      <c r="L4" s="817"/>
      <c r="M4" s="817"/>
      <c r="N4" s="817"/>
      <c r="O4" s="817"/>
      <c r="P4" s="817"/>
      <c r="Q4" s="817"/>
      <c r="R4" s="817"/>
      <c r="S4" s="817"/>
      <c r="T4" s="817"/>
      <c r="U4" s="817"/>
    </row>
    <row r="5" spans="1:27" s="153" customFormat="1" ht="18" customHeight="1" x14ac:dyDescent="0.3">
      <c r="A5" s="818" t="s">
        <v>6</v>
      </c>
      <c r="B5" s="818" t="s">
        <v>212</v>
      </c>
      <c r="C5" s="818" t="s">
        <v>27</v>
      </c>
      <c r="D5" s="820" t="s">
        <v>15</v>
      </c>
      <c r="E5" s="821"/>
      <c r="F5" s="821"/>
      <c r="G5" s="821"/>
      <c r="H5" s="821"/>
      <c r="I5" s="821"/>
      <c r="J5" s="821"/>
      <c r="K5" s="822"/>
      <c r="L5" s="820" t="s">
        <v>50</v>
      </c>
      <c r="M5" s="821"/>
      <c r="N5" s="821"/>
      <c r="O5" s="821"/>
      <c r="P5" s="822"/>
      <c r="Q5" s="820" t="s">
        <v>51</v>
      </c>
      <c r="R5" s="821"/>
      <c r="S5" s="821"/>
      <c r="T5" s="821"/>
      <c r="U5" s="822"/>
    </row>
    <row r="6" spans="1:27" s="153" customFormat="1" ht="64.5" customHeight="1" x14ac:dyDescent="0.3">
      <c r="A6" s="819"/>
      <c r="B6" s="819"/>
      <c r="C6" s="819"/>
      <c r="D6" s="226" t="s">
        <v>28</v>
      </c>
      <c r="E6" s="226" t="s">
        <v>80</v>
      </c>
      <c r="F6" s="226" t="s">
        <v>323</v>
      </c>
      <c r="G6" s="226" t="s">
        <v>324</v>
      </c>
      <c r="H6" s="154" t="s">
        <v>81</v>
      </c>
      <c r="I6" s="154" t="s">
        <v>334</v>
      </c>
      <c r="J6" s="226" t="s">
        <v>335</v>
      </c>
      <c r="K6" s="154" t="s">
        <v>178</v>
      </c>
      <c r="L6" s="226" t="s">
        <v>28</v>
      </c>
      <c r="M6" s="154" t="s">
        <v>83</v>
      </c>
      <c r="N6" s="154" t="s">
        <v>81</v>
      </c>
      <c r="O6" s="154" t="s">
        <v>82</v>
      </c>
      <c r="P6" s="154" t="s">
        <v>178</v>
      </c>
      <c r="Q6" s="226" t="s">
        <v>28</v>
      </c>
      <c r="R6" s="154" t="s">
        <v>83</v>
      </c>
      <c r="S6" s="169" t="s">
        <v>81</v>
      </c>
      <c r="T6" s="154" t="s">
        <v>82</v>
      </c>
      <c r="U6" s="154" t="s">
        <v>178</v>
      </c>
    </row>
    <row r="7" spans="1:27" x14ac:dyDescent="0.25">
      <c r="A7" s="155"/>
      <c r="B7" s="155"/>
      <c r="C7" s="164" t="s">
        <v>174</v>
      </c>
      <c r="D7" s="156">
        <v>0</v>
      </c>
      <c r="E7" s="156">
        <v>0</v>
      </c>
      <c r="F7" s="156"/>
      <c r="G7" s="156"/>
      <c r="H7" s="246">
        <v>0</v>
      </c>
      <c r="I7" s="246"/>
      <c r="J7" s="246"/>
      <c r="K7" s="157">
        <f>SUM(E7:H7)</f>
        <v>0</v>
      </c>
      <c r="L7" s="157">
        <f>SUM(H7:K7)</f>
        <v>0</v>
      </c>
      <c r="M7" s="157">
        <f>SUM(K7:L7)</f>
        <v>0</v>
      </c>
      <c r="N7" s="157">
        <v>0</v>
      </c>
      <c r="O7" s="157">
        <v>0</v>
      </c>
      <c r="P7" s="157">
        <f>SUM(M7:O7)</f>
        <v>0</v>
      </c>
      <c r="Q7" s="158"/>
      <c r="R7" s="157"/>
      <c r="S7" s="160"/>
      <c r="T7" s="157"/>
      <c r="U7" s="157">
        <f>SUM(R7:T7)</f>
        <v>0</v>
      </c>
    </row>
    <row r="8" spans="1:27" x14ac:dyDescent="0.25">
      <c r="A8" s="155">
        <v>1</v>
      </c>
      <c r="B8" s="155" t="s">
        <v>213</v>
      </c>
      <c r="C8" s="165" t="s">
        <v>249</v>
      </c>
      <c r="D8" s="159" t="s">
        <v>154</v>
      </c>
      <c r="E8" s="170">
        <v>3.7986201291530859E-2</v>
      </c>
      <c r="F8" s="170">
        <f>-($E$100/$E$99*E8)</f>
        <v>-2.017067288580288E-2</v>
      </c>
      <c r="G8" s="170">
        <f>E8+F8</f>
        <v>1.781552840572798E-2</v>
      </c>
      <c r="H8" s="171">
        <v>1.43532E-2</v>
      </c>
      <c r="I8" s="171"/>
      <c r="J8" s="171"/>
      <c r="K8" s="170">
        <f>H8+G8</f>
        <v>3.216872840572798E-2</v>
      </c>
      <c r="L8" s="159" t="s">
        <v>154</v>
      </c>
      <c r="M8" s="170">
        <v>0.14545005036643327</v>
      </c>
      <c r="N8" s="170">
        <v>2.8218963560187348E-2</v>
      </c>
      <c r="O8" s="170">
        <v>0</v>
      </c>
      <c r="P8" s="170">
        <f>SUM(M8:O8)</f>
        <v>0.17366901392662062</v>
      </c>
      <c r="Q8" s="159" t="s">
        <v>154</v>
      </c>
      <c r="R8" s="170">
        <v>0.12326242315641711</v>
      </c>
      <c r="S8" s="170">
        <v>2.8218963560187348E-2</v>
      </c>
      <c r="T8" s="170">
        <v>0</v>
      </c>
      <c r="U8" s="170">
        <f>SUM(R8:T8)</f>
        <v>0.15148138671660447</v>
      </c>
      <c r="W8" s="136"/>
      <c r="X8" s="136"/>
      <c r="Y8" s="175"/>
      <c r="Z8" s="175"/>
      <c r="AA8" s="175"/>
    </row>
    <row r="9" spans="1:27" x14ac:dyDescent="0.25">
      <c r="A9" s="155">
        <v>2</v>
      </c>
      <c r="B9" s="155" t="s">
        <v>214</v>
      </c>
      <c r="C9" s="165" t="s">
        <v>250</v>
      </c>
      <c r="D9" s="159" t="s">
        <v>154</v>
      </c>
      <c r="E9" s="170">
        <v>0</v>
      </c>
      <c r="F9" s="170">
        <f t="shared" ref="F9:F72" si="0">-($E$100/$E$99*E9)</f>
        <v>0</v>
      </c>
      <c r="G9" s="170">
        <f t="shared" ref="G9:G72" si="1">E9+F9</f>
        <v>0</v>
      </c>
      <c r="H9" s="171">
        <v>0</v>
      </c>
      <c r="I9" s="171"/>
      <c r="J9" s="171"/>
      <c r="K9" s="170">
        <f t="shared" ref="K9:K72" si="2">H9+G9</f>
        <v>0</v>
      </c>
      <c r="L9" s="159" t="s">
        <v>154</v>
      </c>
      <c r="M9" s="170">
        <v>0</v>
      </c>
      <c r="N9" s="170">
        <v>6.7916066160628036E-2</v>
      </c>
      <c r="O9" s="170">
        <v>0</v>
      </c>
      <c r="P9" s="170">
        <f t="shared" ref="P9:P94" si="3">SUM(M9:O9)</f>
        <v>6.7916066160628036E-2</v>
      </c>
      <c r="Q9" s="159" t="s">
        <v>154</v>
      </c>
      <c r="R9" s="170">
        <v>0</v>
      </c>
      <c r="S9" s="170">
        <v>6.7916066160628036E-2</v>
      </c>
      <c r="T9" s="170">
        <v>0</v>
      </c>
      <c r="U9" s="170">
        <f t="shared" ref="U9:U94" si="4">SUM(R9:T9)</f>
        <v>6.7916066160628036E-2</v>
      </c>
      <c r="W9" s="136"/>
      <c r="X9" s="136"/>
    </row>
    <row r="10" spans="1:27" x14ac:dyDescent="0.25">
      <c r="A10" s="155">
        <v>3</v>
      </c>
      <c r="B10" s="155" t="s">
        <v>215</v>
      </c>
      <c r="C10" s="165" t="s">
        <v>251</v>
      </c>
      <c r="D10" s="159" t="s">
        <v>154</v>
      </c>
      <c r="E10" s="170">
        <v>6.1838002102492094E-2</v>
      </c>
      <c r="F10" s="170">
        <f t="shared" si="0"/>
        <v>-3.2835979116423289E-2</v>
      </c>
      <c r="G10" s="170">
        <f t="shared" si="1"/>
        <v>2.9002022986068805E-2</v>
      </c>
      <c r="H10" s="171">
        <v>3.3490800000000001E-2</v>
      </c>
      <c r="I10" s="171"/>
      <c r="J10" s="171"/>
      <c r="K10" s="170">
        <f t="shared" si="2"/>
        <v>6.2492822986068806E-2</v>
      </c>
      <c r="L10" s="159" t="s">
        <v>154</v>
      </c>
      <c r="M10" s="170">
        <v>0.45008974206498942</v>
      </c>
      <c r="N10" s="170">
        <v>0.26258040187484372</v>
      </c>
      <c r="O10" s="170">
        <v>0</v>
      </c>
      <c r="P10" s="170">
        <f t="shared" si="3"/>
        <v>0.71267014393983308</v>
      </c>
      <c r="Q10" s="159" t="s">
        <v>154</v>
      </c>
      <c r="R10" s="170">
        <v>0.41397034893240492</v>
      </c>
      <c r="S10" s="170">
        <v>0.26258040187484372</v>
      </c>
      <c r="T10" s="170">
        <v>0</v>
      </c>
      <c r="U10" s="170">
        <f t="shared" si="4"/>
        <v>0.67655075080724858</v>
      </c>
      <c r="W10" s="136"/>
      <c r="X10" s="136"/>
    </row>
    <row r="11" spans="1:27" x14ac:dyDescent="0.25">
      <c r="A11" s="155">
        <v>4</v>
      </c>
      <c r="B11" s="155" t="s">
        <v>216</v>
      </c>
      <c r="C11" s="165" t="s">
        <v>251</v>
      </c>
      <c r="D11" s="159" t="s">
        <v>154</v>
      </c>
      <c r="E11" s="170">
        <v>6.1838002102492094E-2</v>
      </c>
      <c r="F11" s="170">
        <f t="shared" si="0"/>
        <v>-3.2835979116423289E-2</v>
      </c>
      <c r="G11" s="170">
        <f t="shared" si="1"/>
        <v>2.9002022986068805E-2</v>
      </c>
      <c r="H11" s="171">
        <v>1.7542800000000001E-2</v>
      </c>
      <c r="I11" s="171"/>
      <c r="J11" s="171"/>
      <c r="K11" s="170">
        <f t="shared" si="2"/>
        <v>4.654482298606881E-2</v>
      </c>
      <c r="L11" s="159" t="s">
        <v>154</v>
      </c>
      <c r="M11" s="170">
        <v>0.15028800471097983</v>
      </c>
      <c r="N11" s="170">
        <v>0.15407549501601273</v>
      </c>
      <c r="O11" s="170">
        <v>0</v>
      </c>
      <c r="P11" s="170">
        <f t="shared" si="3"/>
        <v>0.30436349972699256</v>
      </c>
      <c r="Q11" s="159" t="s">
        <v>154</v>
      </c>
      <c r="R11" s="170">
        <v>0.11416861157839536</v>
      </c>
      <c r="S11" s="170">
        <v>0.15407549501601273</v>
      </c>
      <c r="T11" s="170">
        <v>0</v>
      </c>
      <c r="U11" s="170">
        <f t="shared" si="4"/>
        <v>0.26824410659440812</v>
      </c>
      <c r="W11" s="136"/>
      <c r="X11" s="136"/>
    </row>
    <row r="12" spans="1:27" x14ac:dyDescent="0.25">
      <c r="A12" s="155">
        <v>5</v>
      </c>
      <c r="B12" s="155" t="s">
        <v>217</v>
      </c>
      <c r="C12" s="165" t="s">
        <v>252</v>
      </c>
      <c r="D12" s="159" t="s">
        <v>154</v>
      </c>
      <c r="E12" s="170">
        <v>0</v>
      </c>
      <c r="F12" s="170">
        <f t="shared" si="0"/>
        <v>0</v>
      </c>
      <c r="G12" s="170">
        <f t="shared" si="1"/>
        <v>0</v>
      </c>
      <c r="H12" s="171">
        <v>0</v>
      </c>
      <c r="I12" s="171"/>
      <c r="J12" s="171"/>
      <c r="K12" s="170">
        <f t="shared" si="2"/>
        <v>0</v>
      </c>
      <c r="L12" s="159" t="s">
        <v>154</v>
      </c>
      <c r="M12" s="170">
        <v>0.47856824650462099</v>
      </c>
      <c r="N12" s="170">
        <v>0.26455797342655124</v>
      </c>
      <c r="O12" s="170">
        <v>0</v>
      </c>
      <c r="P12" s="170">
        <f t="shared" si="3"/>
        <v>0.74312621993117223</v>
      </c>
      <c r="Q12" s="159" t="s">
        <v>154</v>
      </c>
      <c r="R12" s="170">
        <v>0.47856824650462099</v>
      </c>
      <c r="S12" s="170">
        <v>0.26455797342655124</v>
      </c>
      <c r="T12" s="170">
        <v>0</v>
      </c>
      <c r="U12" s="170">
        <f t="shared" si="4"/>
        <v>0.74312621993117223</v>
      </c>
      <c r="W12" s="136"/>
      <c r="X12" s="136"/>
    </row>
    <row r="13" spans="1:27" x14ac:dyDescent="0.25">
      <c r="A13" s="155">
        <v>6</v>
      </c>
      <c r="B13" s="155" t="s">
        <v>218</v>
      </c>
      <c r="C13" s="165" t="s">
        <v>252</v>
      </c>
      <c r="D13" s="159" t="s">
        <v>154</v>
      </c>
      <c r="E13" s="170">
        <v>0</v>
      </c>
      <c r="F13" s="170">
        <f t="shared" si="0"/>
        <v>0</v>
      </c>
      <c r="G13" s="170">
        <f t="shared" si="1"/>
        <v>0</v>
      </c>
      <c r="H13" s="171">
        <v>0</v>
      </c>
      <c r="I13" s="171"/>
      <c r="J13" s="171"/>
      <c r="K13" s="170">
        <f t="shared" si="2"/>
        <v>0</v>
      </c>
      <c r="L13" s="159" t="s">
        <v>154</v>
      </c>
      <c r="M13" s="170">
        <v>0.43820603695086008</v>
      </c>
      <c r="N13" s="170">
        <v>0.22667616265218471</v>
      </c>
      <c r="O13" s="170">
        <v>0</v>
      </c>
      <c r="P13" s="170">
        <f t="shared" si="3"/>
        <v>0.66488219960304473</v>
      </c>
      <c r="Q13" s="159" t="s">
        <v>154</v>
      </c>
      <c r="R13" s="170">
        <v>0.43820603695086008</v>
      </c>
      <c r="S13" s="170">
        <v>0.22667616265218471</v>
      </c>
      <c r="T13" s="170">
        <v>0</v>
      </c>
      <c r="U13" s="170">
        <f t="shared" si="4"/>
        <v>0.66488219960304473</v>
      </c>
      <c r="W13" s="136"/>
      <c r="X13" s="136"/>
    </row>
    <row r="14" spans="1:27" x14ac:dyDescent="0.25">
      <c r="A14" s="155">
        <v>7</v>
      </c>
      <c r="B14" s="155" t="s">
        <v>219</v>
      </c>
      <c r="C14" s="165" t="s">
        <v>252</v>
      </c>
      <c r="D14" s="159" t="s">
        <v>154</v>
      </c>
      <c r="E14" s="170">
        <v>0</v>
      </c>
      <c r="F14" s="170">
        <f t="shared" si="0"/>
        <v>0</v>
      </c>
      <c r="G14" s="170">
        <f t="shared" si="1"/>
        <v>0</v>
      </c>
      <c r="H14" s="171">
        <v>0</v>
      </c>
      <c r="I14" s="171"/>
      <c r="J14" s="171"/>
      <c r="K14" s="170">
        <f t="shared" si="2"/>
        <v>0</v>
      </c>
      <c r="L14" s="159" t="s">
        <v>154</v>
      </c>
      <c r="M14" s="170">
        <v>0.47856824650462099</v>
      </c>
      <c r="N14" s="170">
        <v>0.28897226780894164</v>
      </c>
      <c r="O14" s="170">
        <v>0</v>
      </c>
      <c r="P14" s="170">
        <f t="shared" si="3"/>
        <v>0.76754051431356263</v>
      </c>
      <c r="Q14" s="159" t="s">
        <v>154</v>
      </c>
      <c r="R14" s="170">
        <v>0.47856824650462099</v>
      </c>
      <c r="S14" s="170">
        <v>0.28897226780894164</v>
      </c>
      <c r="T14" s="170">
        <v>0</v>
      </c>
      <c r="U14" s="170">
        <f t="shared" si="4"/>
        <v>0.76754051431356263</v>
      </c>
      <c r="W14" s="136"/>
      <c r="X14" s="136"/>
    </row>
    <row r="15" spans="1:27" x14ac:dyDescent="0.25">
      <c r="A15" s="155">
        <v>8</v>
      </c>
      <c r="B15" s="155" t="s">
        <v>220</v>
      </c>
      <c r="C15" s="165" t="s">
        <v>253</v>
      </c>
      <c r="D15" s="159" t="s">
        <v>154</v>
      </c>
      <c r="E15" s="170">
        <v>0</v>
      </c>
      <c r="F15" s="170">
        <f t="shared" si="0"/>
        <v>0</v>
      </c>
      <c r="G15" s="170">
        <f t="shared" si="1"/>
        <v>0</v>
      </c>
      <c r="H15" s="171">
        <v>0</v>
      </c>
      <c r="I15" s="171"/>
      <c r="J15" s="171"/>
      <c r="K15" s="170">
        <f t="shared" si="2"/>
        <v>0</v>
      </c>
      <c r="L15" s="159" t="s">
        <v>154</v>
      </c>
      <c r="M15" s="170">
        <v>0.12684883415870354</v>
      </c>
      <c r="N15" s="170">
        <v>8.2091530356908651E-2</v>
      </c>
      <c r="O15" s="170">
        <v>0</v>
      </c>
      <c r="P15" s="170">
        <f t="shared" si="3"/>
        <v>0.20894036451561221</v>
      </c>
      <c r="Q15" s="159" t="s">
        <v>154</v>
      </c>
      <c r="R15" s="170">
        <v>0.12684883415870354</v>
      </c>
      <c r="S15" s="170">
        <v>8.2091530356908651E-2</v>
      </c>
      <c r="T15" s="170">
        <v>0</v>
      </c>
      <c r="U15" s="170">
        <f t="shared" si="4"/>
        <v>0.20894036451561221</v>
      </c>
      <c r="W15" s="136"/>
      <c r="X15" s="136"/>
    </row>
    <row r="16" spans="1:27" x14ac:dyDescent="0.25">
      <c r="A16" s="155">
        <v>9</v>
      </c>
      <c r="B16" s="155" t="s">
        <v>221</v>
      </c>
      <c r="C16" s="165" t="s">
        <v>253</v>
      </c>
      <c r="D16" s="159" t="s">
        <v>154</v>
      </c>
      <c r="E16" s="170">
        <v>0</v>
      </c>
      <c r="F16" s="170">
        <f t="shared" si="0"/>
        <v>0</v>
      </c>
      <c r="G16" s="170">
        <f t="shared" si="1"/>
        <v>0</v>
      </c>
      <c r="H16" s="171">
        <v>0</v>
      </c>
      <c r="I16" s="171"/>
      <c r="J16" s="171"/>
      <c r="K16" s="170">
        <f t="shared" si="2"/>
        <v>0</v>
      </c>
      <c r="L16" s="159" t="s">
        <v>154</v>
      </c>
      <c r="M16" s="170">
        <v>0.31710227480361591</v>
      </c>
      <c r="N16" s="170">
        <v>0.18726680141482765</v>
      </c>
      <c r="O16" s="170">
        <v>0</v>
      </c>
      <c r="P16" s="170">
        <f t="shared" si="3"/>
        <v>0.50436907621844362</v>
      </c>
      <c r="Q16" s="159" t="s">
        <v>154</v>
      </c>
      <c r="R16" s="170">
        <v>0.31710227480361591</v>
      </c>
      <c r="S16" s="170">
        <v>0.18726680141482765</v>
      </c>
      <c r="T16" s="170">
        <v>0</v>
      </c>
      <c r="U16" s="170">
        <f t="shared" si="4"/>
        <v>0.50436907621844362</v>
      </c>
      <c r="W16" s="136"/>
      <c r="X16" s="136"/>
    </row>
    <row r="17" spans="1:24" x14ac:dyDescent="0.25">
      <c r="A17" s="155">
        <v>10</v>
      </c>
      <c r="B17" s="155" t="s">
        <v>222</v>
      </c>
      <c r="C17" s="165" t="s">
        <v>253</v>
      </c>
      <c r="D17" s="159" t="s">
        <v>154</v>
      </c>
      <c r="E17" s="170">
        <v>0</v>
      </c>
      <c r="F17" s="170">
        <f t="shared" si="0"/>
        <v>0</v>
      </c>
      <c r="G17" s="170">
        <f t="shared" si="1"/>
        <v>0</v>
      </c>
      <c r="H17" s="171">
        <v>0</v>
      </c>
      <c r="I17" s="171"/>
      <c r="J17" s="171"/>
      <c r="K17" s="170">
        <f t="shared" si="2"/>
        <v>0</v>
      </c>
      <c r="L17" s="159" t="s">
        <v>154</v>
      </c>
      <c r="M17" s="170">
        <v>0.31710227480361591</v>
      </c>
      <c r="N17" s="170">
        <v>0.18569903119246312</v>
      </c>
      <c r="O17" s="170">
        <v>0</v>
      </c>
      <c r="P17" s="170">
        <f t="shared" si="3"/>
        <v>0.50280130599607897</v>
      </c>
      <c r="Q17" s="159" t="s">
        <v>154</v>
      </c>
      <c r="R17" s="170">
        <v>0.31710227480361591</v>
      </c>
      <c r="S17" s="170">
        <v>0.18569903119246312</v>
      </c>
      <c r="T17" s="170">
        <v>0</v>
      </c>
      <c r="U17" s="170">
        <f t="shared" si="4"/>
        <v>0.50280130599607897</v>
      </c>
      <c r="W17" s="136"/>
      <c r="X17" s="136"/>
    </row>
    <row r="18" spans="1:24" x14ac:dyDescent="0.25">
      <c r="A18" s="155">
        <v>11</v>
      </c>
      <c r="B18" s="155" t="s">
        <v>223</v>
      </c>
      <c r="C18" s="165" t="s">
        <v>253</v>
      </c>
      <c r="D18" s="159" t="s">
        <v>154</v>
      </c>
      <c r="E18" s="170">
        <v>0</v>
      </c>
      <c r="F18" s="170">
        <f t="shared" si="0"/>
        <v>0</v>
      </c>
      <c r="G18" s="170">
        <f t="shared" si="1"/>
        <v>0</v>
      </c>
      <c r="H18" s="171">
        <v>0</v>
      </c>
      <c r="I18" s="171"/>
      <c r="J18" s="171"/>
      <c r="K18" s="170">
        <f t="shared" si="2"/>
        <v>0</v>
      </c>
      <c r="L18" s="159" t="s">
        <v>154</v>
      </c>
      <c r="M18" s="170">
        <v>0.27962277426287435</v>
      </c>
      <c r="N18" s="170">
        <v>0.12398711303815586</v>
      </c>
      <c r="O18" s="170">
        <v>0</v>
      </c>
      <c r="P18" s="170">
        <f t="shared" si="3"/>
        <v>0.4036098873010302</v>
      </c>
      <c r="Q18" s="159" t="s">
        <v>154</v>
      </c>
      <c r="R18" s="170">
        <v>0.27962277426287435</v>
      </c>
      <c r="S18" s="170">
        <v>0.12398711303815586</v>
      </c>
      <c r="T18" s="170">
        <v>0</v>
      </c>
      <c r="U18" s="170">
        <f t="shared" si="4"/>
        <v>0.4036098873010302</v>
      </c>
      <c r="W18" s="136"/>
      <c r="X18" s="136"/>
    </row>
    <row r="19" spans="1:24" x14ac:dyDescent="0.25">
      <c r="A19" s="155">
        <v>12</v>
      </c>
      <c r="B19" s="155" t="s">
        <v>224</v>
      </c>
      <c r="C19" s="165" t="s">
        <v>253</v>
      </c>
      <c r="D19" s="159" t="s">
        <v>154</v>
      </c>
      <c r="E19" s="38">
        <v>0</v>
      </c>
      <c r="F19" s="170">
        <f t="shared" si="0"/>
        <v>0</v>
      </c>
      <c r="G19" s="170">
        <f t="shared" si="1"/>
        <v>0</v>
      </c>
      <c r="H19" s="171">
        <v>0</v>
      </c>
      <c r="I19" s="171"/>
      <c r="J19" s="171"/>
      <c r="K19" s="170">
        <f t="shared" si="2"/>
        <v>0</v>
      </c>
      <c r="L19" s="159" t="s">
        <v>154</v>
      </c>
      <c r="M19" s="170">
        <v>0.44227076455054637</v>
      </c>
      <c r="N19" s="170">
        <v>0.22673481146548083</v>
      </c>
      <c r="O19" s="170">
        <v>0</v>
      </c>
      <c r="P19" s="170">
        <f t="shared" si="3"/>
        <v>0.66900557601602717</v>
      </c>
      <c r="Q19" s="159" t="s">
        <v>154</v>
      </c>
      <c r="R19" s="170">
        <v>0.483165002830722</v>
      </c>
      <c r="S19" s="170">
        <v>0.22673481146548083</v>
      </c>
      <c r="T19" s="170">
        <v>0</v>
      </c>
      <c r="U19" s="170">
        <f t="shared" si="4"/>
        <v>0.70989981429620286</v>
      </c>
      <c r="W19" s="136"/>
      <c r="X19" s="136"/>
    </row>
    <row r="20" spans="1:24" x14ac:dyDescent="0.25">
      <c r="A20" s="155">
        <v>13</v>
      </c>
      <c r="B20" s="155" t="s">
        <v>225</v>
      </c>
      <c r="C20" s="165" t="s">
        <v>253</v>
      </c>
      <c r="D20" s="159" t="s">
        <v>154</v>
      </c>
      <c r="E20" s="170">
        <v>6.1838002102492094E-2</v>
      </c>
      <c r="F20" s="170">
        <f t="shared" si="0"/>
        <v>-3.2835979116423289E-2</v>
      </c>
      <c r="G20" s="170">
        <f t="shared" si="1"/>
        <v>2.9002022986068805E-2</v>
      </c>
      <c r="H20" s="171">
        <v>1.9137599999999998E-2</v>
      </c>
      <c r="I20" s="171"/>
      <c r="J20" s="171"/>
      <c r="K20" s="170">
        <f t="shared" si="2"/>
        <v>4.8139622986068803E-2</v>
      </c>
      <c r="L20" s="159" t="s">
        <v>154</v>
      </c>
      <c r="M20" s="170">
        <v>0.51928439596330644</v>
      </c>
      <c r="N20" s="170">
        <v>0.23184310109275863</v>
      </c>
      <c r="O20" s="170">
        <v>0</v>
      </c>
      <c r="P20" s="170">
        <f t="shared" si="3"/>
        <v>0.75112749705606507</v>
      </c>
      <c r="Q20" s="159" t="s">
        <v>154</v>
      </c>
      <c r="R20" s="170">
        <v>0.483165002830722</v>
      </c>
      <c r="S20" s="170">
        <v>0.23184310109275863</v>
      </c>
      <c r="T20" s="170">
        <v>0</v>
      </c>
      <c r="U20" s="170">
        <f t="shared" si="4"/>
        <v>0.71500810392348058</v>
      </c>
      <c r="W20" s="136"/>
      <c r="X20" s="136"/>
    </row>
    <row r="21" spans="1:24" x14ac:dyDescent="0.25">
      <c r="A21" s="155">
        <v>14</v>
      </c>
      <c r="B21" s="155" t="s">
        <v>226</v>
      </c>
      <c r="C21" s="165" t="s">
        <v>253</v>
      </c>
      <c r="D21" s="159" t="s">
        <v>154</v>
      </c>
      <c r="E21" s="170">
        <v>6.1838002102492094E-2</v>
      </c>
      <c r="F21" s="170">
        <f t="shared" si="0"/>
        <v>-3.2835979116423289E-2</v>
      </c>
      <c r="G21" s="170">
        <f t="shared" si="1"/>
        <v>2.9002022986068805E-2</v>
      </c>
      <c r="H21" s="171">
        <v>1.9137599999999998E-2</v>
      </c>
      <c r="I21" s="171"/>
      <c r="J21" s="171"/>
      <c r="K21" s="170">
        <f t="shared" si="2"/>
        <v>4.8139622986068803E-2</v>
      </c>
      <c r="L21" s="159" t="s">
        <v>154</v>
      </c>
      <c r="M21" s="170">
        <v>0.51928439596330644</v>
      </c>
      <c r="N21" s="170">
        <v>0.2280902573760456</v>
      </c>
      <c r="O21" s="170">
        <v>0</v>
      </c>
      <c r="P21" s="170">
        <f t="shared" si="3"/>
        <v>0.74737465333935205</v>
      </c>
      <c r="Q21" s="159" t="s">
        <v>154</v>
      </c>
      <c r="R21" s="170">
        <v>0.483165002830722</v>
      </c>
      <c r="S21" s="170">
        <v>0.2280902573760456</v>
      </c>
      <c r="T21" s="170">
        <v>0</v>
      </c>
      <c r="U21" s="170">
        <f t="shared" si="4"/>
        <v>0.71125526020676766</v>
      </c>
      <c r="W21" s="136"/>
      <c r="X21" s="136"/>
    </row>
    <row r="22" spans="1:24" x14ac:dyDescent="0.25">
      <c r="A22" s="155">
        <v>15</v>
      </c>
      <c r="B22" s="155" t="s">
        <v>227</v>
      </c>
      <c r="C22" s="165" t="s">
        <v>253</v>
      </c>
      <c r="D22" s="159" t="s">
        <v>154</v>
      </c>
      <c r="E22" s="170">
        <v>0</v>
      </c>
      <c r="F22" s="170">
        <f t="shared" si="0"/>
        <v>0</v>
      </c>
      <c r="G22" s="170">
        <f t="shared" si="1"/>
        <v>0</v>
      </c>
      <c r="H22" s="171">
        <v>0</v>
      </c>
      <c r="I22" s="171"/>
      <c r="J22" s="171"/>
      <c r="K22" s="170">
        <f t="shared" si="2"/>
        <v>0</v>
      </c>
      <c r="L22" s="159" t="s">
        <v>154</v>
      </c>
      <c r="M22" s="170">
        <v>0.23061672104154582</v>
      </c>
      <c r="N22" s="170">
        <v>0.14720171803086068</v>
      </c>
      <c r="O22" s="170">
        <v>0</v>
      </c>
      <c r="P22" s="170">
        <f t="shared" si="3"/>
        <v>0.37781843907240653</v>
      </c>
      <c r="Q22" s="159" t="s">
        <v>154</v>
      </c>
      <c r="R22" s="170">
        <v>0.23061672104154582</v>
      </c>
      <c r="S22" s="170">
        <v>0.14720171803086068</v>
      </c>
      <c r="T22" s="170">
        <v>0</v>
      </c>
      <c r="U22" s="170">
        <f t="shared" si="4"/>
        <v>0.37781843907240653</v>
      </c>
      <c r="W22" s="136"/>
      <c r="X22" s="136"/>
    </row>
    <row r="23" spans="1:24" x14ac:dyDescent="0.25">
      <c r="A23" s="155">
        <v>16</v>
      </c>
      <c r="B23" s="155" t="s">
        <v>297</v>
      </c>
      <c r="C23" s="165" t="s">
        <v>253</v>
      </c>
      <c r="D23" s="159" t="s">
        <v>154</v>
      </c>
      <c r="E23" s="170">
        <v>0</v>
      </c>
      <c r="F23" s="170">
        <f t="shared" si="0"/>
        <v>0</v>
      </c>
      <c r="G23" s="170">
        <f t="shared" si="1"/>
        <v>0</v>
      </c>
      <c r="H23" s="171">
        <v>0</v>
      </c>
      <c r="I23" s="171"/>
      <c r="J23" s="171"/>
      <c r="K23" s="170">
        <f t="shared" si="2"/>
        <v>0</v>
      </c>
      <c r="L23" s="159" t="s">
        <v>154</v>
      </c>
      <c r="M23" s="170">
        <v>0.14990836457711296</v>
      </c>
      <c r="N23" s="170">
        <v>0.11373097434863386</v>
      </c>
      <c r="O23" s="170">
        <v>0</v>
      </c>
      <c r="P23" s="170">
        <f t="shared" si="3"/>
        <v>0.26363933892574681</v>
      </c>
      <c r="Q23" s="159" t="s">
        <v>154</v>
      </c>
      <c r="R23" s="170">
        <v>0.14990836457711296</v>
      </c>
      <c r="S23" s="170">
        <v>0.11373097434863386</v>
      </c>
      <c r="T23" s="170">
        <v>0</v>
      </c>
      <c r="U23" s="170">
        <f t="shared" si="4"/>
        <v>0.26363933892574681</v>
      </c>
      <c r="W23" s="136"/>
      <c r="X23" s="136"/>
    </row>
    <row r="24" spans="1:24" x14ac:dyDescent="0.25">
      <c r="A24" s="155">
        <v>17</v>
      </c>
      <c r="B24" s="155" t="s">
        <v>228</v>
      </c>
      <c r="C24" s="165" t="s">
        <v>253</v>
      </c>
      <c r="D24" s="159" t="s">
        <v>154</v>
      </c>
      <c r="E24" s="170">
        <v>0</v>
      </c>
      <c r="F24" s="170">
        <f t="shared" si="0"/>
        <v>0</v>
      </c>
      <c r="G24" s="170">
        <f t="shared" si="1"/>
        <v>0</v>
      </c>
      <c r="H24" s="171">
        <v>0</v>
      </c>
      <c r="I24" s="171"/>
      <c r="J24" s="171"/>
      <c r="K24" s="170">
        <f t="shared" si="2"/>
        <v>0</v>
      </c>
      <c r="L24" s="159" t="s">
        <v>154</v>
      </c>
      <c r="M24" s="170">
        <v>0.28250548327589364</v>
      </c>
      <c r="N24" s="170">
        <v>0.16599855263819682</v>
      </c>
      <c r="O24" s="170">
        <v>0</v>
      </c>
      <c r="P24" s="170">
        <f t="shared" si="3"/>
        <v>0.44850403591409049</v>
      </c>
      <c r="Q24" s="159" t="s">
        <v>154</v>
      </c>
      <c r="R24" s="170">
        <v>0.28250548327589364</v>
      </c>
      <c r="S24" s="170">
        <v>0.16599855263819682</v>
      </c>
      <c r="T24" s="170">
        <v>0</v>
      </c>
      <c r="U24" s="170">
        <f t="shared" si="4"/>
        <v>0.44850403591409049</v>
      </c>
      <c r="W24" s="136"/>
      <c r="X24" s="136"/>
    </row>
    <row r="25" spans="1:24" x14ac:dyDescent="0.25">
      <c r="A25" s="155">
        <v>18</v>
      </c>
      <c r="B25" s="155" t="s">
        <v>229</v>
      </c>
      <c r="C25" s="165" t="s">
        <v>253</v>
      </c>
      <c r="D25" s="159" t="s">
        <v>154</v>
      </c>
      <c r="E25" s="170">
        <v>0</v>
      </c>
      <c r="F25" s="170">
        <f t="shared" si="0"/>
        <v>0</v>
      </c>
      <c r="G25" s="170">
        <f t="shared" si="1"/>
        <v>0</v>
      </c>
      <c r="H25" s="171">
        <v>0</v>
      </c>
      <c r="I25" s="171"/>
      <c r="J25" s="171"/>
      <c r="K25" s="170">
        <f t="shared" si="2"/>
        <v>0</v>
      </c>
      <c r="L25" s="159" t="s">
        <v>154</v>
      </c>
      <c r="M25" s="170">
        <v>0.32286769282965455</v>
      </c>
      <c r="N25" s="170">
        <v>0.19443952526816249</v>
      </c>
      <c r="O25" s="170">
        <v>0</v>
      </c>
      <c r="P25" s="170">
        <f t="shared" si="3"/>
        <v>0.5173072180978171</v>
      </c>
      <c r="Q25" s="159" t="s">
        <v>154</v>
      </c>
      <c r="R25" s="170">
        <v>0.32286769282965455</v>
      </c>
      <c r="S25" s="170">
        <v>0.19443952526816249</v>
      </c>
      <c r="T25" s="170">
        <v>0</v>
      </c>
      <c r="U25" s="170">
        <f t="shared" si="4"/>
        <v>0.5173072180978171</v>
      </c>
      <c r="W25" s="136"/>
      <c r="X25" s="136"/>
    </row>
    <row r="26" spans="1:24" x14ac:dyDescent="0.25">
      <c r="A26" s="155">
        <v>19</v>
      </c>
      <c r="B26" s="155" t="s">
        <v>230</v>
      </c>
      <c r="C26" s="165" t="s">
        <v>253</v>
      </c>
      <c r="D26" s="159" t="s">
        <v>154</v>
      </c>
      <c r="E26" s="170">
        <v>6.1838002102492094E-2</v>
      </c>
      <c r="F26" s="170">
        <f t="shared" si="0"/>
        <v>-3.2835979116423289E-2</v>
      </c>
      <c r="G26" s="170">
        <f t="shared" si="1"/>
        <v>2.9002022986068805E-2</v>
      </c>
      <c r="H26" s="171">
        <v>3.3490800000000001E-2</v>
      </c>
      <c r="I26" s="171"/>
      <c r="J26" s="171"/>
      <c r="K26" s="170">
        <f t="shared" si="2"/>
        <v>6.2492822986068806E-2</v>
      </c>
      <c r="L26" s="159" t="s">
        <v>154</v>
      </c>
      <c r="M26" s="170">
        <v>0.58270399424973163</v>
      </c>
      <c r="N26" s="170">
        <v>0.2336008646560466</v>
      </c>
      <c r="O26" s="170">
        <v>0</v>
      </c>
      <c r="P26" s="170">
        <f t="shared" si="3"/>
        <v>0.8163048589057782</v>
      </c>
      <c r="Q26" s="159" t="s">
        <v>154</v>
      </c>
      <c r="R26" s="170">
        <v>0.54658460111714713</v>
      </c>
      <c r="S26" s="170">
        <v>0.2336008646560466</v>
      </c>
      <c r="T26" s="170">
        <v>0</v>
      </c>
      <c r="U26" s="170">
        <f t="shared" si="4"/>
        <v>0.7801854657731937</v>
      </c>
      <c r="W26" s="136"/>
      <c r="X26" s="136"/>
    </row>
    <row r="27" spans="1:24" x14ac:dyDescent="0.25">
      <c r="A27" s="155">
        <v>20</v>
      </c>
      <c r="B27" s="155" t="s">
        <v>231</v>
      </c>
      <c r="C27" s="165" t="s">
        <v>253</v>
      </c>
      <c r="D27" s="159" t="s">
        <v>154</v>
      </c>
      <c r="E27" s="170">
        <v>0</v>
      </c>
      <c r="F27" s="170">
        <f t="shared" si="0"/>
        <v>0</v>
      </c>
      <c r="G27" s="170">
        <f t="shared" si="1"/>
        <v>0</v>
      </c>
      <c r="H27" s="171">
        <v>0</v>
      </c>
      <c r="I27" s="171"/>
      <c r="J27" s="171"/>
      <c r="K27" s="170">
        <f t="shared" si="2"/>
        <v>0</v>
      </c>
      <c r="L27" s="159" t="s">
        <v>154</v>
      </c>
      <c r="M27" s="170">
        <v>0.32863418169856573</v>
      </c>
      <c r="N27" s="170">
        <v>0.20804190791794003</v>
      </c>
      <c r="O27" s="170">
        <v>0</v>
      </c>
      <c r="P27" s="170">
        <f t="shared" si="3"/>
        <v>0.5366760896165057</v>
      </c>
      <c r="Q27" s="159" t="s">
        <v>154</v>
      </c>
      <c r="R27" s="170">
        <v>0.32863418169856573</v>
      </c>
      <c r="S27" s="170">
        <v>0.20804190791794003</v>
      </c>
      <c r="T27" s="170">
        <v>0</v>
      </c>
      <c r="U27" s="170">
        <f t="shared" si="4"/>
        <v>0.5366760896165057</v>
      </c>
      <c r="W27" s="136"/>
      <c r="X27" s="136"/>
    </row>
    <row r="28" spans="1:24" x14ac:dyDescent="0.25">
      <c r="A28" s="155">
        <v>21</v>
      </c>
      <c r="B28" s="155">
        <v>1443</v>
      </c>
      <c r="C28" s="165" t="s">
        <v>254</v>
      </c>
      <c r="D28" s="159" t="s">
        <v>189</v>
      </c>
      <c r="E28" s="170">
        <v>0</v>
      </c>
      <c r="F28" s="170">
        <f t="shared" si="0"/>
        <v>0</v>
      </c>
      <c r="G28" s="170">
        <f t="shared" si="1"/>
        <v>0</v>
      </c>
      <c r="H28" s="171">
        <v>0</v>
      </c>
      <c r="I28" s="171"/>
      <c r="J28" s="171"/>
      <c r="K28" s="170">
        <f t="shared" si="2"/>
        <v>0</v>
      </c>
      <c r="L28" s="159" t="s">
        <v>189</v>
      </c>
      <c r="M28" s="170">
        <v>0.34339253816863724</v>
      </c>
      <c r="N28" s="170">
        <v>0.39021150515160585</v>
      </c>
      <c r="O28" s="170">
        <v>0</v>
      </c>
      <c r="P28" s="170">
        <f t="shared" si="3"/>
        <v>0.73360404332024309</v>
      </c>
      <c r="Q28" s="159" t="s">
        <v>189</v>
      </c>
      <c r="R28" s="170">
        <v>0.34339253816863724</v>
      </c>
      <c r="S28" s="170">
        <v>0.39021150515160585</v>
      </c>
      <c r="T28" s="170">
        <v>0</v>
      </c>
      <c r="U28" s="170">
        <f t="shared" si="4"/>
        <v>0.73360404332024309</v>
      </c>
      <c r="W28" s="136"/>
      <c r="X28" s="136"/>
    </row>
    <row r="29" spans="1:24" x14ac:dyDescent="0.25">
      <c r="A29" s="155">
        <v>22</v>
      </c>
      <c r="B29" s="155" t="s">
        <v>232</v>
      </c>
      <c r="C29" s="165" t="s">
        <v>255</v>
      </c>
      <c r="D29" s="159" t="s">
        <v>189</v>
      </c>
      <c r="E29" s="170">
        <v>6.4046502177581108E-2</v>
      </c>
      <c r="F29" s="170">
        <f t="shared" si="0"/>
        <v>-3.4008692656295553E-2</v>
      </c>
      <c r="G29" s="170">
        <f t="shared" si="1"/>
        <v>3.0037809521285555E-2</v>
      </c>
      <c r="H29" s="171">
        <v>9.4093200000000002E-2</v>
      </c>
      <c r="I29" s="171"/>
      <c r="J29" s="171"/>
      <c r="K29" s="170">
        <f t="shared" si="2"/>
        <v>0.12413100952128556</v>
      </c>
      <c r="L29" s="159" t="s">
        <v>189</v>
      </c>
      <c r="M29" s="170">
        <v>0.71697520462061815</v>
      </c>
      <c r="N29" s="170">
        <v>0.70459925921372313</v>
      </c>
      <c r="O29" s="170">
        <v>0</v>
      </c>
      <c r="P29" s="170">
        <f t="shared" si="3"/>
        <v>1.4215744638343413</v>
      </c>
      <c r="Q29" s="159" t="s">
        <v>189</v>
      </c>
      <c r="R29" s="170">
        <v>0.67956583316187003</v>
      </c>
      <c r="S29" s="170">
        <v>0.70459925921372313</v>
      </c>
      <c r="T29" s="170">
        <v>0</v>
      </c>
      <c r="U29" s="170">
        <f t="shared" si="4"/>
        <v>1.3841650923755933</v>
      </c>
      <c r="W29" s="136"/>
      <c r="X29" s="136"/>
    </row>
    <row r="30" spans="1:24" x14ac:dyDescent="0.25">
      <c r="A30" s="155">
        <v>23</v>
      </c>
      <c r="B30" s="155" t="s">
        <v>233</v>
      </c>
      <c r="C30" s="165" t="s">
        <v>188</v>
      </c>
      <c r="D30" s="159" t="s">
        <v>189</v>
      </c>
      <c r="E30" s="170">
        <v>0.11622010795148371</v>
      </c>
      <c r="F30" s="170">
        <f t="shared" si="0"/>
        <v>-6.1712877322237833E-2</v>
      </c>
      <c r="G30" s="170">
        <f t="shared" si="1"/>
        <v>5.4507230629245881E-2</v>
      </c>
      <c r="H30" s="171">
        <v>0.18978120000000001</v>
      </c>
      <c r="I30" s="171"/>
      <c r="J30" s="171"/>
      <c r="K30" s="170">
        <f t="shared" si="2"/>
        <v>0.24428843062924588</v>
      </c>
      <c r="L30" s="159" t="s">
        <v>189</v>
      </c>
      <c r="M30" s="170">
        <v>0.72676969469293562</v>
      </c>
      <c r="N30" s="170">
        <v>0.47729778935734057</v>
      </c>
      <c r="O30" s="170">
        <v>0</v>
      </c>
      <c r="P30" s="170">
        <f t="shared" si="3"/>
        <v>1.2040674840502761</v>
      </c>
      <c r="Q30" s="159" t="s">
        <v>189</v>
      </c>
      <c r="R30" s="170">
        <v>0.65888587525689546</v>
      </c>
      <c r="S30" s="170">
        <v>0.47729778935734057</v>
      </c>
      <c r="T30" s="170">
        <v>0</v>
      </c>
      <c r="U30" s="170">
        <f t="shared" si="4"/>
        <v>1.136183664614236</v>
      </c>
      <c r="W30" s="136"/>
      <c r="X30" s="136"/>
    </row>
    <row r="31" spans="1:24" x14ac:dyDescent="0.25">
      <c r="A31" s="155">
        <v>24</v>
      </c>
      <c r="B31" s="155" t="s">
        <v>234</v>
      </c>
      <c r="C31" s="165" t="s">
        <v>188</v>
      </c>
      <c r="D31" s="159" t="s">
        <v>189</v>
      </c>
      <c r="E31" s="170">
        <v>0</v>
      </c>
      <c r="F31" s="170">
        <f t="shared" si="0"/>
        <v>0</v>
      </c>
      <c r="G31" s="170">
        <f t="shared" si="1"/>
        <v>0</v>
      </c>
      <c r="H31" s="171">
        <v>0</v>
      </c>
      <c r="I31" s="171"/>
      <c r="J31" s="171"/>
      <c r="K31" s="170">
        <f t="shared" si="2"/>
        <v>0</v>
      </c>
      <c r="L31" s="159" t="s">
        <v>189</v>
      </c>
      <c r="M31" s="170">
        <v>0.8493443786111966</v>
      </c>
      <c r="N31" s="170">
        <v>0.42479349477255657</v>
      </c>
      <c r="O31" s="170">
        <v>0</v>
      </c>
      <c r="P31" s="170">
        <f t="shared" si="3"/>
        <v>1.2741378733837532</v>
      </c>
      <c r="Q31" s="159" t="s">
        <v>189</v>
      </c>
      <c r="R31" s="170">
        <v>0.8493443786111966</v>
      </c>
      <c r="S31" s="170">
        <v>0.42479349477255657</v>
      </c>
      <c r="T31" s="170">
        <v>0</v>
      </c>
      <c r="U31" s="170">
        <f t="shared" si="4"/>
        <v>1.2741378733837532</v>
      </c>
      <c r="W31" s="136"/>
      <c r="X31" s="136"/>
    </row>
    <row r="32" spans="1:24" x14ac:dyDescent="0.25">
      <c r="A32" s="155">
        <v>25</v>
      </c>
      <c r="B32" s="155" t="s">
        <v>235</v>
      </c>
      <c r="C32" s="165" t="s">
        <v>188</v>
      </c>
      <c r="D32" s="159" t="s">
        <v>189</v>
      </c>
      <c r="E32" s="170">
        <v>0.11622010795148371</v>
      </c>
      <c r="F32" s="170">
        <f t="shared" si="0"/>
        <v>-6.1712877322237833E-2</v>
      </c>
      <c r="G32" s="170">
        <f t="shared" si="1"/>
        <v>5.4507230629245881E-2</v>
      </c>
      <c r="H32" s="171">
        <v>0.14416992000000001</v>
      </c>
      <c r="I32" s="171"/>
      <c r="J32" s="171"/>
      <c r="K32" s="170">
        <f t="shared" si="2"/>
        <v>0.1986771506292459</v>
      </c>
      <c r="L32" s="159" t="s">
        <v>189</v>
      </c>
      <c r="M32" s="170">
        <v>1.1609958487254679</v>
      </c>
      <c r="N32" s="170">
        <v>0.92585432856280203</v>
      </c>
      <c r="O32" s="170">
        <v>0</v>
      </c>
      <c r="P32" s="170">
        <f t="shared" si="3"/>
        <v>2.0868501772882699</v>
      </c>
      <c r="Q32" s="159" t="s">
        <v>189</v>
      </c>
      <c r="R32" s="170">
        <v>1.1682215791768475</v>
      </c>
      <c r="S32" s="170">
        <v>0.92585432856280203</v>
      </c>
      <c r="T32" s="170">
        <v>0</v>
      </c>
      <c r="U32" s="170">
        <f t="shared" si="4"/>
        <v>2.0940759077396498</v>
      </c>
      <c r="W32" s="136"/>
      <c r="X32" s="136"/>
    </row>
    <row r="33" spans="1:24" x14ac:dyDescent="0.25">
      <c r="A33" s="155">
        <v>26</v>
      </c>
      <c r="B33" s="155" t="s">
        <v>236</v>
      </c>
      <c r="C33" s="165" t="s">
        <v>188</v>
      </c>
      <c r="D33" s="159" t="s">
        <v>189</v>
      </c>
      <c r="E33" s="170">
        <v>0.11622010795148371</v>
      </c>
      <c r="F33" s="170">
        <f t="shared" si="0"/>
        <v>-6.1712877322237833E-2</v>
      </c>
      <c r="G33" s="170">
        <f t="shared" si="1"/>
        <v>5.4507230629245881E-2</v>
      </c>
      <c r="H33" s="171">
        <v>4.6249199999999997E-2</v>
      </c>
      <c r="I33" s="171"/>
      <c r="J33" s="171"/>
      <c r="K33" s="170">
        <f t="shared" si="2"/>
        <v>0.10075643062924589</v>
      </c>
      <c r="L33" s="159" t="s">
        <v>189</v>
      </c>
      <c r="M33" s="170">
        <v>1.2686161882247995</v>
      </c>
      <c r="N33" s="170">
        <v>0.65677696482651338</v>
      </c>
      <c r="O33" s="170">
        <v>0</v>
      </c>
      <c r="P33" s="170">
        <f t="shared" si="3"/>
        <v>1.9253931530513129</v>
      </c>
      <c r="Q33" s="159" t="s">
        <v>189</v>
      </c>
      <c r="R33" s="170">
        <v>1.2007323687887592</v>
      </c>
      <c r="S33" s="170">
        <v>0.65677696482651338</v>
      </c>
      <c r="T33" s="170">
        <v>0</v>
      </c>
      <c r="U33" s="170">
        <f t="shared" si="4"/>
        <v>1.8575093336152726</v>
      </c>
      <c r="W33" s="136"/>
      <c r="X33" s="136"/>
    </row>
    <row r="34" spans="1:24" x14ac:dyDescent="0.25">
      <c r="A34" s="155">
        <v>27</v>
      </c>
      <c r="B34" s="155">
        <v>710</v>
      </c>
      <c r="C34" s="165" t="s">
        <v>188</v>
      </c>
      <c r="D34" s="159" t="s">
        <v>189</v>
      </c>
      <c r="E34" s="170">
        <v>0</v>
      </c>
      <c r="F34" s="170">
        <f t="shared" si="0"/>
        <v>0</v>
      </c>
      <c r="G34" s="170">
        <f t="shared" si="1"/>
        <v>0</v>
      </c>
      <c r="H34" s="171">
        <v>0</v>
      </c>
      <c r="I34" s="171"/>
      <c r="J34" s="171"/>
      <c r="K34" s="170">
        <f t="shared" si="2"/>
        <v>0</v>
      </c>
      <c r="L34" s="159" t="s">
        <v>189</v>
      </c>
      <c r="M34" s="170">
        <v>0.67730811691482984</v>
      </c>
      <c r="N34" s="170">
        <v>0.43958922369574022</v>
      </c>
      <c r="O34" s="170">
        <v>0</v>
      </c>
      <c r="P34" s="170">
        <f t="shared" si="3"/>
        <v>1.11689734061057</v>
      </c>
      <c r="Q34" s="159" t="s">
        <v>189</v>
      </c>
      <c r="R34" s="170">
        <v>0.67730811691482984</v>
      </c>
      <c r="S34" s="170">
        <v>0.43958922369574022</v>
      </c>
      <c r="T34" s="170">
        <v>0</v>
      </c>
      <c r="U34" s="170">
        <f t="shared" si="4"/>
        <v>1.11689734061057</v>
      </c>
      <c r="W34" s="136"/>
      <c r="X34" s="136"/>
    </row>
    <row r="35" spans="1:24" x14ac:dyDescent="0.25">
      <c r="A35" s="155">
        <v>28</v>
      </c>
      <c r="B35" s="155">
        <v>140</v>
      </c>
      <c r="C35" s="165" t="s">
        <v>188</v>
      </c>
      <c r="D35" s="159" t="s">
        <v>189</v>
      </c>
      <c r="E35" s="170">
        <v>0</v>
      </c>
      <c r="F35" s="170">
        <f t="shared" si="0"/>
        <v>0</v>
      </c>
      <c r="G35" s="170">
        <f t="shared" si="1"/>
        <v>0</v>
      </c>
      <c r="H35" s="171">
        <v>0</v>
      </c>
      <c r="I35" s="171"/>
      <c r="J35" s="171"/>
      <c r="K35" s="170">
        <f t="shared" si="2"/>
        <v>0</v>
      </c>
      <c r="L35" s="159" t="s">
        <v>189</v>
      </c>
      <c r="M35" s="170">
        <v>0.58519421301441299</v>
      </c>
      <c r="N35" s="170">
        <v>0.26348648702109911</v>
      </c>
      <c r="O35" s="170">
        <v>0</v>
      </c>
      <c r="P35" s="170">
        <f t="shared" si="3"/>
        <v>0.8486807000355121</v>
      </c>
      <c r="Q35" s="159" t="s">
        <v>189</v>
      </c>
      <c r="R35" s="170">
        <v>0.58519421301441299</v>
      </c>
      <c r="S35" s="170">
        <v>0.26348648702109911</v>
      </c>
      <c r="T35" s="170">
        <v>0</v>
      </c>
      <c r="U35" s="170">
        <f t="shared" si="4"/>
        <v>0.8486807000355121</v>
      </c>
      <c r="W35" s="136"/>
      <c r="X35" s="136"/>
    </row>
    <row r="36" spans="1:24" x14ac:dyDescent="0.25">
      <c r="A36" s="155">
        <v>29</v>
      </c>
      <c r="B36" s="155" t="s">
        <v>237</v>
      </c>
      <c r="C36" s="165" t="s">
        <v>256</v>
      </c>
      <c r="D36" s="159" t="s">
        <v>189</v>
      </c>
      <c r="E36" s="170">
        <v>8.4064346858187824E-2</v>
      </c>
      <c r="F36" s="170">
        <f t="shared" si="0"/>
        <v>-4.4638168181697718E-2</v>
      </c>
      <c r="G36" s="170">
        <f t="shared" si="1"/>
        <v>3.9426178676490106E-2</v>
      </c>
      <c r="H36" s="171">
        <v>1.7542800000000001E-2</v>
      </c>
      <c r="I36" s="171"/>
      <c r="J36" s="171"/>
      <c r="K36" s="170">
        <f t="shared" si="2"/>
        <v>5.6968978676490103E-2</v>
      </c>
      <c r="L36" s="159" t="s">
        <v>189</v>
      </c>
      <c r="M36" s="170">
        <v>0.90977709201111323</v>
      </c>
      <c r="N36" s="170">
        <v>0.1798459556628671</v>
      </c>
      <c r="O36" s="170">
        <v>0</v>
      </c>
      <c r="P36" s="170">
        <f t="shared" si="3"/>
        <v>1.0896230476739803</v>
      </c>
      <c r="Q36" s="159" t="s">
        <v>189</v>
      </c>
      <c r="R36" s="170">
        <v>0.86067535700401698</v>
      </c>
      <c r="S36" s="170">
        <v>0.1798459556628671</v>
      </c>
      <c r="T36" s="170">
        <v>0</v>
      </c>
      <c r="U36" s="170">
        <f t="shared" si="4"/>
        <v>1.040521312666884</v>
      </c>
      <c r="W36" s="136"/>
      <c r="X36" s="136"/>
    </row>
    <row r="37" spans="1:24" x14ac:dyDescent="0.25">
      <c r="A37" s="155">
        <v>30</v>
      </c>
      <c r="B37" s="155">
        <v>2420</v>
      </c>
      <c r="C37" s="165" t="s">
        <v>256</v>
      </c>
      <c r="D37" s="159" t="s">
        <v>189</v>
      </c>
      <c r="E37" s="170">
        <v>0</v>
      </c>
      <c r="F37" s="170">
        <f t="shared" si="0"/>
        <v>0</v>
      </c>
      <c r="G37" s="170">
        <f t="shared" si="1"/>
        <v>0</v>
      </c>
      <c r="H37" s="171">
        <v>0</v>
      </c>
      <c r="I37" s="171"/>
      <c r="J37" s="171"/>
      <c r="K37" s="170">
        <f t="shared" si="2"/>
        <v>0</v>
      </c>
      <c r="L37" s="159" t="s">
        <v>189</v>
      </c>
      <c r="M37" s="170">
        <v>0.4938298991248109</v>
      </c>
      <c r="N37" s="170">
        <v>9.6674094555410151E-2</v>
      </c>
      <c r="O37" s="170">
        <v>0</v>
      </c>
      <c r="P37" s="170">
        <f t="shared" si="3"/>
        <v>0.590503993680221</v>
      </c>
      <c r="Q37" s="159" t="s">
        <v>189</v>
      </c>
      <c r="R37" s="170">
        <v>0.4938298991248109</v>
      </c>
      <c r="S37" s="170">
        <v>9.6674094555410151E-2</v>
      </c>
      <c r="T37" s="170">
        <v>0</v>
      </c>
      <c r="U37" s="170">
        <f t="shared" si="4"/>
        <v>0.590503993680221</v>
      </c>
      <c r="W37" s="136"/>
      <c r="X37" s="136"/>
    </row>
    <row r="38" spans="1:24" x14ac:dyDescent="0.25">
      <c r="A38" s="155">
        <v>31</v>
      </c>
      <c r="B38" s="155" t="s">
        <v>238</v>
      </c>
      <c r="C38" s="165" t="s">
        <v>256</v>
      </c>
      <c r="D38" s="159" t="s">
        <v>189</v>
      </c>
      <c r="E38" s="170">
        <v>8.4064346858187824E-2</v>
      </c>
      <c r="F38" s="170">
        <f t="shared" si="0"/>
        <v>-4.4638168181697718E-2</v>
      </c>
      <c r="G38" s="170">
        <f t="shared" si="1"/>
        <v>3.9426178676490106E-2</v>
      </c>
      <c r="H38" s="171">
        <v>1.1163600000000001E-2</v>
      </c>
      <c r="I38" s="171"/>
      <c r="J38" s="171"/>
      <c r="K38" s="170">
        <f t="shared" si="2"/>
        <v>5.0589778676490109E-2</v>
      </c>
      <c r="L38" s="159" t="s">
        <v>189</v>
      </c>
      <c r="M38" s="170">
        <v>0.70597427649928657</v>
      </c>
      <c r="N38" s="170">
        <v>0.18401440355977811</v>
      </c>
      <c r="O38" s="170">
        <v>0</v>
      </c>
      <c r="P38" s="170">
        <f t="shared" si="3"/>
        <v>0.88998868005906462</v>
      </c>
      <c r="Q38" s="159" t="s">
        <v>189</v>
      </c>
      <c r="R38" s="170">
        <v>0.65687254149219032</v>
      </c>
      <c r="S38" s="170">
        <v>0.18401440355977811</v>
      </c>
      <c r="T38" s="170">
        <v>0</v>
      </c>
      <c r="U38" s="170">
        <f t="shared" si="4"/>
        <v>0.84088694505196848</v>
      </c>
      <c r="W38" s="136"/>
      <c r="X38" s="136"/>
    </row>
    <row r="39" spans="1:24" x14ac:dyDescent="0.25">
      <c r="A39" s="155">
        <v>32</v>
      </c>
      <c r="B39" s="155" t="s">
        <v>239</v>
      </c>
      <c r="C39" s="165" t="s">
        <v>256</v>
      </c>
      <c r="D39" s="159" t="s">
        <v>189</v>
      </c>
      <c r="E39" s="170">
        <v>8.4064346858187824E-2</v>
      </c>
      <c r="F39" s="170">
        <f t="shared" si="0"/>
        <v>-4.4638168181697718E-2</v>
      </c>
      <c r="G39" s="170">
        <f t="shared" si="1"/>
        <v>3.9426178676490106E-2</v>
      </c>
      <c r="H39" s="171">
        <v>1.7542800000000001E-2</v>
      </c>
      <c r="I39" s="171"/>
      <c r="J39" s="171"/>
      <c r="K39" s="170">
        <f t="shared" si="2"/>
        <v>5.6968978676490103E-2</v>
      </c>
      <c r="L39" s="159" t="s">
        <v>189</v>
      </c>
      <c r="M39" s="170">
        <v>0.91761566183849119</v>
      </c>
      <c r="N39" s="170">
        <v>0.1213366108855789</v>
      </c>
      <c r="O39" s="170">
        <v>0</v>
      </c>
      <c r="P39" s="170">
        <f t="shared" si="3"/>
        <v>1.0389522727240701</v>
      </c>
      <c r="Q39" s="159" t="s">
        <v>189</v>
      </c>
      <c r="R39" s="170">
        <v>0.86851392683139494</v>
      </c>
      <c r="S39" s="170">
        <v>0.1213366108855789</v>
      </c>
      <c r="T39" s="170">
        <v>0</v>
      </c>
      <c r="U39" s="170">
        <f t="shared" si="4"/>
        <v>0.98985053771697384</v>
      </c>
      <c r="W39" s="136"/>
      <c r="X39" s="136"/>
    </row>
    <row r="40" spans="1:24" x14ac:dyDescent="0.25">
      <c r="A40" s="155">
        <v>33</v>
      </c>
      <c r="B40" s="155" t="s">
        <v>240</v>
      </c>
      <c r="C40" s="165" t="s">
        <v>256</v>
      </c>
      <c r="D40" s="159" t="s">
        <v>189</v>
      </c>
      <c r="E40" s="170">
        <v>8.4064346858187824E-2</v>
      </c>
      <c r="F40" s="170">
        <f t="shared" si="0"/>
        <v>-4.4638168181697718E-2</v>
      </c>
      <c r="G40" s="170">
        <f t="shared" si="1"/>
        <v>3.9426178676490106E-2</v>
      </c>
      <c r="H40" s="171">
        <v>2.4320700000000001E-2</v>
      </c>
      <c r="I40" s="171"/>
      <c r="J40" s="171"/>
      <c r="K40" s="170">
        <f t="shared" si="2"/>
        <v>6.3746878676490107E-2</v>
      </c>
      <c r="L40" s="159" t="s">
        <v>189</v>
      </c>
      <c r="M40" s="170">
        <v>0.90487798586900203</v>
      </c>
      <c r="N40" s="170">
        <v>0.2090779168938548</v>
      </c>
      <c r="O40" s="170">
        <v>0</v>
      </c>
      <c r="P40" s="170">
        <f t="shared" si="3"/>
        <v>1.1139559027628567</v>
      </c>
      <c r="Q40" s="159" t="s">
        <v>189</v>
      </c>
      <c r="R40" s="170">
        <v>0.85577625086190579</v>
      </c>
      <c r="S40" s="170">
        <v>0.2090779168938548</v>
      </c>
      <c r="T40" s="170">
        <v>0</v>
      </c>
      <c r="U40" s="170">
        <f t="shared" si="4"/>
        <v>1.0648541677557606</v>
      </c>
      <c r="W40" s="136"/>
      <c r="X40" s="136"/>
    </row>
    <row r="41" spans="1:24" x14ac:dyDescent="0.25">
      <c r="A41" s="155">
        <v>34</v>
      </c>
      <c r="B41" s="155" t="s">
        <v>241</v>
      </c>
      <c r="C41" s="165" t="s">
        <v>257</v>
      </c>
      <c r="D41" s="159" t="s">
        <v>189</v>
      </c>
      <c r="E41" s="170">
        <v>8.4064346858187824E-2</v>
      </c>
      <c r="F41" s="170">
        <f t="shared" si="0"/>
        <v>-4.4638168181697718E-2</v>
      </c>
      <c r="G41" s="170">
        <f t="shared" si="1"/>
        <v>3.9426178676490106E-2</v>
      </c>
      <c r="H41" s="171">
        <v>3.5085600000000002E-2</v>
      </c>
      <c r="I41" s="171"/>
      <c r="J41" s="171"/>
      <c r="K41" s="170">
        <f t="shared" si="2"/>
        <v>7.4511778676490115E-2</v>
      </c>
      <c r="L41" s="159" t="s">
        <v>189</v>
      </c>
      <c r="M41" s="170">
        <v>0.88626138252897935</v>
      </c>
      <c r="N41" s="170">
        <v>0.26929410021572114</v>
      </c>
      <c r="O41" s="170">
        <v>0</v>
      </c>
      <c r="P41" s="170">
        <f t="shared" si="3"/>
        <v>1.1555554827447005</v>
      </c>
      <c r="Q41" s="159" t="s">
        <v>189</v>
      </c>
      <c r="R41" s="170">
        <v>0.8371596475218831</v>
      </c>
      <c r="S41" s="170">
        <v>0.26929410021572114</v>
      </c>
      <c r="T41" s="170">
        <v>0</v>
      </c>
      <c r="U41" s="170">
        <f t="shared" si="4"/>
        <v>1.1064537477376042</v>
      </c>
      <c r="W41" s="136"/>
      <c r="X41" s="136"/>
    </row>
    <row r="42" spans="1:24" x14ac:dyDescent="0.25">
      <c r="A42" s="155">
        <v>35</v>
      </c>
      <c r="B42" s="155" t="s">
        <v>242</v>
      </c>
      <c r="C42" s="165" t="s">
        <v>257</v>
      </c>
      <c r="D42" s="159" t="s">
        <v>189</v>
      </c>
      <c r="E42" s="170">
        <v>8.4064346858187824E-2</v>
      </c>
      <c r="F42" s="170">
        <f t="shared" si="0"/>
        <v>-4.4638168181697718E-2</v>
      </c>
      <c r="G42" s="170">
        <f t="shared" si="1"/>
        <v>3.9426178676490106E-2</v>
      </c>
      <c r="H42" s="171">
        <v>2.2327200000000002E-2</v>
      </c>
      <c r="I42" s="171"/>
      <c r="J42" s="171"/>
      <c r="K42" s="170">
        <f t="shared" si="2"/>
        <v>6.1753378676490112E-2</v>
      </c>
      <c r="L42" s="159" t="s">
        <v>189</v>
      </c>
      <c r="M42" s="170">
        <v>0.91761566183849119</v>
      </c>
      <c r="N42" s="170">
        <v>0.21905121662877405</v>
      </c>
      <c r="O42" s="170">
        <v>0</v>
      </c>
      <c r="P42" s="170">
        <f t="shared" si="3"/>
        <v>1.1366668784672653</v>
      </c>
      <c r="Q42" s="159" t="s">
        <v>189</v>
      </c>
      <c r="R42" s="170">
        <v>0.86851392683139494</v>
      </c>
      <c r="S42" s="170">
        <v>0.21905121662877405</v>
      </c>
      <c r="T42" s="170">
        <v>0</v>
      </c>
      <c r="U42" s="170">
        <f t="shared" si="4"/>
        <v>1.087565143460169</v>
      </c>
      <c r="W42" s="136"/>
      <c r="X42" s="136"/>
    </row>
    <row r="43" spans="1:24" x14ac:dyDescent="0.25">
      <c r="A43" s="155">
        <v>36</v>
      </c>
      <c r="B43" s="155" t="s">
        <v>243</v>
      </c>
      <c r="C43" s="165" t="s">
        <v>257</v>
      </c>
      <c r="D43" s="159" t="s">
        <v>189</v>
      </c>
      <c r="E43" s="170">
        <v>0</v>
      </c>
      <c r="F43" s="170">
        <f t="shared" si="0"/>
        <v>0</v>
      </c>
      <c r="G43" s="170">
        <f t="shared" si="1"/>
        <v>0</v>
      </c>
      <c r="H43" s="171">
        <v>0</v>
      </c>
      <c r="I43" s="171"/>
      <c r="J43" s="171"/>
      <c r="K43" s="170">
        <f t="shared" si="2"/>
        <v>0</v>
      </c>
      <c r="L43" s="159" t="s">
        <v>189</v>
      </c>
      <c r="M43" s="170">
        <v>0.69763271463663756</v>
      </c>
      <c r="N43" s="170">
        <v>0.20179994133190934</v>
      </c>
      <c r="O43" s="170">
        <v>0</v>
      </c>
      <c r="P43" s="170">
        <f t="shared" si="3"/>
        <v>0.89943265596854693</v>
      </c>
      <c r="Q43" s="159" t="s">
        <v>189</v>
      </c>
      <c r="R43" s="170">
        <v>0.69763271463663756</v>
      </c>
      <c r="S43" s="170">
        <v>0.20179994133190934</v>
      </c>
      <c r="T43" s="170">
        <v>0</v>
      </c>
      <c r="U43" s="170">
        <f t="shared" si="4"/>
        <v>0.89943265596854693</v>
      </c>
      <c r="W43" s="136"/>
      <c r="X43" s="136"/>
    </row>
    <row r="44" spans="1:24" x14ac:dyDescent="0.25">
      <c r="A44" s="155">
        <v>37</v>
      </c>
      <c r="B44" s="155">
        <v>2420</v>
      </c>
      <c r="C44" s="165" t="s">
        <v>257</v>
      </c>
      <c r="D44" s="159" t="s">
        <v>189</v>
      </c>
      <c r="E44" s="170">
        <v>8.4064346858187824E-2</v>
      </c>
      <c r="F44" s="170">
        <f t="shared" si="0"/>
        <v>-4.4638168181697718E-2</v>
      </c>
      <c r="G44" s="170">
        <f t="shared" si="1"/>
        <v>3.9426178676490106E-2</v>
      </c>
      <c r="H44" s="171">
        <v>2.71116E-2</v>
      </c>
      <c r="I44" s="171"/>
      <c r="J44" s="171"/>
      <c r="K44" s="170">
        <f t="shared" si="2"/>
        <v>6.6537778676490106E-2</v>
      </c>
      <c r="L44" s="159" t="s">
        <v>189</v>
      </c>
      <c r="M44" s="170">
        <v>0.69813570667190861</v>
      </c>
      <c r="N44" s="170">
        <v>0.15984132768447903</v>
      </c>
      <c r="O44" s="170">
        <v>0</v>
      </c>
      <c r="P44" s="170">
        <f t="shared" si="3"/>
        <v>0.85797703435638761</v>
      </c>
      <c r="Q44" s="159" t="s">
        <v>189</v>
      </c>
      <c r="R44" s="170">
        <v>0.64903397166481236</v>
      </c>
      <c r="S44" s="170">
        <v>0.15984132768447903</v>
      </c>
      <c r="T44" s="170">
        <v>0</v>
      </c>
      <c r="U44" s="170">
        <f t="shared" si="4"/>
        <v>0.80887529934929137</v>
      </c>
      <c r="W44" s="136"/>
      <c r="X44" s="136"/>
    </row>
    <row r="45" spans="1:24" x14ac:dyDescent="0.25">
      <c r="A45" s="155">
        <v>38</v>
      </c>
      <c r="B45" s="155" t="s">
        <v>244</v>
      </c>
      <c r="C45" s="165" t="s">
        <v>257</v>
      </c>
      <c r="D45" s="159" t="s">
        <v>189</v>
      </c>
      <c r="E45" s="170">
        <v>0</v>
      </c>
      <c r="F45" s="170">
        <f t="shared" si="0"/>
        <v>0</v>
      </c>
      <c r="G45" s="170">
        <f t="shared" si="1"/>
        <v>0</v>
      </c>
      <c r="H45" s="171">
        <v>0</v>
      </c>
      <c r="I45" s="171"/>
      <c r="J45" s="171"/>
      <c r="K45" s="170">
        <f t="shared" si="2"/>
        <v>0</v>
      </c>
      <c r="L45" s="159" t="s">
        <v>189</v>
      </c>
      <c r="M45" s="170">
        <v>0.40172670365311997</v>
      </c>
      <c r="N45" s="170">
        <v>0.12861298566108156</v>
      </c>
      <c r="O45" s="170">
        <v>0</v>
      </c>
      <c r="P45" s="170">
        <f t="shared" si="3"/>
        <v>0.5303396893142015</v>
      </c>
      <c r="Q45" s="159" t="s">
        <v>189</v>
      </c>
      <c r="R45" s="170">
        <v>0.40172670365311997</v>
      </c>
      <c r="S45" s="170">
        <v>0.12861298566108156</v>
      </c>
      <c r="T45" s="170">
        <v>0</v>
      </c>
      <c r="U45" s="170">
        <f t="shared" si="4"/>
        <v>0.5303396893142015</v>
      </c>
      <c r="W45" s="136"/>
      <c r="X45" s="136"/>
    </row>
    <row r="46" spans="1:24" x14ac:dyDescent="0.25">
      <c r="A46" s="155">
        <v>39</v>
      </c>
      <c r="B46" s="155" t="s">
        <v>245</v>
      </c>
      <c r="C46" s="158" t="s">
        <v>258</v>
      </c>
      <c r="D46" s="159" t="s">
        <v>189</v>
      </c>
      <c r="E46" s="170">
        <v>1.9876500675801028E-2</v>
      </c>
      <c r="F46" s="170">
        <f t="shared" si="0"/>
        <v>-1.0554421858850343E-2</v>
      </c>
      <c r="G46" s="170">
        <f t="shared" si="1"/>
        <v>9.3220788169506852E-3</v>
      </c>
      <c r="H46" s="171">
        <v>2.3921999999999999E-2</v>
      </c>
      <c r="I46" s="171"/>
      <c r="J46" s="171"/>
      <c r="K46" s="170">
        <f t="shared" si="2"/>
        <v>3.3244078816950684E-2</v>
      </c>
      <c r="L46" s="159" t="s">
        <v>189</v>
      </c>
      <c r="M46" s="170">
        <v>7.6108081315350157E-2</v>
      </c>
      <c r="N46" s="170">
        <v>7.8191814484073668E-2</v>
      </c>
      <c r="O46" s="170">
        <v>0</v>
      </c>
      <c r="P46" s="170">
        <f t="shared" si="3"/>
        <v>0.15429989579942383</v>
      </c>
      <c r="Q46" s="159" t="s">
        <v>189</v>
      </c>
      <c r="R46" s="170">
        <v>6.4498276379876582E-2</v>
      </c>
      <c r="S46" s="170">
        <v>7.8191814484073668E-2</v>
      </c>
      <c r="T46" s="170">
        <v>0</v>
      </c>
      <c r="U46" s="170">
        <f t="shared" si="4"/>
        <v>0.14269009086395024</v>
      </c>
    </row>
    <row r="47" spans="1:24" x14ac:dyDescent="0.25">
      <c r="A47" s="155">
        <v>40</v>
      </c>
      <c r="B47" s="155" t="s">
        <v>246</v>
      </c>
      <c r="C47" s="165" t="s">
        <v>259</v>
      </c>
      <c r="D47" s="159" t="s">
        <v>189</v>
      </c>
      <c r="E47" s="170">
        <v>1.9876500675801028E-2</v>
      </c>
      <c r="F47" s="170">
        <f t="shared" si="0"/>
        <v>-1.0554421858850343E-2</v>
      </c>
      <c r="G47" s="170">
        <f t="shared" si="1"/>
        <v>9.3220788169506852E-3</v>
      </c>
      <c r="H47" s="171">
        <v>2.35233E-2</v>
      </c>
      <c r="I47" s="171"/>
      <c r="J47" s="171"/>
      <c r="K47" s="170">
        <f t="shared" si="2"/>
        <v>3.2845378816950682E-2</v>
      </c>
      <c r="L47" s="159" t="s">
        <v>189</v>
      </c>
      <c r="M47" s="170">
        <v>0.10390930397359965</v>
      </c>
      <c r="N47" s="170">
        <v>9.4525478972295199E-2</v>
      </c>
      <c r="O47" s="170">
        <v>0</v>
      </c>
      <c r="P47" s="170">
        <f t="shared" si="3"/>
        <v>0.19843478294589484</v>
      </c>
      <c r="Q47" s="159" t="s">
        <v>189</v>
      </c>
      <c r="R47" s="170">
        <v>9.2299499038126079E-2</v>
      </c>
      <c r="S47" s="170">
        <v>9.4525478972295199E-2</v>
      </c>
      <c r="T47" s="170">
        <v>0</v>
      </c>
      <c r="U47" s="170">
        <f t="shared" si="4"/>
        <v>0.18682497801042128</v>
      </c>
      <c r="W47" s="136"/>
      <c r="X47" s="136"/>
    </row>
    <row r="48" spans="1:24" x14ac:dyDescent="0.25">
      <c r="A48" s="155">
        <v>41</v>
      </c>
      <c r="B48" s="155" t="s">
        <v>247</v>
      </c>
      <c r="C48" s="165" t="s">
        <v>260</v>
      </c>
      <c r="D48" s="159" t="s">
        <v>189</v>
      </c>
      <c r="E48" s="170">
        <v>1.9876500675801028E-2</v>
      </c>
      <c r="F48" s="170">
        <f t="shared" si="0"/>
        <v>-1.0554421858850343E-2</v>
      </c>
      <c r="G48" s="170">
        <f t="shared" si="1"/>
        <v>9.3220788169506852E-3</v>
      </c>
      <c r="H48" s="171">
        <v>2.0732400000000002E-2</v>
      </c>
      <c r="I48" s="171"/>
      <c r="J48" s="171"/>
      <c r="K48" s="170">
        <f t="shared" si="2"/>
        <v>3.0054478816950687E-2</v>
      </c>
      <c r="L48" s="159" t="s">
        <v>189</v>
      </c>
      <c r="M48" s="170">
        <v>0.10390930397359965</v>
      </c>
      <c r="N48" s="171">
        <v>4.6176485825761115E-2</v>
      </c>
      <c r="O48" s="170">
        <v>0</v>
      </c>
      <c r="P48" s="170">
        <f t="shared" si="3"/>
        <v>0.15008578979936077</v>
      </c>
      <c r="Q48" s="159" t="s">
        <v>189</v>
      </c>
      <c r="R48" s="170">
        <v>9.2299499038126079E-2</v>
      </c>
      <c r="S48" s="170">
        <v>4.6176485825761115E-2</v>
      </c>
      <c r="T48" s="170">
        <v>0</v>
      </c>
      <c r="U48" s="170">
        <f t="shared" si="4"/>
        <v>0.13847598486388718</v>
      </c>
      <c r="W48" s="136"/>
      <c r="X48" s="136"/>
    </row>
    <row r="49" spans="1:24" x14ac:dyDescent="0.25">
      <c r="A49" s="155">
        <v>42</v>
      </c>
      <c r="B49" s="155" t="s">
        <v>248</v>
      </c>
      <c r="C49" s="165" t="s">
        <v>260</v>
      </c>
      <c r="D49" s="159" t="s">
        <v>189</v>
      </c>
      <c r="E49" s="170">
        <v>1.9876500675801028E-2</v>
      </c>
      <c r="F49" s="170">
        <f t="shared" si="0"/>
        <v>-1.0554421858850343E-2</v>
      </c>
      <c r="G49" s="170">
        <f t="shared" si="1"/>
        <v>9.3220788169506852E-3</v>
      </c>
      <c r="H49" s="171">
        <v>1.1960999999999999E-2</v>
      </c>
      <c r="I49" s="171"/>
      <c r="J49" s="171"/>
      <c r="K49" s="170">
        <f t="shared" si="2"/>
        <v>2.1283078816950685E-2</v>
      </c>
      <c r="L49" s="159" t="s">
        <v>189</v>
      </c>
      <c r="M49" s="170">
        <v>9.4183073747272125E-2</v>
      </c>
      <c r="N49" s="170">
        <v>7.7624735886730828E-2</v>
      </c>
      <c r="O49" s="170">
        <v>0</v>
      </c>
      <c r="P49" s="170">
        <f t="shared" si="3"/>
        <v>0.17180780963400294</v>
      </c>
      <c r="Q49" s="159" t="s">
        <v>189</v>
      </c>
      <c r="R49" s="170">
        <v>8.257326881179855E-2</v>
      </c>
      <c r="S49" s="170">
        <v>7.7624735886730828E-2</v>
      </c>
      <c r="T49" s="170">
        <v>0</v>
      </c>
      <c r="U49" s="170">
        <f t="shared" si="4"/>
        <v>0.16019800469852938</v>
      </c>
      <c r="W49" s="136"/>
      <c r="X49" s="136"/>
    </row>
    <row r="50" spans="1:24" x14ac:dyDescent="0.25">
      <c r="A50" s="155">
        <v>43</v>
      </c>
      <c r="B50" s="155" t="s">
        <v>261</v>
      </c>
      <c r="C50" s="165" t="s">
        <v>249</v>
      </c>
      <c r="D50" s="159" t="s">
        <v>154</v>
      </c>
      <c r="E50" s="170">
        <v>0</v>
      </c>
      <c r="F50" s="170">
        <f t="shared" si="0"/>
        <v>0</v>
      </c>
      <c r="G50" s="170">
        <f t="shared" si="1"/>
        <v>0</v>
      </c>
      <c r="H50" s="170">
        <v>0</v>
      </c>
      <c r="I50" s="170"/>
      <c r="J50" s="170"/>
      <c r="K50" s="170">
        <f t="shared" si="2"/>
        <v>0</v>
      </c>
      <c r="L50" s="159" t="s">
        <v>154</v>
      </c>
      <c r="M50" s="170">
        <v>0.10744087793583496</v>
      </c>
      <c r="N50" s="170">
        <v>1.3507035807281425E-2</v>
      </c>
      <c r="O50" s="170">
        <v>0</v>
      </c>
      <c r="P50" s="170">
        <f t="shared" si="3"/>
        <v>0.12094791374311638</v>
      </c>
      <c r="Q50" s="159" t="s">
        <v>154</v>
      </c>
      <c r="R50" s="170">
        <v>0.10744087793583496</v>
      </c>
      <c r="S50" s="170">
        <v>1.3507035807281425E-2</v>
      </c>
      <c r="T50" s="170">
        <v>0</v>
      </c>
      <c r="U50" s="170">
        <f t="shared" si="4"/>
        <v>0.12094791374311638</v>
      </c>
      <c r="W50" s="136"/>
      <c r="X50" s="136"/>
    </row>
    <row r="51" spans="1:24" x14ac:dyDescent="0.25">
      <c r="A51" s="155">
        <v>44</v>
      </c>
      <c r="B51" s="155" t="s">
        <v>262</v>
      </c>
      <c r="C51" s="165" t="s">
        <v>249</v>
      </c>
      <c r="D51" s="159" t="s">
        <v>154</v>
      </c>
      <c r="E51" s="170">
        <v>0</v>
      </c>
      <c r="F51" s="170">
        <f t="shared" si="0"/>
        <v>0</v>
      </c>
      <c r="G51" s="170">
        <f t="shared" si="1"/>
        <v>0</v>
      </c>
      <c r="H51" s="170">
        <v>0</v>
      </c>
      <c r="I51" s="170"/>
      <c r="J51" s="170"/>
      <c r="K51" s="170">
        <f t="shared" si="2"/>
        <v>0</v>
      </c>
      <c r="L51" s="159" t="s">
        <v>154</v>
      </c>
      <c r="M51" s="170">
        <v>0.19126900660842172</v>
      </c>
      <c r="N51" s="170">
        <v>6.0315732228774607E-2</v>
      </c>
      <c r="O51" s="170">
        <v>0</v>
      </c>
      <c r="P51" s="170">
        <f t="shared" si="3"/>
        <v>0.25158473883719634</v>
      </c>
      <c r="Q51" s="159" t="s">
        <v>154</v>
      </c>
      <c r="R51" s="170">
        <v>0.19126900660842172</v>
      </c>
      <c r="S51" s="170">
        <v>6.0315732228774607E-2</v>
      </c>
      <c r="T51" s="170">
        <v>0</v>
      </c>
      <c r="U51" s="170">
        <f t="shared" si="4"/>
        <v>0.25158473883719634</v>
      </c>
      <c r="W51" s="136"/>
      <c r="X51" s="136"/>
    </row>
    <row r="52" spans="1:24" x14ac:dyDescent="0.25">
      <c r="A52" s="155">
        <v>45</v>
      </c>
      <c r="B52" s="155" t="s">
        <v>305</v>
      </c>
      <c r="C52" s="165" t="s">
        <v>249</v>
      </c>
      <c r="D52" s="159" t="s">
        <v>154</v>
      </c>
      <c r="E52" s="170">
        <v>0</v>
      </c>
      <c r="F52" s="170">
        <f t="shared" si="0"/>
        <v>0</v>
      </c>
      <c r="G52" s="170">
        <f t="shared" si="1"/>
        <v>0</v>
      </c>
      <c r="H52" s="170">
        <v>0</v>
      </c>
      <c r="I52" s="170"/>
      <c r="J52" s="170"/>
      <c r="K52" s="170">
        <f t="shared" si="2"/>
        <v>0</v>
      </c>
      <c r="L52" s="159" t="s">
        <v>154</v>
      </c>
      <c r="M52" s="170">
        <v>9.2092487042964993E-2</v>
      </c>
      <c r="N52" s="170">
        <v>1.3079625827068198E-2</v>
      </c>
      <c r="O52" s="170">
        <v>0</v>
      </c>
      <c r="P52" s="170">
        <f t="shared" si="3"/>
        <v>0.1051721128700332</v>
      </c>
      <c r="Q52" s="159" t="s">
        <v>154</v>
      </c>
      <c r="R52" s="170">
        <v>9.2092487042964993E-2</v>
      </c>
      <c r="S52" s="170">
        <v>1.3079625827068198E-2</v>
      </c>
      <c r="T52" s="170">
        <v>0</v>
      </c>
      <c r="U52" s="170">
        <f t="shared" si="4"/>
        <v>0.1051721128700332</v>
      </c>
      <c r="W52" s="136"/>
      <c r="X52" s="136"/>
    </row>
    <row r="53" spans="1:24" x14ac:dyDescent="0.25">
      <c r="A53" s="155">
        <v>46</v>
      </c>
      <c r="B53" s="155" t="s">
        <v>263</v>
      </c>
      <c r="C53" s="165" t="s">
        <v>249</v>
      </c>
      <c r="D53" s="159" t="s">
        <v>154</v>
      </c>
      <c r="E53" s="170">
        <v>0</v>
      </c>
      <c r="F53" s="170">
        <f t="shared" si="0"/>
        <v>0</v>
      </c>
      <c r="G53" s="170">
        <f t="shared" si="1"/>
        <v>0</v>
      </c>
      <c r="H53" s="170">
        <v>0</v>
      </c>
      <c r="I53" s="170"/>
      <c r="J53" s="170"/>
      <c r="K53" s="170">
        <f t="shared" si="2"/>
        <v>0</v>
      </c>
      <c r="L53" s="159" t="s">
        <v>154</v>
      </c>
      <c r="M53" s="170">
        <v>9.2092487042964993E-2</v>
      </c>
      <c r="N53" s="170">
        <v>2.5941744796228267E-2</v>
      </c>
      <c r="O53" s="170">
        <v>0</v>
      </c>
      <c r="P53" s="170">
        <f t="shared" si="3"/>
        <v>0.11803423183919326</v>
      </c>
      <c r="Q53" s="159" t="s">
        <v>154</v>
      </c>
      <c r="R53" s="170">
        <v>9.2092487042964993E-2</v>
      </c>
      <c r="S53" s="170">
        <v>2.5941744796228267E-2</v>
      </c>
      <c r="T53" s="170">
        <v>0</v>
      </c>
      <c r="U53" s="170">
        <f t="shared" si="4"/>
        <v>0.11803423183919326</v>
      </c>
      <c r="W53" s="136"/>
      <c r="X53" s="136"/>
    </row>
    <row r="54" spans="1:24" x14ac:dyDescent="0.25">
      <c r="A54" s="155">
        <v>47</v>
      </c>
      <c r="B54" s="155" t="s">
        <v>304</v>
      </c>
      <c r="C54" s="165" t="s">
        <v>249</v>
      </c>
      <c r="D54" s="159" t="s">
        <v>154</v>
      </c>
      <c r="E54" s="170">
        <v>0</v>
      </c>
      <c r="F54" s="170">
        <f t="shared" si="0"/>
        <v>0</v>
      </c>
      <c r="G54" s="170">
        <f t="shared" si="1"/>
        <v>0</v>
      </c>
      <c r="H54" s="170">
        <v>0</v>
      </c>
      <c r="I54" s="170"/>
      <c r="J54" s="170"/>
      <c r="K54" s="170">
        <f t="shared" si="2"/>
        <v>0</v>
      </c>
      <c r="L54" s="159" t="s">
        <v>154</v>
      </c>
      <c r="M54" s="170">
        <v>0</v>
      </c>
      <c r="N54" s="170">
        <v>3.1170313514847912E-2</v>
      </c>
      <c r="O54" s="170">
        <v>0</v>
      </c>
      <c r="P54" s="170">
        <f t="shared" si="3"/>
        <v>3.1170313514847912E-2</v>
      </c>
      <c r="Q54" s="159" t="s">
        <v>154</v>
      </c>
      <c r="R54" s="170">
        <v>0</v>
      </c>
      <c r="S54" s="170">
        <v>3.1170313514847912E-2</v>
      </c>
      <c r="T54" s="170">
        <v>0</v>
      </c>
      <c r="U54" s="170">
        <f t="shared" si="4"/>
        <v>3.1170313514847912E-2</v>
      </c>
      <c r="W54" s="136"/>
      <c r="X54" s="136"/>
    </row>
    <row r="55" spans="1:24" x14ac:dyDescent="0.25">
      <c r="A55" s="155">
        <v>48</v>
      </c>
      <c r="B55" s="155" t="s">
        <v>264</v>
      </c>
      <c r="C55" s="165" t="s">
        <v>253</v>
      </c>
      <c r="D55" s="159" t="s">
        <v>154</v>
      </c>
      <c r="E55" s="170">
        <v>0</v>
      </c>
      <c r="F55" s="170">
        <f t="shared" si="0"/>
        <v>0</v>
      </c>
      <c r="G55" s="170">
        <f t="shared" si="1"/>
        <v>0</v>
      </c>
      <c r="H55" s="170">
        <v>0</v>
      </c>
      <c r="I55" s="170"/>
      <c r="J55" s="170"/>
      <c r="K55" s="170">
        <f t="shared" si="2"/>
        <v>0</v>
      </c>
      <c r="L55" s="159" t="s">
        <v>154</v>
      </c>
      <c r="M55" s="170">
        <v>0.29983600432593255</v>
      </c>
      <c r="N55" s="170">
        <v>7.5562722850168448E-2</v>
      </c>
      <c r="O55" s="170">
        <v>0</v>
      </c>
      <c r="P55" s="170">
        <f t="shared" si="3"/>
        <v>0.37539872717610101</v>
      </c>
      <c r="Q55" s="159" t="s">
        <v>154</v>
      </c>
      <c r="R55" s="170">
        <v>0.29983600432593255</v>
      </c>
      <c r="S55" s="170">
        <v>7.5562722850168448E-2</v>
      </c>
      <c r="T55" s="170">
        <v>0</v>
      </c>
      <c r="U55" s="170">
        <f t="shared" si="4"/>
        <v>0.37539872717610101</v>
      </c>
      <c r="W55" s="136"/>
      <c r="X55" s="136"/>
    </row>
    <row r="56" spans="1:24" x14ac:dyDescent="0.25">
      <c r="A56" s="155">
        <v>49</v>
      </c>
      <c r="B56" s="155" t="s">
        <v>265</v>
      </c>
      <c r="C56" s="165" t="s">
        <v>188</v>
      </c>
      <c r="D56" s="159" t="s">
        <v>189</v>
      </c>
      <c r="E56" s="170">
        <v>0</v>
      </c>
      <c r="F56" s="170">
        <f t="shared" si="0"/>
        <v>0</v>
      </c>
      <c r="G56" s="170">
        <f t="shared" si="1"/>
        <v>0</v>
      </c>
      <c r="H56" s="170">
        <v>0</v>
      </c>
      <c r="I56" s="170"/>
      <c r="J56" s="170"/>
      <c r="K56" s="170">
        <f t="shared" si="2"/>
        <v>0</v>
      </c>
      <c r="L56" s="159" t="s">
        <v>189</v>
      </c>
      <c r="M56" s="170">
        <v>0.53100956366122654</v>
      </c>
      <c r="N56" s="170">
        <v>0.35936935285752092</v>
      </c>
      <c r="O56" s="170">
        <v>0</v>
      </c>
      <c r="P56" s="170">
        <f t="shared" si="3"/>
        <v>0.89037891651874745</v>
      </c>
      <c r="Q56" s="159" t="s">
        <v>189</v>
      </c>
      <c r="R56" s="170">
        <v>0.53100956366122654</v>
      </c>
      <c r="S56" s="170">
        <v>0.35936935285752092</v>
      </c>
      <c r="T56" s="170">
        <v>0</v>
      </c>
      <c r="U56" s="170">
        <f t="shared" si="4"/>
        <v>0.89037891651874745</v>
      </c>
      <c r="W56" s="136"/>
      <c r="X56" s="136"/>
    </row>
    <row r="57" spans="1:24" x14ac:dyDescent="0.25">
      <c r="A57" s="155">
        <v>51</v>
      </c>
      <c r="B57" s="155" t="s">
        <v>266</v>
      </c>
      <c r="C57" s="165" t="s">
        <v>258</v>
      </c>
      <c r="D57" s="159" t="s">
        <v>189</v>
      </c>
      <c r="E57" s="170">
        <v>0</v>
      </c>
      <c r="F57" s="170">
        <f t="shared" si="0"/>
        <v>0</v>
      </c>
      <c r="G57" s="170">
        <f t="shared" si="1"/>
        <v>0</v>
      </c>
      <c r="H57" s="170">
        <v>0</v>
      </c>
      <c r="I57" s="170"/>
      <c r="J57" s="170"/>
      <c r="K57" s="170">
        <f t="shared" si="2"/>
        <v>0</v>
      </c>
      <c r="L57" s="159" t="s">
        <v>189</v>
      </c>
      <c r="M57" s="170">
        <v>0</v>
      </c>
      <c r="N57" s="170">
        <v>7.4740719011818276E-3</v>
      </c>
      <c r="O57" s="170">
        <v>0</v>
      </c>
      <c r="P57" s="170">
        <f t="shared" si="3"/>
        <v>7.4740719011818276E-3</v>
      </c>
      <c r="Q57" s="159" t="s">
        <v>189</v>
      </c>
      <c r="R57" s="170">
        <v>0</v>
      </c>
      <c r="S57" s="170">
        <v>7.4740719011818276E-3</v>
      </c>
      <c r="T57" s="170">
        <v>0</v>
      </c>
      <c r="U57" s="170">
        <f t="shared" si="4"/>
        <v>7.4740719011818276E-3</v>
      </c>
      <c r="W57" s="136"/>
      <c r="X57" s="136"/>
    </row>
    <row r="58" spans="1:24" x14ac:dyDescent="0.25">
      <c r="A58" s="155">
        <v>52</v>
      </c>
      <c r="B58" s="155">
        <v>437</v>
      </c>
      <c r="C58" s="165" t="s">
        <v>252</v>
      </c>
      <c r="D58" s="159" t="s">
        <v>154</v>
      </c>
      <c r="E58" s="170">
        <v>0</v>
      </c>
      <c r="F58" s="170">
        <f t="shared" si="0"/>
        <v>0</v>
      </c>
      <c r="G58" s="170">
        <f t="shared" si="1"/>
        <v>0</v>
      </c>
      <c r="H58" s="170">
        <v>0</v>
      </c>
      <c r="I58" s="170"/>
      <c r="J58" s="170"/>
      <c r="K58" s="170">
        <f t="shared" si="2"/>
        <v>0</v>
      </c>
      <c r="L58" s="159" t="s">
        <v>154</v>
      </c>
      <c r="M58" s="170">
        <v>0</v>
      </c>
      <c r="N58" s="170">
        <v>6.0897117854949473E-2</v>
      </c>
      <c r="O58" s="170">
        <v>0</v>
      </c>
      <c r="P58" s="170">
        <f t="shared" si="3"/>
        <v>6.0897117854949473E-2</v>
      </c>
      <c r="Q58" s="159" t="s">
        <v>154</v>
      </c>
      <c r="R58" s="170">
        <v>0</v>
      </c>
      <c r="S58" s="170">
        <v>6.0897117854949473E-2</v>
      </c>
      <c r="T58" s="170">
        <v>0</v>
      </c>
      <c r="U58" s="170">
        <f t="shared" si="4"/>
        <v>6.0897117854949473E-2</v>
      </c>
      <c r="W58" s="136"/>
      <c r="X58" s="136"/>
    </row>
    <row r="59" spans="1:24" x14ac:dyDescent="0.25">
      <c r="A59" s="155">
        <v>53</v>
      </c>
      <c r="B59" s="155" t="s">
        <v>215</v>
      </c>
      <c r="C59" s="165" t="s">
        <v>251</v>
      </c>
      <c r="D59" s="159" t="s">
        <v>154</v>
      </c>
      <c r="E59" s="170">
        <v>0</v>
      </c>
      <c r="F59" s="170">
        <f t="shared" si="0"/>
        <v>0</v>
      </c>
      <c r="G59" s="170">
        <f t="shared" si="1"/>
        <v>0</v>
      </c>
      <c r="H59" s="170">
        <v>0</v>
      </c>
      <c r="I59" s="170"/>
      <c r="J59" s="170"/>
      <c r="K59" s="170">
        <f t="shared" si="2"/>
        <v>0</v>
      </c>
      <c r="L59" s="159" t="s">
        <v>154</v>
      </c>
      <c r="M59" s="170">
        <f>0.0864911542702937+0.000276</f>
        <v>8.6767154270293703E-2</v>
      </c>
      <c r="N59" s="170">
        <v>5.2162326580952371E-2</v>
      </c>
      <c r="O59" s="170">
        <v>0</v>
      </c>
      <c r="P59" s="170">
        <f t="shared" si="3"/>
        <v>0.13892948085124607</v>
      </c>
      <c r="Q59" s="159" t="s">
        <v>154</v>
      </c>
      <c r="R59" s="170">
        <v>8.6491154270293719E-2</v>
      </c>
      <c r="S59" s="170">
        <v>5.2162326580952371E-2</v>
      </c>
      <c r="T59" s="170">
        <v>0</v>
      </c>
      <c r="U59" s="170">
        <f t="shared" si="4"/>
        <v>0.1386534808512461</v>
      </c>
      <c r="W59" s="136"/>
      <c r="X59" s="136"/>
    </row>
    <row r="60" spans="1:24" x14ac:dyDescent="0.25">
      <c r="A60" s="155">
        <v>54</v>
      </c>
      <c r="B60" s="155" t="s">
        <v>216</v>
      </c>
      <c r="C60" s="165" t="s">
        <v>251</v>
      </c>
      <c r="D60" s="159" t="s">
        <v>154</v>
      </c>
      <c r="E60" s="170">
        <v>0</v>
      </c>
      <c r="F60" s="170">
        <f t="shared" si="0"/>
        <v>0</v>
      </c>
      <c r="G60" s="170">
        <f t="shared" si="1"/>
        <v>0</v>
      </c>
      <c r="H60" s="170">
        <v>0</v>
      </c>
      <c r="I60" s="170"/>
      <c r="J60" s="170"/>
      <c r="K60" s="170">
        <f t="shared" si="2"/>
        <v>0</v>
      </c>
      <c r="L60" s="159" t="s">
        <v>154</v>
      </c>
      <c r="M60" s="170">
        <v>0.36899663754618733</v>
      </c>
      <c r="N60" s="170">
        <v>4.1045765178454326E-2</v>
      </c>
      <c r="O60" s="170">
        <v>0</v>
      </c>
      <c r="P60" s="170">
        <f t="shared" si="3"/>
        <v>0.41004240272464165</v>
      </c>
      <c r="Q60" s="159" t="s">
        <v>154</v>
      </c>
      <c r="R60" s="170">
        <v>0.36899663754618733</v>
      </c>
      <c r="S60" s="170">
        <v>4.1045765178454326E-2</v>
      </c>
      <c r="T60" s="170">
        <v>0</v>
      </c>
      <c r="U60" s="170">
        <f t="shared" si="4"/>
        <v>0.41004240272464165</v>
      </c>
      <c r="W60" s="136"/>
      <c r="X60" s="136"/>
    </row>
    <row r="61" spans="1:24" x14ac:dyDescent="0.25">
      <c r="A61" s="155">
        <v>55</v>
      </c>
      <c r="B61" s="155">
        <v>114</v>
      </c>
      <c r="C61" s="165" t="s">
        <v>188</v>
      </c>
      <c r="D61" s="159" t="s">
        <v>189</v>
      </c>
      <c r="E61" s="170">
        <v>0</v>
      </c>
      <c r="F61" s="170">
        <f t="shared" si="0"/>
        <v>0</v>
      </c>
      <c r="G61" s="170">
        <f t="shared" si="1"/>
        <v>0</v>
      </c>
      <c r="H61" s="170">
        <v>0</v>
      </c>
      <c r="I61" s="170"/>
      <c r="J61" s="170"/>
      <c r="K61" s="170">
        <f t="shared" si="2"/>
        <v>0</v>
      </c>
      <c r="L61" s="159" t="s">
        <v>189</v>
      </c>
      <c r="M61" s="170">
        <v>0</v>
      </c>
      <c r="N61" s="170">
        <v>6.929104166579432E-2</v>
      </c>
      <c r="O61" s="170">
        <v>0</v>
      </c>
      <c r="P61" s="170">
        <f t="shared" si="3"/>
        <v>6.929104166579432E-2</v>
      </c>
      <c r="Q61" s="159" t="s">
        <v>189</v>
      </c>
      <c r="R61" s="170">
        <v>0</v>
      </c>
      <c r="S61" s="170">
        <v>6.929104166579432E-2</v>
      </c>
      <c r="T61" s="170">
        <v>0</v>
      </c>
      <c r="U61" s="170">
        <f t="shared" si="4"/>
        <v>6.929104166579432E-2</v>
      </c>
      <c r="W61" s="136"/>
      <c r="X61" s="136"/>
    </row>
    <row r="62" spans="1:24" x14ac:dyDescent="0.25">
      <c r="A62" s="155">
        <v>56</v>
      </c>
      <c r="B62" s="155" t="s">
        <v>295</v>
      </c>
      <c r="C62" s="165" t="s">
        <v>249</v>
      </c>
      <c r="D62" s="159" t="s">
        <v>189</v>
      </c>
      <c r="E62" s="170">
        <v>0</v>
      </c>
      <c r="F62" s="170">
        <f t="shared" si="0"/>
        <v>0</v>
      </c>
      <c r="G62" s="170">
        <f t="shared" si="1"/>
        <v>0</v>
      </c>
      <c r="H62" s="170">
        <v>0</v>
      </c>
      <c r="I62" s="170"/>
      <c r="J62" s="170"/>
      <c r="K62" s="170">
        <f t="shared" si="2"/>
        <v>0</v>
      </c>
      <c r="L62" s="159" t="s">
        <v>189</v>
      </c>
      <c r="M62" s="170">
        <v>4.6046243521482497E-2</v>
      </c>
      <c r="N62" s="170">
        <v>1.3681921726151444E-2</v>
      </c>
      <c r="O62" s="170">
        <v>0</v>
      </c>
      <c r="P62" s="170">
        <f t="shared" si="3"/>
        <v>5.9728165247633941E-2</v>
      </c>
      <c r="Q62" s="159" t="s">
        <v>189</v>
      </c>
      <c r="R62" s="170">
        <v>4.6046243521482497E-2</v>
      </c>
      <c r="S62" s="170">
        <v>1.3681921726151444E-2</v>
      </c>
      <c r="T62" s="170">
        <v>0</v>
      </c>
      <c r="U62" s="170">
        <f t="shared" si="4"/>
        <v>5.9728165247633941E-2</v>
      </c>
      <c r="W62" s="136"/>
      <c r="X62" s="136"/>
    </row>
    <row r="63" spans="1:24" x14ac:dyDescent="0.25">
      <c r="A63" s="155">
        <v>57</v>
      </c>
      <c r="B63" s="155" t="s">
        <v>296</v>
      </c>
      <c r="C63" s="165" t="s">
        <v>253</v>
      </c>
      <c r="D63" s="159" t="s">
        <v>189</v>
      </c>
      <c r="E63" s="170">
        <v>0</v>
      </c>
      <c r="F63" s="170">
        <f t="shared" si="0"/>
        <v>0</v>
      </c>
      <c r="G63" s="170">
        <f t="shared" si="1"/>
        <v>0</v>
      </c>
      <c r="H63" s="170">
        <v>0</v>
      </c>
      <c r="I63" s="170"/>
      <c r="J63" s="170"/>
      <c r="K63" s="170">
        <f t="shared" si="2"/>
        <v>0</v>
      </c>
      <c r="L63" s="159" t="s">
        <v>189</v>
      </c>
      <c r="M63" s="170">
        <v>8.649090797643301E-2</v>
      </c>
      <c r="N63" s="170">
        <v>6.1568647767681499E-2</v>
      </c>
      <c r="O63" s="170">
        <v>0</v>
      </c>
      <c r="P63" s="170">
        <f t="shared" si="3"/>
        <v>0.1480595557441145</v>
      </c>
      <c r="Q63" s="159" t="s">
        <v>189</v>
      </c>
      <c r="R63" s="170">
        <v>8.649090797643301E-2</v>
      </c>
      <c r="S63" s="170">
        <v>6.1568647767681499E-2</v>
      </c>
      <c r="T63" s="170">
        <v>0</v>
      </c>
      <c r="U63" s="170">
        <f t="shared" si="4"/>
        <v>0.1480595557441145</v>
      </c>
      <c r="W63" s="136"/>
      <c r="X63" s="136"/>
    </row>
    <row r="64" spans="1:24" x14ac:dyDescent="0.25">
      <c r="A64" s="155">
        <v>58</v>
      </c>
      <c r="B64" s="155">
        <v>655</v>
      </c>
      <c r="C64" s="165" t="s">
        <v>188</v>
      </c>
      <c r="D64" s="159" t="s">
        <v>189</v>
      </c>
      <c r="E64" s="170">
        <v>0.11622010795148371</v>
      </c>
      <c r="F64" s="170">
        <f t="shared" si="0"/>
        <v>-6.1712877322237833E-2</v>
      </c>
      <c r="G64" s="170">
        <f t="shared" si="1"/>
        <v>5.4507230629245881E-2</v>
      </c>
      <c r="H64" s="170">
        <v>0.1339632</v>
      </c>
      <c r="I64" s="170"/>
      <c r="J64" s="170"/>
      <c r="K64" s="170">
        <f t="shared" si="2"/>
        <v>0.1884704306292459</v>
      </c>
      <c r="L64" s="159" t="s">
        <v>189</v>
      </c>
      <c r="M64" s="170">
        <v>0.31827506151030482</v>
      </c>
      <c r="N64" s="170">
        <v>0.1641830607138173</v>
      </c>
      <c r="O64" s="170">
        <v>0</v>
      </c>
      <c r="P64" s="170">
        <f t="shared" si="3"/>
        <v>0.4824581222241221</v>
      </c>
      <c r="Q64" s="159" t="s">
        <v>189</v>
      </c>
      <c r="R64" s="170">
        <v>0.31210411939650257</v>
      </c>
      <c r="S64" s="170">
        <v>0.1641830607138173</v>
      </c>
      <c r="T64" s="170">
        <v>0</v>
      </c>
      <c r="U64" s="170">
        <f t="shared" si="4"/>
        <v>0.4762871801103199</v>
      </c>
      <c r="W64" s="136"/>
      <c r="X64" s="136"/>
    </row>
    <row r="65" spans="1:24" x14ac:dyDescent="0.25">
      <c r="A65" s="155">
        <v>59</v>
      </c>
      <c r="B65" s="155"/>
      <c r="C65" s="165" t="s">
        <v>298</v>
      </c>
      <c r="D65" s="159" t="s">
        <v>189</v>
      </c>
      <c r="E65" s="170">
        <v>0</v>
      </c>
      <c r="F65" s="170">
        <f t="shared" si="0"/>
        <v>0</v>
      </c>
      <c r="G65" s="170">
        <f t="shared" si="1"/>
        <v>0</v>
      </c>
      <c r="H65" s="170">
        <v>0</v>
      </c>
      <c r="I65" s="170"/>
      <c r="J65" s="170"/>
      <c r="K65" s="170">
        <f t="shared" si="2"/>
        <v>0</v>
      </c>
      <c r="L65" s="159" t="s">
        <v>189</v>
      </c>
      <c r="M65" s="170">
        <v>0</v>
      </c>
      <c r="N65" s="170">
        <v>1.274128960747853E-2</v>
      </c>
      <c r="O65" s="170">
        <v>0</v>
      </c>
      <c r="P65" s="170">
        <f t="shared" si="3"/>
        <v>1.274128960747853E-2</v>
      </c>
      <c r="Q65" s="159" t="s">
        <v>189</v>
      </c>
      <c r="R65" s="170">
        <v>0</v>
      </c>
      <c r="S65" s="170">
        <v>1.274128960747853E-2</v>
      </c>
      <c r="T65" s="170">
        <v>0</v>
      </c>
      <c r="U65" s="170">
        <f t="shared" si="4"/>
        <v>1.274128960747853E-2</v>
      </c>
      <c r="W65" s="136"/>
      <c r="X65" s="136"/>
    </row>
    <row r="66" spans="1:24" x14ac:dyDescent="0.25">
      <c r="A66" s="155">
        <v>60</v>
      </c>
      <c r="B66" s="155"/>
      <c r="C66" s="165" t="s">
        <v>299</v>
      </c>
      <c r="D66" s="159" t="s">
        <v>189</v>
      </c>
      <c r="E66" s="170">
        <v>0</v>
      </c>
      <c r="F66" s="170">
        <f t="shared" si="0"/>
        <v>0</v>
      </c>
      <c r="G66" s="170">
        <f t="shared" si="1"/>
        <v>0</v>
      </c>
      <c r="H66" s="170">
        <v>3.1895999999999999E-3</v>
      </c>
      <c r="I66" s="170"/>
      <c r="J66" s="170"/>
      <c r="K66" s="170">
        <f t="shared" si="2"/>
        <v>3.1895999999999999E-3</v>
      </c>
      <c r="L66" s="159" t="s">
        <v>189</v>
      </c>
      <c r="M66" s="170">
        <v>0</v>
      </c>
      <c r="N66" s="170">
        <v>1.1971681510382512E-2</v>
      </c>
      <c r="O66" s="170">
        <v>0</v>
      </c>
      <c r="P66" s="170">
        <f t="shared" si="3"/>
        <v>1.1971681510382512E-2</v>
      </c>
      <c r="Q66" s="159" t="s">
        <v>189</v>
      </c>
      <c r="R66" s="170">
        <v>0</v>
      </c>
      <c r="S66" s="170">
        <v>1.1971681510382512E-2</v>
      </c>
      <c r="T66" s="170">
        <v>0</v>
      </c>
      <c r="U66" s="170">
        <f t="shared" si="4"/>
        <v>1.1971681510382512E-2</v>
      </c>
      <c r="W66" s="136"/>
      <c r="X66" s="136"/>
    </row>
    <row r="67" spans="1:24" x14ac:dyDescent="0.25">
      <c r="A67" s="155">
        <v>61</v>
      </c>
      <c r="B67" s="155"/>
      <c r="C67" s="165" t="s">
        <v>300</v>
      </c>
      <c r="D67" s="159" t="s">
        <v>189</v>
      </c>
      <c r="E67" s="170">
        <v>0</v>
      </c>
      <c r="F67" s="170">
        <f t="shared" si="0"/>
        <v>0</v>
      </c>
      <c r="G67" s="170">
        <f t="shared" si="1"/>
        <v>0</v>
      </c>
      <c r="H67" s="170">
        <v>2.3921999999999999E-2</v>
      </c>
      <c r="I67" s="170"/>
      <c r="J67" s="170"/>
      <c r="K67" s="170">
        <f t="shared" si="2"/>
        <v>2.3921999999999999E-2</v>
      </c>
      <c r="L67" s="159" t="s">
        <v>189</v>
      </c>
      <c r="M67" s="170">
        <v>0</v>
      </c>
      <c r="N67" s="170">
        <v>5.0452086365183453E-2</v>
      </c>
      <c r="O67" s="170">
        <v>0</v>
      </c>
      <c r="P67" s="170">
        <f t="shared" si="3"/>
        <v>5.0452086365183453E-2</v>
      </c>
      <c r="Q67" s="159" t="s">
        <v>189</v>
      </c>
      <c r="R67" s="170">
        <v>0</v>
      </c>
      <c r="S67" s="170">
        <v>5.0452086365183453E-2</v>
      </c>
      <c r="T67" s="170">
        <v>0</v>
      </c>
      <c r="U67" s="170">
        <f t="shared" si="4"/>
        <v>5.0452086365183453E-2</v>
      </c>
      <c r="W67" s="136"/>
      <c r="X67" s="136"/>
    </row>
    <row r="68" spans="1:24" x14ac:dyDescent="0.25">
      <c r="A68" s="155">
        <v>62</v>
      </c>
      <c r="B68" s="155"/>
      <c r="C68" s="165" t="s">
        <v>301</v>
      </c>
      <c r="D68" s="159" t="s">
        <v>189</v>
      </c>
      <c r="E68" s="170">
        <v>0</v>
      </c>
      <c r="F68" s="170">
        <f t="shared" si="0"/>
        <v>0</v>
      </c>
      <c r="G68" s="170">
        <f t="shared" si="1"/>
        <v>0</v>
      </c>
      <c r="H68" s="170">
        <v>5.5818E-2</v>
      </c>
      <c r="I68" s="170"/>
      <c r="J68" s="170"/>
      <c r="K68" s="170">
        <f t="shared" si="2"/>
        <v>5.5818E-2</v>
      </c>
      <c r="L68" s="159" t="s">
        <v>189</v>
      </c>
      <c r="M68" s="170">
        <v>0</v>
      </c>
      <c r="N68" s="170">
        <v>3.8480404854800927E-2</v>
      </c>
      <c r="O68" s="170">
        <v>0</v>
      </c>
      <c r="P68" s="170">
        <f t="shared" si="3"/>
        <v>3.8480404854800927E-2</v>
      </c>
      <c r="Q68" s="159" t="s">
        <v>189</v>
      </c>
      <c r="R68" s="170">
        <v>0</v>
      </c>
      <c r="S68" s="170">
        <v>3.8480404854800927E-2</v>
      </c>
      <c r="T68" s="170">
        <v>0</v>
      </c>
      <c r="U68" s="170">
        <f t="shared" si="4"/>
        <v>3.8480404854800927E-2</v>
      </c>
      <c r="W68" s="136"/>
      <c r="X68" s="136"/>
    </row>
    <row r="69" spans="1:24" x14ac:dyDescent="0.25">
      <c r="A69" s="220">
        <v>63</v>
      </c>
      <c r="B69" s="221" t="s">
        <v>325</v>
      </c>
      <c r="C69" s="222" t="s">
        <v>188</v>
      </c>
      <c r="D69" s="159" t="s">
        <v>189</v>
      </c>
      <c r="E69" s="170">
        <v>0.11622010795148371</v>
      </c>
      <c r="F69" s="170">
        <f t="shared" si="0"/>
        <v>-6.1712877322237833E-2</v>
      </c>
      <c r="G69" s="170">
        <f t="shared" si="1"/>
        <v>5.4507230629245881E-2</v>
      </c>
      <c r="H69" s="170">
        <v>6.5386800000000009E-2</v>
      </c>
      <c r="I69" s="170"/>
      <c r="J69" s="170"/>
      <c r="K69" s="170">
        <f t="shared" si="2"/>
        <v>0.11989403062924589</v>
      </c>
      <c r="L69" s="159"/>
      <c r="M69" s="170">
        <f t="shared" ref="M69:M74" si="5">G69</f>
        <v>5.4507230629245881E-2</v>
      </c>
      <c r="N69" s="170"/>
      <c r="O69" s="170"/>
      <c r="P69" s="170"/>
      <c r="Q69" s="159"/>
      <c r="R69" s="170"/>
      <c r="S69" s="170"/>
      <c r="T69" s="170"/>
      <c r="U69" s="170"/>
      <c r="W69" s="136"/>
      <c r="X69" s="136"/>
    </row>
    <row r="70" spans="1:24" x14ac:dyDescent="0.25">
      <c r="A70" s="220">
        <v>64</v>
      </c>
      <c r="B70" s="221" t="s">
        <v>326</v>
      </c>
      <c r="C70" s="222" t="s">
        <v>188</v>
      </c>
      <c r="D70" s="159" t="s">
        <v>189</v>
      </c>
      <c r="E70" s="170">
        <v>0.11622010795148371</v>
      </c>
      <c r="F70" s="170">
        <f t="shared" si="0"/>
        <v>-6.1712877322237833E-2</v>
      </c>
      <c r="G70" s="170">
        <f t="shared" si="1"/>
        <v>5.4507230629245881E-2</v>
      </c>
      <c r="H70" s="170">
        <v>4.3059599999999996E-2</v>
      </c>
      <c r="I70" s="170"/>
      <c r="J70" s="170"/>
      <c r="K70" s="170">
        <f t="shared" si="2"/>
        <v>9.7566830629245871E-2</v>
      </c>
      <c r="L70" s="159"/>
      <c r="M70" s="170">
        <f t="shared" si="5"/>
        <v>5.4507230629245881E-2</v>
      </c>
      <c r="N70" s="170"/>
      <c r="O70" s="170"/>
      <c r="P70" s="170"/>
      <c r="Q70" s="159"/>
      <c r="R70" s="170"/>
      <c r="S70" s="170"/>
      <c r="T70" s="170"/>
      <c r="U70" s="170"/>
      <c r="W70" s="136"/>
      <c r="X70" s="136"/>
    </row>
    <row r="71" spans="1:24" x14ac:dyDescent="0.25">
      <c r="A71" s="220">
        <v>65</v>
      </c>
      <c r="B71" s="221" t="s">
        <v>327</v>
      </c>
      <c r="C71" s="222" t="s">
        <v>328</v>
      </c>
      <c r="D71" s="159" t="s">
        <v>189</v>
      </c>
      <c r="E71" s="170">
        <v>3.7986201291530859E-2</v>
      </c>
      <c r="F71" s="170">
        <f t="shared" si="0"/>
        <v>-2.017067288580288E-2</v>
      </c>
      <c r="G71" s="170">
        <f t="shared" si="1"/>
        <v>1.781552840572798E-2</v>
      </c>
      <c r="H71" s="170">
        <v>1.43532E-2</v>
      </c>
      <c r="I71" s="170"/>
      <c r="J71" s="170"/>
      <c r="K71" s="170">
        <f t="shared" si="2"/>
        <v>3.216872840572798E-2</v>
      </c>
      <c r="L71" s="159"/>
      <c r="M71" s="170">
        <f t="shared" si="5"/>
        <v>1.781552840572798E-2</v>
      </c>
      <c r="N71" s="170"/>
      <c r="O71" s="170"/>
      <c r="P71" s="170"/>
      <c r="Q71" s="159"/>
      <c r="R71" s="170"/>
      <c r="S71" s="170"/>
      <c r="T71" s="170"/>
      <c r="U71" s="170"/>
      <c r="W71" s="136"/>
      <c r="X71" s="136"/>
    </row>
    <row r="72" spans="1:24" x14ac:dyDescent="0.25">
      <c r="A72" s="220">
        <v>66</v>
      </c>
      <c r="B72" s="221" t="s">
        <v>329</v>
      </c>
      <c r="C72" s="222" t="s">
        <v>330</v>
      </c>
      <c r="D72" s="159" t="s">
        <v>189</v>
      </c>
      <c r="E72" s="170">
        <v>6.1838002102492094E-2</v>
      </c>
      <c r="F72" s="170">
        <f t="shared" si="0"/>
        <v>-3.2835979116423289E-2</v>
      </c>
      <c r="G72" s="170">
        <f t="shared" si="1"/>
        <v>2.9002022986068805E-2</v>
      </c>
      <c r="H72" s="170">
        <v>1.5948E-2</v>
      </c>
      <c r="I72" s="170"/>
      <c r="J72" s="170"/>
      <c r="K72" s="170">
        <f t="shared" si="2"/>
        <v>4.4950022986068802E-2</v>
      </c>
      <c r="L72" s="159"/>
      <c r="M72" s="170">
        <f t="shared" si="5"/>
        <v>2.9002022986068805E-2</v>
      </c>
      <c r="N72" s="170"/>
      <c r="O72" s="170"/>
      <c r="P72" s="170"/>
      <c r="Q72" s="159"/>
      <c r="R72" s="170"/>
      <c r="S72" s="170"/>
      <c r="T72" s="170"/>
      <c r="U72" s="170"/>
      <c r="W72" s="136"/>
      <c r="X72" s="136"/>
    </row>
    <row r="73" spans="1:24" x14ac:dyDescent="0.25">
      <c r="A73" s="220">
        <v>67</v>
      </c>
      <c r="B73" s="221" t="s">
        <v>331</v>
      </c>
      <c r="C73" s="222" t="s">
        <v>330</v>
      </c>
      <c r="D73" s="159" t="s">
        <v>189</v>
      </c>
      <c r="E73" s="170">
        <v>6.1838002102492094E-2</v>
      </c>
      <c r="F73" s="170">
        <f>-($E$100/$E$99*E73)</f>
        <v>-3.2835979116423289E-2</v>
      </c>
      <c r="G73" s="170">
        <f>E73+F73</f>
        <v>2.9002022986068805E-2</v>
      </c>
      <c r="H73" s="170">
        <v>1.5948E-2</v>
      </c>
      <c r="I73" s="170"/>
      <c r="J73" s="170"/>
      <c r="K73" s="170">
        <f>H73+G73</f>
        <v>4.4950022986068802E-2</v>
      </c>
      <c r="L73" s="159"/>
      <c r="M73" s="170">
        <f t="shared" si="5"/>
        <v>2.9002022986068805E-2</v>
      </c>
      <c r="N73" s="170"/>
      <c r="O73" s="170"/>
      <c r="P73" s="170"/>
      <c r="Q73" s="159"/>
      <c r="R73" s="170"/>
      <c r="S73" s="170"/>
      <c r="T73" s="170"/>
      <c r="U73" s="170"/>
      <c r="W73" s="136"/>
      <c r="X73" s="136"/>
    </row>
    <row r="74" spans="1:24" x14ac:dyDescent="0.25">
      <c r="A74" s="220">
        <v>68</v>
      </c>
      <c r="B74" s="221" t="s">
        <v>332</v>
      </c>
      <c r="C74" s="222" t="s">
        <v>333</v>
      </c>
      <c r="D74" s="159" t="s">
        <v>189</v>
      </c>
      <c r="E74" s="170">
        <v>6.1838002102492094E-2</v>
      </c>
      <c r="F74" s="170">
        <f>-($E$100/$E$99*E74)</f>
        <v>-3.2835979116423289E-2</v>
      </c>
      <c r="G74" s="170">
        <f>E74+F74</f>
        <v>2.9002022986068805E-2</v>
      </c>
      <c r="H74" s="170">
        <v>1.5948E-2</v>
      </c>
      <c r="I74" s="170"/>
      <c r="J74" s="170"/>
      <c r="K74" s="170">
        <f>H74+G74</f>
        <v>4.4950022986068802E-2</v>
      </c>
      <c r="L74" s="159"/>
      <c r="M74" s="170">
        <f t="shared" si="5"/>
        <v>2.9002022986068805E-2</v>
      </c>
      <c r="N74" s="170"/>
      <c r="O74" s="170"/>
      <c r="P74" s="170"/>
      <c r="Q74" s="159"/>
      <c r="R74" s="170"/>
      <c r="S74" s="170"/>
      <c r="T74" s="170"/>
      <c r="U74" s="170"/>
      <c r="W74" s="136"/>
      <c r="X74" s="136"/>
    </row>
    <row r="75" spans="1:24" x14ac:dyDescent="0.25">
      <c r="A75" s="220"/>
      <c r="B75" s="221"/>
      <c r="C75" s="222"/>
      <c r="D75" s="159"/>
      <c r="E75" s="170"/>
      <c r="F75" s="170"/>
      <c r="G75" s="170"/>
      <c r="H75" s="170"/>
      <c r="I75" s="170"/>
      <c r="J75" s="170"/>
      <c r="K75" s="170"/>
      <c r="L75" s="159"/>
      <c r="M75" s="170"/>
      <c r="N75" s="170"/>
      <c r="O75" s="170"/>
      <c r="P75" s="170"/>
      <c r="Q75" s="159"/>
      <c r="R75" s="170"/>
      <c r="S75" s="170"/>
      <c r="T75" s="170"/>
      <c r="U75" s="170"/>
      <c r="W75" s="136"/>
      <c r="X75" s="136"/>
    </row>
    <row r="76" spans="1:24" s="199" customFormat="1" x14ac:dyDescent="0.25">
      <c r="A76" s="223" t="s">
        <v>286</v>
      </c>
      <c r="B76" s="212"/>
      <c r="C76" s="213"/>
      <c r="D76" s="196"/>
      <c r="E76" s="197">
        <f>SUM(E7:E75)</f>
        <v>2.0000000000000009</v>
      </c>
      <c r="F76" s="197">
        <f>SUM(F7:F75)</f>
        <v>-1.0620000000000003</v>
      </c>
      <c r="G76" s="197">
        <f>SUM(G7:G75)</f>
        <v>0.93800000000000083</v>
      </c>
      <c r="H76" s="197">
        <f>SUM(H7:H74)</f>
        <v>1.2342157200000003</v>
      </c>
      <c r="I76" s="197"/>
      <c r="J76" s="197"/>
      <c r="K76" s="197">
        <f>SUM(K7:K74)</f>
        <v>2.172215720000001</v>
      </c>
      <c r="L76" s="196"/>
      <c r="M76" s="197">
        <f>SUM(M7:M74)</f>
        <v>23.234228000000009</v>
      </c>
      <c r="N76" s="197">
        <f>SUM(N7:N68)</f>
        <v>11.133295583754242</v>
      </c>
      <c r="O76" s="197"/>
      <c r="P76" s="197">
        <f>SUM(P7:P68)</f>
        <v>34.153687525131822</v>
      </c>
      <c r="Q76" s="196"/>
      <c r="R76" s="197">
        <f>SUM(R7:R68)</f>
        <v>22.295952000000003</v>
      </c>
      <c r="S76" s="197">
        <v>11.133295583754242</v>
      </c>
      <c r="T76" s="197"/>
      <c r="U76" s="197">
        <f>SUM(U7:U68)</f>
        <v>33.42924758375424</v>
      </c>
      <c r="V76" s="204"/>
      <c r="W76" s="200"/>
      <c r="X76" s="200"/>
    </row>
    <row r="77" spans="1:24" x14ac:dyDescent="0.25">
      <c r="A77" s="155"/>
      <c r="B77" s="155"/>
      <c r="C77" s="165"/>
      <c r="D77" s="159"/>
      <c r="E77" s="170"/>
      <c r="F77" s="170"/>
      <c r="G77" s="170"/>
      <c r="H77" s="170"/>
      <c r="I77" s="170"/>
      <c r="J77" s="170"/>
      <c r="K77" s="170"/>
      <c r="L77" s="159"/>
      <c r="M77" s="170"/>
      <c r="N77" s="170"/>
      <c r="O77" s="170"/>
      <c r="P77" s="170"/>
      <c r="Q77" s="159"/>
      <c r="R77" s="170"/>
      <c r="S77" s="170"/>
      <c r="T77" s="170"/>
      <c r="U77" s="170"/>
      <c r="W77" s="136"/>
      <c r="X77" s="136"/>
    </row>
    <row r="78" spans="1:24" x14ac:dyDescent="0.25">
      <c r="A78" s="224" t="s">
        <v>283</v>
      </c>
      <c r="B78" s="155"/>
      <c r="C78" s="165"/>
      <c r="D78" s="159"/>
      <c r="E78" s="170"/>
      <c r="F78" s="170"/>
      <c r="G78" s="170"/>
      <c r="H78" s="171"/>
      <c r="I78" s="171"/>
      <c r="J78" s="171"/>
      <c r="K78" s="170"/>
      <c r="L78" s="171"/>
      <c r="M78" s="170"/>
      <c r="N78" s="170"/>
      <c r="O78" s="170"/>
      <c r="P78" s="170"/>
      <c r="Q78" s="171"/>
      <c r="R78" s="170"/>
      <c r="S78" s="170"/>
      <c r="T78" s="170"/>
      <c r="U78" s="170"/>
      <c r="W78" s="136"/>
      <c r="X78" s="136"/>
    </row>
    <row r="79" spans="1:24" x14ac:dyDescent="0.25">
      <c r="A79" s="155">
        <v>1</v>
      </c>
      <c r="B79" s="155" t="s">
        <v>269</v>
      </c>
      <c r="C79" s="165" t="s">
        <v>268</v>
      </c>
      <c r="D79" s="159" t="s">
        <v>154</v>
      </c>
      <c r="E79" s="170">
        <v>0</v>
      </c>
      <c r="F79" s="170"/>
      <c r="G79" s="170"/>
      <c r="H79" s="171">
        <v>4.0428180000000001E-2</v>
      </c>
      <c r="I79" s="171"/>
      <c r="J79" s="171"/>
      <c r="K79" s="170">
        <f t="shared" ref="K79:K94" si="6">SUM(E79:H79)</f>
        <v>4.0428180000000001E-2</v>
      </c>
      <c r="L79" s="171" t="s">
        <v>154</v>
      </c>
      <c r="M79" s="170">
        <v>0</v>
      </c>
      <c r="N79" s="170">
        <v>0.31005500658068125</v>
      </c>
      <c r="O79" s="170"/>
      <c r="P79" s="170">
        <f t="shared" si="3"/>
        <v>0.31005500658068125</v>
      </c>
      <c r="Q79" s="171" t="s">
        <v>154</v>
      </c>
      <c r="R79" s="170">
        <v>0</v>
      </c>
      <c r="S79" s="170">
        <v>0.31005500658068125</v>
      </c>
      <c r="T79" s="170">
        <v>0</v>
      </c>
      <c r="U79" s="170">
        <f t="shared" si="4"/>
        <v>0.31005500658068125</v>
      </c>
      <c r="W79" s="136"/>
      <c r="X79" s="136"/>
    </row>
    <row r="80" spans="1:24" x14ac:dyDescent="0.25">
      <c r="A80" s="155">
        <v>2</v>
      </c>
      <c r="B80" s="155" t="s">
        <v>270</v>
      </c>
      <c r="C80" s="165" t="s">
        <v>268</v>
      </c>
      <c r="D80" s="159" t="s">
        <v>154</v>
      </c>
      <c r="E80" s="170">
        <v>0</v>
      </c>
      <c r="F80" s="170"/>
      <c r="G80" s="170"/>
      <c r="H80" s="171">
        <v>2.5357319999999999E-2</v>
      </c>
      <c r="I80" s="171"/>
      <c r="J80" s="171"/>
      <c r="K80" s="170">
        <f t="shared" si="6"/>
        <v>2.5357319999999999E-2</v>
      </c>
      <c r="L80" s="171" t="s">
        <v>154</v>
      </c>
      <c r="M80" s="170">
        <v>0</v>
      </c>
      <c r="N80" s="170">
        <v>0.32659332220484127</v>
      </c>
      <c r="O80" s="170"/>
      <c r="P80" s="170">
        <f t="shared" si="3"/>
        <v>0.32659332220484127</v>
      </c>
      <c r="Q80" s="171" t="s">
        <v>154</v>
      </c>
      <c r="R80" s="170">
        <v>0</v>
      </c>
      <c r="S80" s="170">
        <v>0.32659332220484127</v>
      </c>
      <c r="T80" s="170">
        <v>0</v>
      </c>
      <c r="U80" s="170">
        <f t="shared" si="4"/>
        <v>0.32659332220484127</v>
      </c>
      <c r="W80" s="136"/>
      <c r="X80" s="136"/>
    </row>
    <row r="81" spans="1:24" x14ac:dyDescent="0.25">
      <c r="A81" s="155">
        <v>3</v>
      </c>
      <c r="B81" s="155">
        <v>858524</v>
      </c>
      <c r="C81" s="165" t="s">
        <v>271</v>
      </c>
      <c r="D81" s="159" t="s">
        <v>154</v>
      </c>
      <c r="E81" s="170">
        <v>0</v>
      </c>
      <c r="F81" s="170"/>
      <c r="G81" s="170"/>
      <c r="H81" s="171">
        <v>0</v>
      </c>
      <c r="I81" s="171"/>
      <c r="J81" s="171"/>
      <c r="K81" s="170">
        <f t="shared" si="6"/>
        <v>0</v>
      </c>
      <c r="L81" s="171" t="s">
        <v>154</v>
      </c>
      <c r="M81" s="170">
        <v>0</v>
      </c>
      <c r="N81" s="170">
        <v>0</v>
      </c>
      <c r="O81" s="170"/>
      <c r="P81" s="170">
        <f t="shared" si="3"/>
        <v>0</v>
      </c>
      <c r="Q81" s="171" t="s">
        <v>154</v>
      </c>
      <c r="R81" s="170">
        <v>0</v>
      </c>
      <c r="S81" s="170">
        <v>0</v>
      </c>
      <c r="T81" s="170">
        <v>0</v>
      </c>
      <c r="U81" s="170">
        <f t="shared" si="4"/>
        <v>0</v>
      </c>
      <c r="W81" s="136"/>
      <c r="X81" s="136"/>
    </row>
    <row r="82" spans="1:24" x14ac:dyDescent="0.25">
      <c r="A82" s="155">
        <v>4</v>
      </c>
      <c r="B82" s="155" t="s">
        <v>272</v>
      </c>
      <c r="C82" s="165" t="s">
        <v>271</v>
      </c>
      <c r="D82" s="159" t="s">
        <v>154</v>
      </c>
      <c r="E82" s="170">
        <v>0</v>
      </c>
      <c r="F82" s="170"/>
      <c r="G82" s="170"/>
      <c r="H82" s="171">
        <v>3.4846379999999996E-2</v>
      </c>
      <c r="I82" s="171"/>
      <c r="J82" s="171"/>
      <c r="K82" s="170">
        <f t="shared" si="6"/>
        <v>3.4846379999999996E-2</v>
      </c>
      <c r="L82" s="171" t="s">
        <v>154</v>
      </c>
      <c r="M82" s="170">
        <v>0</v>
      </c>
      <c r="N82" s="170">
        <v>0.18355914648993102</v>
      </c>
      <c r="O82" s="170"/>
      <c r="P82" s="170">
        <f t="shared" si="3"/>
        <v>0.18355914648993102</v>
      </c>
      <c r="Q82" s="171" t="s">
        <v>154</v>
      </c>
      <c r="R82" s="170">
        <v>0</v>
      </c>
      <c r="S82" s="170">
        <v>0.18355914648993102</v>
      </c>
      <c r="T82" s="170">
        <v>0</v>
      </c>
      <c r="U82" s="170">
        <f t="shared" si="4"/>
        <v>0.18355914648993102</v>
      </c>
      <c r="W82" s="136"/>
      <c r="X82" s="136"/>
    </row>
    <row r="83" spans="1:24" x14ac:dyDescent="0.25">
      <c r="A83" s="155">
        <v>5</v>
      </c>
      <c r="B83" s="155" t="s">
        <v>273</v>
      </c>
      <c r="C83" s="165" t="s">
        <v>271</v>
      </c>
      <c r="D83" s="159" t="s">
        <v>154</v>
      </c>
      <c r="E83" s="170">
        <v>0</v>
      </c>
      <c r="F83" s="170"/>
      <c r="G83" s="170"/>
      <c r="H83" s="171">
        <v>3.9471300000000001E-2</v>
      </c>
      <c r="I83" s="171"/>
      <c r="J83" s="171"/>
      <c r="K83" s="170">
        <f t="shared" si="6"/>
        <v>3.9471300000000001E-2</v>
      </c>
      <c r="L83" s="171" t="s">
        <v>154</v>
      </c>
      <c r="M83" s="170">
        <v>0</v>
      </c>
      <c r="N83" s="170">
        <v>0.16991917488347077</v>
      </c>
      <c r="O83" s="170"/>
      <c r="P83" s="170">
        <f t="shared" si="3"/>
        <v>0.16991917488347077</v>
      </c>
      <c r="Q83" s="171" t="s">
        <v>154</v>
      </c>
      <c r="R83" s="170">
        <v>0</v>
      </c>
      <c r="S83" s="170">
        <v>0.16991917488347077</v>
      </c>
      <c r="T83" s="170">
        <v>0</v>
      </c>
      <c r="U83" s="170">
        <f t="shared" si="4"/>
        <v>0.16991917488347077</v>
      </c>
      <c r="W83" s="136"/>
      <c r="X83" s="136"/>
    </row>
    <row r="84" spans="1:24" x14ac:dyDescent="0.25">
      <c r="A84" s="155">
        <v>6</v>
      </c>
      <c r="B84" s="155" t="s">
        <v>274</v>
      </c>
      <c r="C84" s="165" t="s">
        <v>271</v>
      </c>
      <c r="D84" s="159" t="s">
        <v>154</v>
      </c>
      <c r="E84" s="170">
        <v>0</v>
      </c>
      <c r="F84" s="170"/>
      <c r="G84" s="170"/>
      <c r="H84" s="171">
        <v>5.3186580000000004E-2</v>
      </c>
      <c r="I84" s="171"/>
      <c r="J84" s="171"/>
      <c r="K84" s="170">
        <f t="shared" si="6"/>
        <v>5.3186580000000004E-2</v>
      </c>
      <c r="L84" s="171" t="s">
        <v>154</v>
      </c>
      <c r="M84" s="170">
        <v>0</v>
      </c>
      <c r="N84" s="170">
        <v>0.15777888009994359</v>
      </c>
      <c r="O84" s="170"/>
      <c r="P84" s="170">
        <f t="shared" si="3"/>
        <v>0.15777888009994359</v>
      </c>
      <c r="Q84" s="171" t="s">
        <v>154</v>
      </c>
      <c r="R84" s="170">
        <v>0</v>
      </c>
      <c r="S84" s="170">
        <v>0.15777888009994359</v>
      </c>
      <c r="T84" s="170">
        <v>0</v>
      </c>
      <c r="U84" s="170">
        <f t="shared" si="4"/>
        <v>0.15777888009994359</v>
      </c>
      <c r="W84" s="136"/>
      <c r="X84" s="136"/>
    </row>
    <row r="85" spans="1:24" x14ac:dyDescent="0.25">
      <c r="A85" s="155">
        <v>7</v>
      </c>
      <c r="B85" s="155">
        <v>895660</v>
      </c>
      <c r="C85" s="165" t="s">
        <v>271</v>
      </c>
      <c r="D85" s="159" t="s">
        <v>154</v>
      </c>
      <c r="E85" s="170">
        <v>0</v>
      </c>
      <c r="F85" s="170"/>
      <c r="G85" s="170"/>
      <c r="H85" s="171">
        <v>2.95038E-2</v>
      </c>
      <c r="I85" s="171"/>
      <c r="J85" s="171"/>
      <c r="K85" s="170">
        <f t="shared" si="6"/>
        <v>2.95038E-2</v>
      </c>
      <c r="L85" s="171" t="s">
        <v>154</v>
      </c>
      <c r="M85" s="170">
        <v>0</v>
      </c>
      <c r="N85" s="170">
        <v>0.28422759702826128</v>
      </c>
      <c r="O85" s="170"/>
      <c r="P85" s="170">
        <f t="shared" si="3"/>
        <v>0.28422759702826128</v>
      </c>
      <c r="Q85" s="171" t="s">
        <v>154</v>
      </c>
      <c r="R85" s="170">
        <v>0</v>
      </c>
      <c r="S85" s="170">
        <v>0.28422759702826128</v>
      </c>
      <c r="T85" s="170">
        <v>0</v>
      </c>
      <c r="U85" s="170">
        <f t="shared" si="4"/>
        <v>0.28422759702826128</v>
      </c>
      <c r="W85" s="136"/>
      <c r="X85" s="136"/>
    </row>
    <row r="86" spans="1:24" x14ac:dyDescent="0.25">
      <c r="A86" s="155">
        <v>8</v>
      </c>
      <c r="B86" s="155">
        <v>895521</v>
      </c>
      <c r="C86" s="165" t="s">
        <v>271</v>
      </c>
      <c r="D86" s="159" t="s">
        <v>154</v>
      </c>
      <c r="E86" s="170">
        <v>0</v>
      </c>
      <c r="F86" s="170"/>
      <c r="G86" s="170"/>
      <c r="H86" s="171">
        <v>3.8354940000000004E-2</v>
      </c>
      <c r="I86" s="171"/>
      <c r="J86" s="171"/>
      <c r="K86" s="170">
        <f t="shared" si="6"/>
        <v>3.8354940000000004E-2</v>
      </c>
      <c r="L86" s="171" t="s">
        <v>154</v>
      </c>
      <c r="M86" s="170">
        <v>0</v>
      </c>
      <c r="N86" s="170">
        <v>0.33525999032213943</v>
      </c>
      <c r="O86" s="170"/>
      <c r="P86" s="170">
        <f t="shared" si="3"/>
        <v>0.33525999032213943</v>
      </c>
      <c r="Q86" s="171" t="s">
        <v>154</v>
      </c>
      <c r="R86" s="170">
        <v>0</v>
      </c>
      <c r="S86" s="170">
        <v>0.33525999032213943</v>
      </c>
      <c r="T86" s="170">
        <v>0</v>
      </c>
      <c r="U86" s="170">
        <f t="shared" si="4"/>
        <v>0.33525999032213943</v>
      </c>
      <c r="W86" s="136"/>
      <c r="X86" s="136"/>
    </row>
    <row r="87" spans="1:24" x14ac:dyDescent="0.25">
      <c r="A87" s="155">
        <v>9</v>
      </c>
      <c r="B87" s="155" t="s">
        <v>275</v>
      </c>
      <c r="C87" s="165" t="s">
        <v>271</v>
      </c>
      <c r="D87" s="159" t="s">
        <v>154</v>
      </c>
      <c r="E87" s="170">
        <v>0</v>
      </c>
      <c r="F87" s="170"/>
      <c r="G87" s="170"/>
      <c r="H87" s="171">
        <v>0</v>
      </c>
      <c r="I87" s="171"/>
      <c r="J87" s="171"/>
      <c r="K87" s="170">
        <f t="shared" si="6"/>
        <v>0</v>
      </c>
      <c r="L87" s="171" t="s">
        <v>154</v>
      </c>
      <c r="M87" s="170">
        <v>0</v>
      </c>
      <c r="N87" s="170">
        <v>0</v>
      </c>
      <c r="O87" s="170"/>
      <c r="P87" s="170">
        <f t="shared" si="3"/>
        <v>0</v>
      </c>
      <c r="Q87" s="171" t="s">
        <v>154</v>
      </c>
      <c r="R87" s="170">
        <v>0</v>
      </c>
      <c r="S87" s="170">
        <v>0</v>
      </c>
      <c r="T87" s="170">
        <v>0</v>
      </c>
      <c r="U87" s="170">
        <f t="shared" si="4"/>
        <v>0</v>
      </c>
      <c r="W87" s="136"/>
      <c r="X87" s="136"/>
    </row>
    <row r="88" spans="1:24" x14ac:dyDescent="0.25">
      <c r="A88" s="155">
        <v>10</v>
      </c>
      <c r="B88" s="155">
        <v>882437</v>
      </c>
      <c r="C88" s="165" t="s">
        <v>276</v>
      </c>
      <c r="D88" s="159" t="s">
        <v>154</v>
      </c>
      <c r="E88" s="170">
        <v>0</v>
      </c>
      <c r="F88" s="170"/>
      <c r="G88" s="170"/>
      <c r="H88" s="171">
        <v>1.291788E-2</v>
      </c>
      <c r="I88" s="171"/>
      <c r="J88" s="171"/>
      <c r="K88" s="170">
        <f t="shared" si="6"/>
        <v>1.291788E-2</v>
      </c>
      <c r="L88" s="171" t="s">
        <v>154</v>
      </c>
      <c r="M88" s="170">
        <v>0</v>
      </c>
      <c r="N88" s="170">
        <v>4.5639043427048998E-2</v>
      </c>
      <c r="O88" s="170"/>
      <c r="P88" s="170">
        <f t="shared" si="3"/>
        <v>4.5639043427048998E-2</v>
      </c>
      <c r="Q88" s="171" t="s">
        <v>154</v>
      </c>
      <c r="R88" s="170">
        <v>0</v>
      </c>
      <c r="S88" s="170">
        <v>4.5639043427048998E-2</v>
      </c>
      <c r="T88" s="170">
        <v>0</v>
      </c>
      <c r="U88" s="170">
        <f t="shared" si="4"/>
        <v>4.5639043427048998E-2</v>
      </c>
      <c r="W88" s="136"/>
      <c r="X88" s="136"/>
    </row>
    <row r="89" spans="1:24" x14ac:dyDescent="0.25">
      <c r="A89" s="155">
        <v>11</v>
      </c>
      <c r="B89" s="155">
        <v>882411</v>
      </c>
      <c r="C89" s="165" t="s">
        <v>276</v>
      </c>
      <c r="D89" s="159" t="s">
        <v>154</v>
      </c>
      <c r="E89" s="170">
        <v>0</v>
      </c>
      <c r="F89" s="170"/>
      <c r="G89" s="170"/>
      <c r="H89" s="171">
        <v>2.5277000000000001E-2</v>
      </c>
      <c r="I89" s="171"/>
      <c r="J89" s="171"/>
      <c r="K89" s="170">
        <f t="shared" si="6"/>
        <v>2.5277000000000001E-2</v>
      </c>
      <c r="L89" s="171" t="s">
        <v>154</v>
      </c>
      <c r="M89" s="170">
        <v>0</v>
      </c>
      <c r="N89" s="170">
        <v>7.2657808317537098E-2</v>
      </c>
      <c r="O89" s="170"/>
      <c r="P89" s="170">
        <f t="shared" si="3"/>
        <v>7.2657808317537098E-2</v>
      </c>
      <c r="Q89" s="171" t="s">
        <v>154</v>
      </c>
      <c r="R89" s="170">
        <v>0</v>
      </c>
      <c r="S89" s="170">
        <v>7.2657808317537098E-2</v>
      </c>
      <c r="T89" s="170">
        <v>0</v>
      </c>
      <c r="U89" s="170">
        <f t="shared" si="4"/>
        <v>7.2657808317537098E-2</v>
      </c>
      <c r="W89" s="136"/>
      <c r="X89" s="136"/>
    </row>
    <row r="90" spans="1:24" x14ac:dyDescent="0.25">
      <c r="A90" s="155">
        <v>14</v>
      </c>
      <c r="B90" s="155">
        <v>895358</v>
      </c>
      <c r="C90" s="165" t="s">
        <v>277</v>
      </c>
      <c r="D90" s="159" t="s">
        <v>154</v>
      </c>
      <c r="E90" s="170">
        <v>0</v>
      </c>
      <c r="F90" s="170"/>
      <c r="G90" s="170"/>
      <c r="H90" s="171">
        <v>0</v>
      </c>
      <c r="I90" s="171"/>
      <c r="J90" s="171"/>
      <c r="K90" s="172">
        <f t="shared" si="6"/>
        <v>0</v>
      </c>
      <c r="L90" s="171" t="s">
        <v>154</v>
      </c>
      <c r="M90" s="170">
        <v>0</v>
      </c>
      <c r="N90" s="170">
        <v>0</v>
      </c>
      <c r="O90" s="170"/>
      <c r="P90" s="170">
        <f t="shared" si="3"/>
        <v>0</v>
      </c>
      <c r="Q90" s="171" t="s">
        <v>154</v>
      </c>
      <c r="R90" s="170">
        <v>0</v>
      </c>
      <c r="S90" s="170">
        <v>0</v>
      </c>
      <c r="T90" s="170">
        <v>0</v>
      </c>
      <c r="U90" s="170">
        <f t="shared" si="4"/>
        <v>0</v>
      </c>
      <c r="W90" s="136"/>
      <c r="X90" s="136"/>
    </row>
    <row r="91" spans="1:24" x14ac:dyDescent="0.25">
      <c r="A91" s="155">
        <v>14</v>
      </c>
      <c r="B91" s="155">
        <v>895325</v>
      </c>
      <c r="C91" s="165" t="s">
        <v>277</v>
      </c>
      <c r="D91" s="159" t="s">
        <v>154</v>
      </c>
      <c r="E91" s="170">
        <v>0</v>
      </c>
      <c r="F91" s="170"/>
      <c r="G91" s="170"/>
      <c r="H91" s="171">
        <v>0</v>
      </c>
      <c r="I91" s="171"/>
      <c r="J91" s="171"/>
      <c r="K91" s="172">
        <f t="shared" si="6"/>
        <v>0</v>
      </c>
      <c r="L91" s="171" t="s">
        <v>154</v>
      </c>
      <c r="M91" s="170">
        <v>0</v>
      </c>
      <c r="N91" s="170">
        <v>0</v>
      </c>
      <c r="O91" s="170"/>
      <c r="P91" s="170">
        <f t="shared" si="3"/>
        <v>0</v>
      </c>
      <c r="Q91" s="171" t="s">
        <v>154</v>
      </c>
      <c r="R91" s="170">
        <v>0</v>
      </c>
      <c r="S91" s="170">
        <v>0</v>
      </c>
      <c r="T91" s="170">
        <v>0</v>
      </c>
      <c r="U91" s="170">
        <f t="shared" si="4"/>
        <v>0</v>
      </c>
      <c r="W91" s="136"/>
      <c r="X91" s="136"/>
    </row>
    <row r="92" spans="1:24" x14ac:dyDescent="0.25">
      <c r="A92" s="155">
        <v>14</v>
      </c>
      <c r="B92" s="155">
        <v>895370</v>
      </c>
      <c r="C92" s="165" t="s">
        <v>277</v>
      </c>
      <c r="D92" s="159" t="s">
        <v>154</v>
      </c>
      <c r="E92" s="170">
        <v>0</v>
      </c>
      <c r="F92" s="170"/>
      <c r="G92" s="170"/>
      <c r="H92" s="171">
        <v>1.88514E-3</v>
      </c>
      <c r="I92" s="171"/>
      <c r="J92" s="171"/>
      <c r="K92" s="172">
        <f t="shared" si="6"/>
        <v>1.88514E-3</v>
      </c>
      <c r="L92" s="171" t="s">
        <v>154</v>
      </c>
      <c r="M92" s="170">
        <v>0</v>
      </c>
      <c r="N92" s="170">
        <v>2.2220008068885404E-3</v>
      </c>
      <c r="O92" s="170"/>
      <c r="P92" s="170">
        <f t="shared" si="3"/>
        <v>2.2220008068885404E-3</v>
      </c>
      <c r="Q92" s="171" t="s">
        <v>154</v>
      </c>
      <c r="R92" s="170">
        <v>0</v>
      </c>
      <c r="S92" s="170">
        <v>2.2220008068885404E-3</v>
      </c>
      <c r="T92" s="170">
        <v>0</v>
      </c>
      <c r="U92" s="170">
        <f t="shared" si="4"/>
        <v>2.2220008068885404E-3</v>
      </c>
      <c r="W92" s="136"/>
      <c r="X92" s="136"/>
    </row>
    <row r="93" spans="1:24" x14ac:dyDescent="0.25">
      <c r="A93" s="155">
        <v>16</v>
      </c>
      <c r="B93" s="155">
        <v>895365</v>
      </c>
      <c r="C93" s="165" t="s">
        <v>277</v>
      </c>
      <c r="D93" s="159" t="s">
        <v>154</v>
      </c>
      <c r="E93" s="170">
        <v>0</v>
      </c>
      <c r="F93" s="170"/>
      <c r="G93" s="170"/>
      <c r="H93" s="171">
        <v>0</v>
      </c>
      <c r="I93" s="171"/>
      <c r="J93" s="171"/>
      <c r="K93" s="172">
        <f t="shared" si="6"/>
        <v>0</v>
      </c>
      <c r="L93" s="171" t="s">
        <v>154</v>
      </c>
      <c r="M93" s="170">
        <v>0</v>
      </c>
      <c r="N93" s="170">
        <v>0</v>
      </c>
      <c r="O93" s="170"/>
      <c r="P93" s="170">
        <f t="shared" si="3"/>
        <v>0</v>
      </c>
      <c r="Q93" s="171" t="s">
        <v>154</v>
      </c>
      <c r="R93" s="170">
        <v>0</v>
      </c>
      <c r="S93" s="170">
        <v>0</v>
      </c>
      <c r="T93" s="170">
        <v>0</v>
      </c>
      <c r="U93" s="170">
        <f t="shared" si="4"/>
        <v>0</v>
      </c>
      <c r="W93" s="136"/>
      <c r="X93" s="136"/>
    </row>
    <row r="94" spans="1:24" x14ac:dyDescent="0.25">
      <c r="A94" s="155">
        <v>17</v>
      </c>
      <c r="B94" s="155">
        <v>895355</v>
      </c>
      <c r="C94" s="165" t="s">
        <v>277</v>
      </c>
      <c r="D94" s="159" t="s">
        <v>154</v>
      </c>
      <c r="E94" s="170">
        <v>0</v>
      </c>
      <c r="F94" s="170"/>
      <c r="G94" s="170"/>
      <c r="H94" s="171">
        <v>0</v>
      </c>
      <c r="I94" s="171"/>
      <c r="J94" s="171"/>
      <c r="K94" s="172">
        <f t="shared" si="6"/>
        <v>0</v>
      </c>
      <c r="L94" s="171" t="s">
        <v>154</v>
      </c>
      <c r="M94" s="170">
        <v>0</v>
      </c>
      <c r="N94" s="170">
        <v>0</v>
      </c>
      <c r="O94" s="170"/>
      <c r="P94" s="170">
        <f t="shared" si="3"/>
        <v>0</v>
      </c>
      <c r="Q94" s="171" t="s">
        <v>154</v>
      </c>
      <c r="R94" s="170">
        <v>0</v>
      </c>
      <c r="S94" s="170">
        <v>0</v>
      </c>
      <c r="T94" s="170">
        <v>0</v>
      </c>
      <c r="U94" s="170">
        <f t="shared" si="4"/>
        <v>0</v>
      </c>
      <c r="W94" s="136"/>
      <c r="X94" s="136"/>
    </row>
    <row r="95" spans="1:24" x14ac:dyDescent="0.25">
      <c r="A95" s="220">
        <v>18</v>
      </c>
      <c r="B95" s="221">
        <v>858524</v>
      </c>
      <c r="C95" s="222" t="s">
        <v>306</v>
      </c>
      <c r="D95" s="159" t="s">
        <v>154</v>
      </c>
      <c r="E95" s="170"/>
      <c r="F95" s="170"/>
      <c r="G95" s="170"/>
      <c r="H95" s="171">
        <v>1.0366200000000001E-2</v>
      </c>
      <c r="I95" s="171"/>
      <c r="J95" s="171"/>
      <c r="K95" s="172"/>
      <c r="L95" s="171" t="s">
        <v>154</v>
      </c>
      <c r="M95" s="170"/>
      <c r="N95" s="170">
        <v>5.7734366114834672E-2</v>
      </c>
      <c r="O95" s="170"/>
      <c r="P95" s="170">
        <f>N95</f>
        <v>5.7734366114834672E-2</v>
      </c>
      <c r="Q95" s="171"/>
      <c r="R95" s="170"/>
      <c r="S95" s="170">
        <v>5.7734366114834672E-2</v>
      </c>
      <c r="T95" s="170"/>
      <c r="U95" s="170">
        <f>S95</f>
        <v>5.7734366114834672E-2</v>
      </c>
      <c r="W95" s="136"/>
      <c r="X95" s="136"/>
    </row>
    <row r="96" spans="1:24" s="199" customFormat="1" x14ac:dyDescent="0.25">
      <c r="A96" s="223" t="s">
        <v>285</v>
      </c>
      <c r="B96" s="212"/>
      <c r="C96" s="213"/>
      <c r="D96" s="196"/>
      <c r="E96" s="198">
        <f>SUM(E79:E94)</f>
        <v>0</v>
      </c>
      <c r="F96" s="198"/>
      <c r="G96" s="198"/>
      <c r="H96" s="198">
        <f>SUM(H79:H95)</f>
        <v>0.31159471999999999</v>
      </c>
      <c r="I96" s="198"/>
      <c r="J96" s="198"/>
      <c r="K96" s="198">
        <f>SUM(K79:K94)</f>
        <v>0.30122852</v>
      </c>
      <c r="L96" s="198"/>
      <c r="M96" s="197"/>
      <c r="N96" s="198">
        <f>SUM(N79:N95)</f>
        <v>1.9456463362755778</v>
      </c>
      <c r="O96" s="197"/>
      <c r="P96" s="198">
        <f>SUM(P79:P95)</f>
        <v>1.9456463362755778</v>
      </c>
      <c r="Q96" s="197"/>
      <c r="R96" s="197"/>
      <c r="S96" s="198">
        <v>1.9456463362755778</v>
      </c>
      <c r="T96" s="197"/>
      <c r="U96" s="198">
        <f>SUM(U79:U95)</f>
        <v>1.9456463362755778</v>
      </c>
      <c r="W96" s="200"/>
      <c r="X96" s="200"/>
    </row>
    <row r="97" spans="1:26" x14ac:dyDescent="0.25">
      <c r="A97" s="155"/>
      <c r="B97" s="155"/>
      <c r="C97" s="165"/>
      <c r="D97" s="159"/>
      <c r="E97" s="170"/>
      <c r="F97" s="170"/>
      <c r="G97" s="170"/>
      <c r="H97" s="171"/>
      <c r="I97" s="171"/>
      <c r="J97" s="171"/>
      <c r="K97" s="172"/>
      <c r="L97" s="171"/>
      <c r="M97" s="170"/>
      <c r="N97" s="170"/>
      <c r="O97" s="170"/>
      <c r="P97" s="170"/>
      <c r="Q97" s="170"/>
      <c r="R97" s="170"/>
      <c r="S97" s="170"/>
      <c r="T97" s="170"/>
      <c r="U97" s="170"/>
      <c r="W97" s="136"/>
      <c r="X97" s="136"/>
    </row>
    <row r="98" spans="1:26" x14ac:dyDescent="0.25">
      <c r="C98" s="206"/>
      <c r="D98" s="207"/>
      <c r="E98" s="205"/>
      <c r="F98" s="205"/>
      <c r="G98" s="205"/>
      <c r="H98" s="208"/>
      <c r="I98" s="208"/>
      <c r="J98" s="208"/>
      <c r="K98" s="205"/>
      <c r="L98" s="208"/>
      <c r="M98" s="205"/>
      <c r="N98" s="205"/>
      <c r="O98" s="205"/>
      <c r="P98" s="205"/>
      <c r="Q98" s="208"/>
      <c r="R98" s="205"/>
      <c r="S98" s="205"/>
      <c r="T98" s="205"/>
      <c r="U98" s="205"/>
      <c r="W98" s="136"/>
      <c r="X98" s="136"/>
    </row>
    <row r="99" spans="1:26" s="199" customFormat="1" ht="14.4" thickBot="1" x14ac:dyDescent="0.3">
      <c r="A99" s="225" t="s">
        <v>40</v>
      </c>
      <c r="B99" s="211"/>
      <c r="C99" s="211"/>
      <c r="D99" s="211"/>
      <c r="E99" s="202">
        <f>E76</f>
        <v>2.0000000000000009</v>
      </c>
      <c r="F99" s="202"/>
      <c r="G99" s="202"/>
      <c r="H99" s="202">
        <f>H96+H76</f>
        <v>1.5458104400000003</v>
      </c>
      <c r="I99" s="202"/>
      <c r="J99" s="202"/>
      <c r="K99" s="202">
        <f>K96+K76</f>
        <v>2.473444240000001</v>
      </c>
      <c r="L99" s="203"/>
      <c r="M99" s="202">
        <f>M76</f>
        <v>23.234228000000009</v>
      </c>
      <c r="N99" s="202">
        <f>N96+N76</f>
        <v>13.07894192002982</v>
      </c>
      <c r="O99" s="202">
        <f>SUM(O7:O94)</f>
        <v>0</v>
      </c>
      <c r="P99" s="202">
        <f>P96+P76</f>
        <v>36.099333861407402</v>
      </c>
      <c r="Q99" s="202"/>
      <c r="R99" s="202">
        <f>R76</f>
        <v>22.295952000000003</v>
      </c>
      <c r="S99" s="202">
        <v>13.07894192002982</v>
      </c>
      <c r="T99" s="202">
        <f>SUM(T8:T94)</f>
        <v>0</v>
      </c>
      <c r="U99" s="202">
        <f>U96+U76</f>
        <v>35.37489392002982</v>
      </c>
      <c r="W99" s="228"/>
      <c r="X99" s="228"/>
      <c r="Z99" s="204"/>
    </row>
    <row r="100" spans="1:26" ht="14.4" thickTop="1" x14ac:dyDescent="0.25">
      <c r="E100" s="162">
        <v>1.0620000000000001</v>
      </c>
      <c r="F100" s="175"/>
      <c r="G100" s="175"/>
    </row>
    <row r="101" spans="1:26" x14ac:dyDescent="0.25">
      <c r="E101" s="175"/>
      <c r="F101" s="175"/>
      <c r="G101" s="175"/>
      <c r="H101" s="162">
        <v>0.30122852</v>
      </c>
      <c r="N101" s="162">
        <v>6425.9609090941958</v>
      </c>
    </row>
    <row r="102" spans="1:26" x14ac:dyDescent="0.25">
      <c r="N102" s="162">
        <f>N101/1000000</f>
        <v>6.4259609090941954E-3</v>
      </c>
    </row>
    <row r="103" spans="1:26" x14ac:dyDescent="0.25">
      <c r="E103" s="175"/>
      <c r="F103" s="175"/>
      <c r="G103" s="175"/>
      <c r="H103" s="247"/>
      <c r="I103" s="247"/>
      <c r="J103" s="247"/>
      <c r="N103" s="162">
        <f>N102+N99</f>
        <v>13.085367880938914</v>
      </c>
      <c r="O103" s="168"/>
    </row>
    <row r="104" spans="1:26" x14ac:dyDescent="0.25">
      <c r="N104" s="162">
        <f>N99</f>
        <v>13.07894192002982</v>
      </c>
    </row>
    <row r="105" spans="1:26" x14ac:dyDescent="0.25">
      <c r="E105" s="175"/>
      <c r="F105" s="175"/>
      <c r="G105" s="175"/>
      <c r="N105" s="162">
        <v>15.32739632</v>
      </c>
    </row>
    <row r="107" spans="1:26" x14ac:dyDescent="0.25">
      <c r="H107" s="162">
        <f>N99+H99</f>
        <v>14.62475236002982</v>
      </c>
    </row>
    <row r="108" spans="1:26" x14ac:dyDescent="0.25">
      <c r="H108" s="162">
        <f>N105-H107</f>
        <v>0.70264395997017992</v>
      </c>
    </row>
    <row r="109" spans="1:26" x14ac:dyDescent="0.25">
      <c r="N109" s="162">
        <f>347948+2232706+3412665+2897672</f>
        <v>8890991</v>
      </c>
    </row>
    <row r="131" spans="3:10" ht="14.4" thickBot="1" x14ac:dyDescent="0.3"/>
    <row r="132" spans="3:10" ht="28.2" thickBot="1" x14ac:dyDescent="0.3">
      <c r="C132" s="166" t="s">
        <v>153</v>
      </c>
      <c r="D132" s="38">
        <v>347</v>
      </c>
      <c r="E132" s="38">
        <v>108.64</v>
      </c>
      <c r="H132" s="163">
        <f>SUM(D132*E132)</f>
        <v>37698.080000000002</v>
      </c>
      <c r="I132" s="163"/>
      <c r="J132" s="163"/>
    </row>
    <row r="133" spans="3:10" ht="14.4" thickBot="1" x14ac:dyDescent="0.3">
      <c r="C133" s="167" t="s">
        <v>155</v>
      </c>
      <c r="D133" s="38">
        <v>485</v>
      </c>
      <c r="E133" s="38">
        <v>108.64</v>
      </c>
      <c r="H133" s="163">
        <f t="shared" ref="H133:H144" si="7">SUM(D133*E133)</f>
        <v>52690.400000000001</v>
      </c>
      <c r="I133" s="163"/>
      <c r="J133" s="163"/>
    </row>
    <row r="134" spans="3:10" ht="28.2" thickBot="1" x14ac:dyDescent="0.3">
      <c r="C134" s="167" t="s">
        <v>156</v>
      </c>
      <c r="D134" s="38">
        <v>272</v>
      </c>
      <c r="E134" s="38">
        <v>108.64</v>
      </c>
      <c r="H134" s="163">
        <f t="shared" si="7"/>
        <v>29550.080000000002</v>
      </c>
      <c r="I134" s="163"/>
      <c r="J134" s="163"/>
    </row>
    <row r="135" spans="3:10" ht="28.2" thickBot="1" x14ac:dyDescent="0.3">
      <c r="C135" s="167" t="s">
        <v>157</v>
      </c>
      <c r="D135" s="38">
        <v>398</v>
      </c>
      <c r="E135" s="38">
        <v>108.64</v>
      </c>
      <c r="H135" s="163">
        <f t="shared" si="7"/>
        <v>43238.720000000001</v>
      </c>
      <c r="I135" s="163"/>
      <c r="J135" s="163"/>
    </row>
    <row r="136" spans="3:10" ht="28.2" thickBot="1" x14ac:dyDescent="0.3">
      <c r="C136" s="167" t="s">
        <v>158</v>
      </c>
      <c r="D136" s="38">
        <v>207</v>
      </c>
      <c r="E136" s="38">
        <v>108.64</v>
      </c>
      <c r="H136" s="163">
        <f t="shared" si="7"/>
        <v>22488.48</v>
      </c>
      <c r="I136" s="163"/>
      <c r="J136" s="163"/>
    </row>
    <row r="137" spans="3:10" ht="28.2" thickBot="1" x14ac:dyDescent="0.3">
      <c r="C137" s="167" t="s">
        <v>159</v>
      </c>
      <c r="D137" s="38">
        <v>422</v>
      </c>
      <c r="E137" s="38">
        <v>108.64</v>
      </c>
      <c r="H137" s="163">
        <f t="shared" si="7"/>
        <v>45846.080000000002</v>
      </c>
      <c r="I137" s="163"/>
      <c r="J137" s="163"/>
    </row>
    <row r="138" spans="3:10" ht="28.2" thickBot="1" x14ac:dyDescent="0.3">
      <c r="C138" s="167" t="s">
        <v>160</v>
      </c>
      <c r="D138" s="38">
        <v>485</v>
      </c>
      <c r="E138" s="38">
        <v>108.64</v>
      </c>
      <c r="H138" s="163">
        <f t="shared" si="7"/>
        <v>52690.400000000001</v>
      </c>
      <c r="I138" s="163"/>
      <c r="J138" s="163"/>
    </row>
    <row r="139" spans="3:10" ht="28.2" thickBot="1" x14ac:dyDescent="0.3">
      <c r="C139" s="167" t="s">
        <v>161</v>
      </c>
      <c r="D139" s="38">
        <v>64</v>
      </c>
      <c r="E139" s="38">
        <v>108.64</v>
      </c>
      <c r="H139" s="163">
        <f t="shared" si="7"/>
        <v>6952.96</v>
      </c>
      <c r="I139" s="163"/>
      <c r="J139" s="163"/>
    </row>
    <row r="140" spans="3:10" ht="28.2" thickBot="1" x14ac:dyDescent="0.3">
      <c r="C140" s="167" t="s">
        <v>162</v>
      </c>
      <c r="D140" s="38">
        <v>125</v>
      </c>
      <c r="E140" s="38">
        <v>108.64</v>
      </c>
      <c r="H140" s="163">
        <f t="shared" si="7"/>
        <v>13580</v>
      </c>
      <c r="I140" s="163"/>
      <c r="J140" s="163"/>
    </row>
    <row r="141" spans="3:10" ht="28.2" thickBot="1" x14ac:dyDescent="0.3">
      <c r="C141" s="167" t="s">
        <v>163</v>
      </c>
      <c r="D141" s="38">
        <v>75</v>
      </c>
      <c r="E141" s="38">
        <v>108.64</v>
      </c>
      <c r="H141" s="163">
        <f t="shared" si="7"/>
        <v>8148</v>
      </c>
      <c r="I141" s="163"/>
      <c r="J141" s="163"/>
    </row>
    <row r="142" spans="3:10" ht="28.2" thickBot="1" x14ac:dyDescent="0.3">
      <c r="C142" s="167" t="s">
        <v>164</v>
      </c>
      <c r="D142" s="38">
        <v>185</v>
      </c>
      <c r="E142" s="38">
        <v>108.64</v>
      </c>
      <c r="H142" s="163">
        <f t="shared" si="7"/>
        <v>20098.400000000001</v>
      </c>
      <c r="I142" s="163"/>
      <c r="J142" s="163"/>
    </row>
    <row r="143" spans="3:10" ht="14.4" thickBot="1" x14ac:dyDescent="0.3">
      <c r="C143" s="167" t="s">
        <v>165</v>
      </c>
      <c r="D143" s="38">
        <v>63</v>
      </c>
      <c r="E143" s="38">
        <v>108.64</v>
      </c>
      <c r="H143" s="163">
        <f t="shared" si="7"/>
        <v>6844.32</v>
      </c>
      <c r="I143" s="163"/>
      <c r="J143" s="163"/>
    </row>
    <row r="144" spans="3:10" ht="14.4" thickBot="1" x14ac:dyDescent="0.3">
      <c r="C144" s="167" t="s">
        <v>166</v>
      </c>
      <c r="D144" s="38">
        <v>25</v>
      </c>
      <c r="E144" s="38">
        <v>108.64</v>
      </c>
      <c r="H144" s="163">
        <f t="shared" si="7"/>
        <v>2716</v>
      </c>
      <c r="I144" s="163"/>
      <c r="J144" s="163"/>
    </row>
    <row r="145" spans="3:3" ht="28.2" thickBot="1" x14ac:dyDescent="0.3">
      <c r="C145" s="167" t="s">
        <v>167</v>
      </c>
    </row>
    <row r="146" spans="3:3" ht="28.2" thickBot="1" x14ac:dyDescent="0.3">
      <c r="C146" s="167" t="s">
        <v>168</v>
      </c>
    </row>
    <row r="147" spans="3:3" ht="28.2" thickBot="1" x14ac:dyDescent="0.3">
      <c r="C147" s="167" t="s">
        <v>169</v>
      </c>
    </row>
    <row r="148" spans="3:3" ht="28.2" thickBot="1" x14ac:dyDescent="0.3">
      <c r="C148" s="167" t="s">
        <v>170</v>
      </c>
    </row>
    <row r="149" spans="3:3" ht="28.2" thickBot="1" x14ac:dyDescent="0.3">
      <c r="C149" s="167" t="s">
        <v>171</v>
      </c>
    </row>
    <row r="150" spans="3:3" ht="28.2" thickBot="1" x14ac:dyDescent="0.3">
      <c r="C150" s="167" t="s">
        <v>172</v>
      </c>
    </row>
  </sheetData>
  <autoFilter ref="A7:AA101" xr:uid="{00000000-0009-0000-0000-00000D000000}"/>
  <mergeCells count="10">
    <mergeCell ref="A1:U1"/>
    <mergeCell ref="A2:U2"/>
    <mergeCell ref="A3:U3"/>
    <mergeCell ref="A4:U4"/>
    <mergeCell ref="A5:A6"/>
    <mergeCell ref="B5:B6"/>
    <mergeCell ref="C5:C6"/>
    <mergeCell ref="D5:K5"/>
    <mergeCell ref="L5:P5"/>
    <mergeCell ref="Q5:U5"/>
  </mergeCells>
  <printOptions horizontalCentered="1"/>
  <pageMargins left="0.6" right="0.16" top="0.26" bottom="0.2" header="0.25" footer="0.16"/>
  <pageSetup paperSize="9" scale="48" orientation="landscape" r:id="rId1"/>
  <headerFooter alignWithMargins="0"/>
  <rowBreaks count="2" manualBreakCount="2">
    <brk id="77" max="17" man="1"/>
    <brk id="99" max="16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152"/>
  <sheetViews>
    <sheetView view="pageBreakPreview" zoomScale="70" zoomScaleSheetLayoutView="70" workbookViewId="0">
      <pane ySplit="6" topLeftCell="A82" activePane="bottomLeft" state="frozen"/>
      <selection activeCell="E24" sqref="E24"/>
      <selection pane="bottomLeft" activeCell="A91" sqref="A91:XFD99"/>
    </sheetView>
  </sheetViews>
  <sheetFormatPr defaultColWidth="7.109375" defaultRowHeight="13.8" x14ac:dyDescent="0.25"/>
  <cols>
    <col min="1" max="1" width="4.6640625" style="161" customWidth="1"/>
    <col min="2" max="2" width="17" style="161" customWidth="1"/>
    <col min="3" max="3" width="29.33203125" style="38" customWidth="1"/>
    <col min="4" max="4" width="9.109375" style="38" customWidth="1"/>
    <col min="5" max="5" width="17.88671875" style="244" customWidth="1"/>
    <col min="6" max="6" width="22.88671875" style="237" customWidth="1"/>
    <col min="7" max="7" width="16.33203125" style="162" bestFit="1" customWidth="1"/>
    <col min="8" max="8" width="13.44140625" style="162" customWidth="1"/>
    <col min="9" max="9" width="12.109375" style="162" customWidth="1"/>
    <col min="10" max="10" width="16.5546875" style="161" customWidth="1"/>
    <col min="11" max="11" width="15.44140625" style="162" customWidth="1"/>
    <col min="12" max="12" width="17.6640625" style="162" customWidth="1"/>
    <col min="13" max="13" width="9.6640625" style="162" customWidth="1"/>
    <col min="14" max="14" width="14.88671875" style="162" customWidth="1"/>
    <col min="15" max="15" width="12.109375" style="38" customWidth="1"/>
    <col min="16" max="16" width="18.5546875" style="162" customWidth="1"/>
    <col min="17" max="17" width="14.6640625" style="163" customWidth="1"/>
    <col min="18" max="18" width="9.44140625" style="162" customWidth="1"/>
    <col min="19" max="19" width="14.33203125" style="162" customWidth="1"/>
    <col min="20" max="21" width="18.5546875" style="38" bestFit="1" customWidth="1"/>
    <col min="22" max="22" width="8.44140625" style="38" bestFit="1" customWidth="1"/>
    <col min="23" max="16384" width="7.109375" style="38"/>
  </cols>
  <sheetData>
    <row r="1" spans="1:25" x14ac:dyDescent="0.25">
      <c r="A1" s="815" t="s">
        <v>85</v>
      </c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815"/>
      <c r="P1" s="815"/>
      <c r="Q1" s="815"/>
      <c r="R1" s="815"/>
      <c r="S1" s="815"/>
      <c r="T1" s="199" t="s">
        <v>302</v>
      </c>
    </row>
    <row r="2" spans="1:25" x14ac:dyDescent="0.25">
      <c r="A2" s="816" t="s">
        <v>287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</row>
    <row r="3" spans="1:25" x14ac:dyDescent="0.25">
      <c r="A3" s="816" t="s">
        <v>147</v>
      </c>
      <c r="B3" s="816"/>
      <c r="C3" s="816"/>
      <c r="D3" s="816"/>
      <c r="E3" s="816"/>
      <c r="F3" s="816"/>
      <c r="G3" s="816"/>
      <c r="H3" s="816"/>
      <c r="I3" s="816"/>
      <c r="J3" s="816"/>
      <c r="K3" s="816"/>
      <c r="L3" s="816"/>
      <c r="M3" s="816"/>
      <c r="N3" s="816"/>
      <c r="O3" s="816"/>
      <c r="P3" s="816"/>
      <c r="Q3" s="816"/>
      <c r="R3" s="816"/>
      <c r="S3" s="816"/>
    </row>
    <row r="4" spans="1:25" x14ac:dyDescent="0.25">
      <c r="A4" s="817" t="s">
        <v>146</v>
      </c>
      <c r="B4" s="817"/>
      <c r="C4" s="817"/>
      <c r="D4" s="817"/>
      <c r="E4" s="817"/>
      <c r="F4" s="817"/>
      <c r="G4" s="817"/>
      <c r="H4" s="817"/>
      <c r="I4" s="817"/>
      <c r="J4" s="817"/>
      <c r="K4" s="817"/>
      <c r="L4" s="817"/>
      <c r="M4" s="817"/>
      <c r="N4" s="817"/>
      <c r="O4" s="817"/>
      <c r="P4" s="817"/>
      <c r="Q4" s="817"/>
      <c r="R4" s="817"/>
      <c r="S4" s="817"/>
    </row>
    <row r="5" spans="1:25" s="153" customFormat="1" ht="18" customHeight="1" x14ac:dyDescent="0.3">
      <c r="A5" s="818" t="s">
        <v>6</v>
      </c>
      <c r="B5" s="818" t="s">
        <v>212</v>
      </c>
      <c r="C5" s="818" t="s">
        <v>27</v>
      </c>
      <c r="D5" s="820" t="s">
        <v>15</v>
      </c>
      <c r="E5" s="821"/>
      <c r="F5" s="821"/>
      <c r="G5" s="822"/>
      <c r="H5" s="245"/>
      <c r="I5" s="245"/>
      <c r="J5" s="820" t="s">
        <v>50</v>
      </c>
      <c r="K5" s="821"/>
      <c r="L5" s="821"/>
      <c r="M5" s="821"/>
      <c r="N5" s="822"/>
      <c r="O5" s="820" t="s">
        <v>51</v>
      </c>
      <c r="P5" s="821"/>
      <c r="Q5" s="821"/>
      <c r="R5" s="821"/>
      <c r="S5" s="822"/>
    </row>
    <row r="6" spans="1:25" s="153" customFormat="1" ht="64.5" customHeight="1" x14ac:dyDescent="0.3">
      <c r="A6" s="819"/>
      <c r="B6" s="819"/>
      <c r="C6" s="819"/>
      <c r="D6" s="226" t="s">
        <v>28</v>
      </c>
      <c r="E6" s="240" t="s">
        <v>80</v>
      </c>
      <c r="F6" s="229" t="s">
        <v>81</v>
      </c>
      <c r="G6" s="154" t="s">
        <v>178</v>
      </c>
      <c r="H6" s="154" t="s">
        <v>307</v>
      </c>
      <c r="I6" s="154" t="s">
        <v>308</v>
      </c>
      <c r="J6" s="226" t="s">
        <v>28</v>
      </c>
      <c r="K6" s="154" t="s">
        <v>83</v>
      </c>
      <c r="L6" s="154" t="s">
        <v>81</v>
      </c>
      <c r="M6" s="154" t="s">
        <v>82</v>
      </c>
      <c r="N6" s="154" t="s">
        <v>178</v>
      </c>
      <c r="O6" s="226" t="s">
        <v>28</v>
      </c>
      <c r="P6" s="154" t="s">
        <v>83</v>
      </c>
      <c r="Q6" s="169" t="s">
        <v>81</v>
      </c>
      <c r="R6" s="154" t="s">
        <v>82</v>
      </c>
      <c r="S6" s="154" t="s">
        <v>178</v>
      </c>
    </row>
    <row r="7" spans="1:25" x14ac:dyDescent="0.25">
      <c r="A7" s="155"/>
      <c r="B7" s="155"/>
      <c r="C7" s="164" t="s">
        <v>174</v>
      </c>
      <c r="D7" s="156">
        <v>0</v>
      </c>
      <c r="E7" s="241">
        <v>0</v>
      </c>
      <c r="F7" s="230">
        <v>0</v>
      </c>
      <c r="G7" s="157">
        <f t="shared" ref="G7:G68" si="0">SUM(E7:F7)</f>
        <v>0</v>
      </c>
      <c r="H7" s="157"/>
      <c r="I7" s="157"/>
      <c r="J7" s="157">
        <f>SUM(F7:G7)</f>
        <v>0</v>
      </c>
      <c r="K7" s="157">
        <f>SUM(G7:J7)</f>
        <v>0</v>
      </c>
      <c r="L7" s="157">
        <v>0</v>
      </c>
      <c r="M7" s="157">
        <v>0</v>
      </c>
      <c r="N7" s="157">
        <f>SUM(K7:M7)</f>
        <v>0</v>
      </c>
      <c r="O7" s="158"/>
      <c r="P7" s="157"/>
      <c r="Q7" s="160"/>
      <c r="R7" s="157"/>
      <c r="S7" s="157">
        <f>SUM(P7:R7)</f>
        <v>0</v>
      </c>
    </row>
    <row r="8" spans="1:25" x14ac:dyDescent="0.25">
      <c r="A8" s="155">
        <v>1</v>
      </c>
      <c r="B8" s="155" t="s">
        <v>213</v>
      </c>
      <c r="C8" s="165" t="s">
        <v>249</v>
      </c>
      <c r="D8" s="159" t="s">
        <v>154</v>
      </c>
      <c r="E8" s="232">
        <v>4.7308599999999999E-2</v>
      </c>
      <c r="F8" s="231">
        <v>3.4188000000000001E-3</v>
      </c>
      <c r="G8" s="170">
        <f t="shared" si="0"/>
        <v>5.0727399999999999E-2</v>
      </c>
      <c r="H8" s="170"/>
      <c r="I8" s="170"/>
      <c r="J8" s="159" t="s">
        <v>154</v>
      </c>
      <c r="K8" s="170">
        <v>4.9615380000000001E-2</v>
      </c>
      <c r="L8" s="170">
        <v>2.4786299999999997E-2</v>
      </c>
      <c r="M8" s="170">
        <v>0</v>
      </c>
      <c r="N8" s="170">
        <f>SUM(K8:M8)</f>
        <v>7.4401679999999998E-2</v>
      </c>
      <c r="O8" s="159" t="s">
        <v>154</v>
      </c>
      <c r="P8" s="170">
        <v>4.9615380000000001E-2</v>
      </c>
      <c r="Q8" s="170">
        <v>2.4786299999999997E-2</v>
      </c>
      <c r="R8" s="170">
        <v>0</v>
      </c>
      <c r="S8" s="170">
        <f>SUM(P8:R8)</f>
        <v>7.4401679999999998E-2</v>
      </c>
      <c r="U8" s="136"/>
      <c r="V8" s="136"/>
      <c r="W8" s="175"/>
      <c r="X8" s="175"/>
      <c r="Y8" s="175"/>
    </row>
    <row r="9" spans="1:25" x14ac:dyDescent="0.25">
      <c r="A9" s="155">
        <v>2</v>
      </c>
      <c r="B9" s="155" t="s">
        <v>214</v>
      </c>
      <c r="C9" s="165" t="s">
        <v>250</v>
      </c>
      <c r="D9" s="159" t="s">
        <v>154</v>
      </c>
      <c r="E9" s="232">
        <v>0</v>
      </c>
      <c r="F9" s="231">
        <v>0</v>
      </c>
      <c r="G9" s="170">
        <f t="shared" si="0"/>
        <v>0</v>
      </c>
      <c r="H9" s="170"/>
      <c r="I9" s="170"/>
      <c r="J9" s="159" t="s">
        <v>154</v>
      </c>
      <c r="K9" s="170">
        <v>0</v>
      </c>
      <c r="L9" s="170">
        <v>6.788269999999999E-2</v>
      </c>
      <c r="M9" s="170">
        <v>0</v>
      </c>
      <c r="N9" s="170">
        <f t="shared" ref="N9:N88" si="1">SUM(K9:M9)</f>
        <v>6.788269999999999E-2</v>
      </c>
      <c r="O9" s="159" t="s">
        <v>154</v>
      </c>
      <c r="P9" s="170">
        <v>0</v>
      </c>
      <c r="Q9" s="170">
        <v>6.788269999999999E-2</v>
      </c>
      <c r="R9" s="170">
        <v>0</v>
      </c>
      <c r="S9" s="170">
        <f t="shared" ref="S9:S88" si="2">SUM(P9:R9)</f>
        <v>6.788269999999999E-2</v>
      </c>
      <c r="U9" s="136"/>
      <c r="V9" s="136"/>
    </row>
    <row r="10" spans="1:25" x14ac:dyDescent="0.25">
      <c r="A10" s="155">
        <v>3</v>
      </c>
      <c r="B10" s="155" t="s">
        <v>215</v>
      </c>
      <c r="C10" s="165" t="s">
        <v>251</v>
      </c>
      <c r="D10" s="159" t="s">
        <v>154</v>
      </c>
      <c r="E10" s="232">
        <v>7.7013999999999999E-2</v>
      </c>
      <c r="F10" s="231">
        <v>0</v>
      </c>
      <c r="G10" s="170">
        <f t="shared" si="0"/>
        <v>7.7013999999999999E-2</v>
      </c>
      <c r="H10" s="170"/>
      <c r="I10" s="170"/>
      <c r="J10" s="159" t="s">
        <v>154</v>
      </c>
      <c r="K10" s="170">
        <v>0.27996799999999999</v>
      </c>
      <c r="L10" s="170">
        <v>0.2624514</v>
      </c>
      <c r="M10" s="170">
        <v>0</v>
      </c>
      <c r="N10" s="170">
        <f t="shared" si="1"/>
        <v>0.5424194</v>
      </c>
      <c r="O10" s="159" t="s">
        <v>154</v>
      </c>
      <c r="P10" s="170">
        <v>0.27996799999999999</v>
      </c>
      <c r="Q10" s="170">
        <v>0.2624514</v>
      </c>
      <c r="R10" s="170">
        <v>0</v>
      </c>
      <c r="S10" s="170">
        <f t="shared" si="2"/>
        <v>0.5424194</v>
      </c>
      <c r="U10" s="136"/>
      <c r="V10" s="136"/>
    </row>
    <row r="11" spans="1:25" x14ac:dyDescent="0.25">
      <c r="A11" s="155">
        <v>4</v>
      </c>
      <c r="B11" s="155" t="s">
        <v>216</v>
      </c>
      <c r="C11" s="165" t="s">
        <v>251</v>
      </c>
      <c r="D11" s="159" t="s">
        <v>154</v>
      </c>
      <c r="E11" s="232">
        <v>7.7013999999999999E-2</v>
      </c>
      <c r="F11" s="231">
        <v>6.8376000000000001E-3</v>
      </c>
      <c r="G11" s="170">
        <f t="shared" si="0"/>
        <v>8.3851599999999998E-2</v>
      </c>
      <c r="H11" s="170"/>
      <c r="I11" s="170"/>
      <c r="J11" s="159" t="s">
        <v>154</v>
      </c>
      <c r="K11" s="170">
        <v>0</v>
      </c>
      <c r="L11" s="170">
        <v>0.14716220000000002</v>
      </c>
      <c r="M11" s="170">
        <v>0</v>
      </c>
      <c r="N11" s="170">
        <f t="shared" si="1"/>
        <v>0.14716220000000002</v>
      </c>
      <c r="O11" s="159" t="s">
        <v>154</v>
      </c>
      <c r="P11" s="170">
        <v>0</v>
      </c>
      <c r="Q11" s="170">
        <v>0.14716220000000002</v>
      </c>
      <c r="R11" s="170">
        <v>0</v>
      </c>
      <c r="S11" s="170">
        <f t="shared" si="2"/>
        <v>0.14716220000000002</v>
      </c>
      <c r="U11" s="136"/>
      <c r="V11" s="136"/>
    </row>
    <row r="12" spans="1:25" x14ac:dyDescent="0.25">
      <c r="A12" s="155">
        <v>5</v>
      </c>
      <c r="B12" s="155" t="s">
        <v>217</v>
      </c>
      <c r="C12" s="165" t="s">
        <v>252</v>
      </c>
      <c r="D12" s="159" t="s">
        <v>154</v>
      </c>
      <c r="E12" s="232">
        <v>0</v>
      </c>
      <c r="F12" s="231">
        <v>0</v>
      </c>
      <c r="G12" s="170">
        <f t="shared" si="0"/>
        <v>0</v>
      </c>
      <c r="H12" s="170"/>
      <c r="I12" s="170"/>
      <c r="J12" s="159" t="s">
        <v>154</v>
      </c>
      <c r="K12" s="170">
        <v>0.44690800000000003</v>
      </c>
      <c r="L12" s="170">
        <v>0.264428</v>
      </c>
      <c r="M12" s="170">
        <v>0</v>
      </c>
      <c r="N12" s="170">
        <f t="shared" si="1"/>
        <v>0.71133599999999997</v>
      </c>
      <c r="O12" s="159" t="s">
        <v>154</v>
      </c>
      <c r="P12" s="170">
        <v>0.44690800000000003</v>
      </c>
      <c r="Q12" s="170">
        <v>0.264428</v>
      </c>
      <c r="R12" s="170">
        <v>0</v>
      </c>
      <c r="S12" s="170">
        <f t="shared" si="2"/>
        <v>0.71133599999999997</v>
      </c>
      <c r="U12" s="136"/>
      <c r="V12" s="136"/>
    </row>
    <row r="13" spans="1:25" x14ac:dyDescent="0.25">
      <c r="A13" s="155">
        <v>6</v>
      </c>
      <c r="B13" s="155" t="s">
        <v>218</v>
      </c>
      <c r="C13" s="165" t="s">
        <v>252</v>
      </c>
      <c r="D13" s="159" t="s">
        <v>154</v>
      </c>
      <c r="E13" s="232">
        <v>0</v>
      </c>
      <c r="F13" s="231">
        <v>0</v>
      </c>
      <c r="G13" s="170">
        <f t="shared" si="0"/>
        <v>0</v>
      </c>
      <c r="H13" s="170"/>
      <c r="I13" s="170"/>
      <c r="J13" s="159" t="s">
        <v>154</v>
      </c>
      <c r="K13" s="170">
        <v>0.40921600000000002</v>
      </c>
      <c r="L13" s="170">
        <v>0.22656479999999998</v>
      </c>
      <c r="M13" s="170">
        <v>0</v>
      </c>
      <c r="N13" s="170">
        <f t="shared" si="1"/>
        <v>0.63578080000000003</v>
      </c>
      <c r="O13" s="159" t="s">
        <v>154</v>
      </c>
      <c r="P13" s="170">
        <v>0.40921600000000002</v>
      </c>
      <c r="Q13" s="170">
        <v>0.22656479999999998</v>
      </c>
      <c r="R13" s="170">
        <v>0</v>
      </c>
      <c r="S13" s="170">
        <f t="shared" si="2"/>
        <v>0.63578080000000003</v>
      </c>
      <c r="U13" s="136"/>
      <c r="V13" s="136"/>
    </row>
    <row r="14" spans="1:25" x14ac:dyDescent="0.25">
      <c r="A14" s="155">
        <v>7</v>
      </c>
      <c r="B14" s="155" t="s">
        <v>219</v>
      </c>
      <c r="C14" s="165" t="s">
        <v>252</v>
      </c>
      <c r="D14" s="159" t="s">
        <v>154</v>
      </c>
      <c r="E14" s="232">
        <v>0</v>
      </c>
      <c r="F14" s="231">
        <v>0</v>
      </c>
      <c r="G14" s="170">
        <f t="shared" si="0"/>
        <v>0</v>
      </c>
      <c r="H14" s="170"/>
      <c r="I14" s="170"/>
      <c r="J14" s="159" t="s">
        <v>154</v>
      </c>
      <c r="K14" s="170">
        <v>0.44690800000000003</v>
      </c>
      <c r="L14" s="170">
        <v>0.28883029999999998</v>
      </c>
      <c r="M14" s="170">
        <v>0</v>
      </c>
      <c r="N14" s="170">
        <f t="shared" si="1"/>
        <v>0.73573829999999996</v>
      </c>
      <c r="O14" s="159" t="s">
        <v>154</v>
      </c>
      <c r="P14" s="170">
        <v>0.44690800000000003</v>
      </c>
      <c r="Q14" s="170">
        <v>0.28883029999999998</v>
      </c>
      <c r="R14" s="170">
        <v>0</v>
      </c>
      <c r="S14" s="170">
        <f t="shared" si="2"/>
        <v>0.73573829999999996</v>
      </c>
      <c r="U14" s="136"/>
      <c r="V14" s="136"/>
    </row>
    <row r="15" spans="1:25" x14ac:dyDescent="0.25">
      <c r="A15" s="155">
        <v>8</v>
      </c>
      <c r="B15" s="155" t="s">
        <v>220</v>
      </c>
      <c r="C15" s="165" t="s">
        <v>253</v>
      </c>
      <c r="D15" s="159" t="s">
        <v>154</v>
      </c>
      <c r="E15" s="232">
        <v>0</v>
      </c>
      <c r="F15" s="231">
        <v>0</v>
      </c>
      <c r="G15" s="170">
        <f t="shared" si="0"/>
        <v>0</v>
      </c>
      <c r="H15" s="170"/>
      <c r="I15" s="170"/>
      <c r="J15" s="159" t="s">
        <v>154</v>
      </c>
      <c r="K15" s="170">
        <v>0.11845699999999999</v>
      </c>
      <c r="L15" s="170">
        <v>8.2051199999999991E-2</v>
      </c>
      <c r="M15" s="170">
        <v>0</v>
      </c>
      <c r="N15" s="170">
        <f t="shared" si="1"/>
        <v>0.20050819999999997</v>
      </c>
      <c r="O15" s="159" t="s">
        <v>154</v>
      </c>
      <c r="P15" s="170">
        <v>0.11845699999999999</v>
      </c>
      <c r="Q15" s="170">
        <v>8.2051199999999991E-2</v>
      </c>
      <c r="R15" s="170">
        <v>0</v>
      </c>
      <c r="S15" s="170">
        <f t="shared" si="2"/>
        <v>0.20050819999999997</v>
      </c>
      <c r="U15" s="136"/>
      <c r="V15" s="136"/>
    </row>
    <row r="16" spans="1:25" x14ac:dyDescent="0.25">
      <c r="A16" s="155">
        <v>9</v>
      </c>
      <c r="B16" s="155" t="s">
        <v>221</v>
      </c>
      <c r="C16" s="165" t="s">
        <v>253</v>
      </c>
      <c r="D16" s="159" t="s">
        <v>154</v>
      </c>
      <c r="E16" s="232">
        <v>0</v>
      </c>
      <c r="F16" s="231">
        <v>0</v>
      </c>
      <c r="G16" s="170">
        <f t="shared" si="0"/>
        <v>0</v>
      </c>
      <c r="H16" s="170"/>
      <c r="I16" s="170"/>
      <c r="J16" s="159" t="s">
        <v>154</v>
      </c>
      <c r="K16" s="170">
        <v>0.296124</v>
      </c>
      <c r="L16" s="170">
        <v>0.1871748</v>
      </c>
      <c r="M16" s="170">
        <v>0</v>
      </c>
      <c r="N16" s="170">
        <f t="shared" si="1"/>
        <v>0.48329880000000003</v>
      </c>
      <c r="O16" s="159" t="s">
        <v>154</v>
      </c>
      <c r="P16" s="170">
        <v>0.296124</v>
      </c>
      <c r="Q16" s="170">
        <v>0.1871748</v>
      </c>
      <c r="R16" s="170">
        <v>0</v>
      </c>
      <c r="S16" s="170">
        <f t="shared" si="2"/>
        <v>0.48329880000000003</v>
      </c>
      <c r="U16" s="136"/>
      <c r="V16" s="136"/>
    </row>
    <row r="17" spans="1:22" x14ac:dyDescent="0.25">
      <c r="A17" s="155">
        <v>10</v>
      </c>
      <c r="B17" s="155" t="s">
        <v>222</v>
      </c>
      <c r="C17" s="165" t="s">
        <v>253</v>
      </c>
      <c r="D17" s="159" t="s">
        <v>154</v>
      </c>
      <c r="E17" s="232">
        <v>0</v>
      </c>
      <c r="F17" s="231">
        <v>0</v>
      </c>
      <c r="G17" s="170">
        <f t="shared" si="0"/>
        <v>0</v>
      </c>
      <c r="H17" s="170"/>
      <c r="I17" s="170"/>
      <c r="J17" s="159" t="s">
        <v>154</v>
      </c>
      <c r="K17" s="170">
        <v>0.296124</v>
      </c>
      <c r="L17" s="170">
        <v>0.18560779999999999</v>
      </c>
      <c r="M17" s="170">
        <v>0</v>
      </c>
      <c r="N17" s="170">
        <f t="shared" si="1"/>
        <v>0.48173179999999999</v>
      </c>
      <c r="O17" s="159" t="s">
        <v>154</v>
      </c>
      <c r="P17" s="170">
        <v>0.296124</v>
      </c>
      <c r="Q17" s="170">
        <v>0.18560779999999999</v>
      </c>
      <c r="R17" s="170">
        <v>0</v>
      </c>
      <c r="S17" s="170">
        <f t="shared" si="2"/>
        <v>0.48173179999999999</v>
      </c>
      <c r="U17" s="136"/>
      <c r="V17" s="136"/>
    </row>
    <row r="18" spans="1:22" x14ac:dyDescent="0.25">
      <c r="A18" s="155">
        <v>11</v>
      </c>
      <c r="B18" s="155" t="s">
        <v>223</v>
      </c>
      <c r="C18" s="165" t="s">
        <v>253</v>
      </c>
      <c r="D18" s="159" t="s">
        <v>154</v>
      </c>
      <c r="E18" s="232">
        <v>0</v>
      </c>
      <c r="F18" s="231">
        <v>0</v>
      </c>
      <c r="G18" s="170">
        <f t="shared" si="0"/>
        <v>0</v>
      </c>
      <c r="H18" s="170"/>
      <c r="I18" s="170"/>
      <c r="J18" s="159" t="s">
        <v>154</v>
      </c>
      <c r="K18" s="170">
        <v>0.26112400000000002</v>
      </c>
      <c r="L18" s="170">
        <v>0.1239262</v>
      </c>
      <c r="M18" s="170">
        <v>0</v>
      </c>
      <c r="N18" s="170">
        <f t="shared" si="1"/>
        <v>0.38505020000000001</v>
      </c>
      <c r="O18" s="159" t="s">
        <v>154</v>
      </c>
      <c r="P18" s="170">
        <v>0.26112400000000002</v>
      </c>
      <c r="Q18" s="170">
        <v>0.1239262</v>
      </c>
      <c r="R18" s="170">
        <v>0</v>
      </c>
      <c r="S18" s="170">
        <f t="shared" si="2"/>
        <v>0.38505020000000001</v>
      </c>
      <c r="U18" s="136"/>
      <c r="V18" s="136"/>
    </row>
    <row r="19" spans="1:22" x14ac:dyDescent="0.25">
      <c r="A19" s="155">
        <v>12</v>
      </c>
      <c r="B19" s="155" t="s">
        <v>224</v>
      </c>
      <c r="C19" s="165" t="s">
        <v>253</v>
      </c>
      <c r="D19" s="159" t="s">
        <v>154</v>
      </c>
      <c r="E19" s="232">
        <v>7.7013999999999999E-2</v>
      </c>
      <c r="F19" s="231">
        <v>1.0256399999999999E-2</v>
      </c>
      <c r="G19" s="170">
        <f t="shared" si="0"/>
        <v>8.7270399999999998E-2</v>
      </c>
      <c r="H19" s="170"/>
      <c r="I19" s="170"/>
      <c r="J19" s="159" t="s">
        <v>154</v>
      </c>
      <c r="K19" s="170">
        <v>0.34458499999999997</v>
      </c>
      <c r="L19" s="170">
        <v>0.21636701999999999</v>
      </c>
      <c r="M19" s="170">
        <v>0</v>
      </c>
      <c r="N19" s="170">
        <f t="shared" si="1"/>
        <v>0.56095202</v>
      </c>
      <c r="O19" s="159" t="s">
        <v>154</v>
      </c>
      <c r="P19" s="170">
        <v>0.34458499999999997</v>
      </c>
      <c r="Q19" s="170">
        <v>0.21636701999999999</v>
      </c>
      <c r="R19" s="170">
        <v>0</v>
      </c>
      <c r="S19" s="170">
        <f t="shared" si="2"/>
        <v>0.56095202</v>
      </c>
      <c r="U19" s="136"/>
      <c r="V19" s="136"/>
    </row>
    <row r="20" spans="1:22" x14ac:dyDescent="0.25">
      <c r="A20" s="155">
        <v>13</v>
      </c>
      <c r="B20" s="155" t="s">
        <v>225</v>
      </c>
      <c r="C20" s="165" t="s">
        <v>253</v>
      </c>
      <c r="D20" s="159" t="s">
        <v>154</v>
      </c>
      <c r="E20" s="232">
        <v>7.7013999999999999E-2</v>
      </c>
      <c r="F20" s="231">
        <v>8.5470000000000008E-3</v>
      </c>
      <c r="G20" s="170">
        <f t="shared" si="0"/>
        <v>8.5560999999999998E-2</v>
      </c>
      <c r="H20" s="170"/>
      <c r="I20" s="170"/>
      <c r="J20" s="159" t="s">
        <v>154</v>
      </c>
      <c r="K20" s="170">
        <v>0.34458499999999997</v>
      </c>
      <c r="L20" s="170">
        <v>0.2231822</v>
      </c>
      <c r="M20" s="170">
        <v>0</v>
      </c>
      <c r="N20" s="170">
        <f t="shared" si="1"/>
        <v>0.56776720000000003</v>
      </c>
      <c r="O20" s="159" t="s">
        <v>154</v>
      </c>
      <c r="P20" s="170">
        <v>0.34458499999999997</v>
      </c>
      <c r="Q20" s="170">
        <v>0.2231822</v>
      </c>
      <c r="R20" s="170">
        <v>0</v>
      </c>
      <c r="S20" s="170">
        <f t="shared" si="2"/>
        <v>0.56776720000000003</v>
      </c>
      <c r="U20" s="136"/>
      <c r="V20" s="136"/>
    </row>
    <row r="21" spans="1:22" x14ac:dyDescent="0.25">
      <c r="A21" s="155">
        <v>14</v>
      </c>
      <c r="B21" s="155" t="s">
        <v>226</v>
      </c>
      <c r="C21" s="165" t="s">
        <v>253</v>
      </c>
      <c r="D21" s="159" t="s">
        <v>154</v>
      </c>
      <c r="E21" s="232">
        <v>7.7013999999999999E-2</v>
      </c>
      <c r="F21" s="231">
        <v>8.5470000000000008E-3</v>
      </c>
      <c r="G21" s="170">
        <f t="shared" si="0"/>
        <v>8.5560999999999998E-2</v>
      </c>
      <c r="H21" s="170"/>
      <c r="I21" s="170"/>
      <c r="J21" s="159" t="s">
        <v>154</v>
      </c>
      <c r="K21" s="170">
        <v>0.34458499999999997</v>
      </c>
      <c r="L21" s="170">
        <v>0.21943119999999999</v>
      </c>
      <c r="M21" s="170">
        <v>0</v>
      </c>
      <c r="N21" s="170">
        <f t="shared" si="1"/>
        <v>0.56401619999999997</v>
      </c>
      <c r="O21" s="159" t="s">
        <v>154</v>
      </c>
      <c r="P21" s="170">
        <v>0.34458499999999997</v>
      </c>
      <c r="Q21" s="170">
        <v>0.21943119999999999</v>
      </c>
      <c r="R21" s="170">
        <v>0</v>
      </c>
      <c r="S21" s="170">
        <f t="shared" si="2"/>
        <v>0.56401619999999997</v>
      </c>
      <c r="U21" s="136"/>
      <c r="V21" s="136"/>
    </row>
    <row r="22" spans="1:22" x14ac:dyDescent="0.25">
      <c r="A22" s="155">
        <v>15</v>
      </c>
      <c r="B22" s="155" t="s">
        <v>227</v>
      </c>
      <c r="C22" s="165" t="s">
        <v>253</v>
      </c>
      <c r="D22" s="159" t="s">
        <v>154</v>
      </c>
      <c r="E22" s="232">
        <v>0</v>
      </c>
      <c r="F22" s="231">
        <v>0</v>
      </c>
      <c r="G22" s="170">
        <f t="shared" si="0"/>
        <v>0</v>
      </c>
      <c r="H22" s="170"/>
      <c r="I22" s="170"/>
      <c r="J22" s="159" t="s">
        <v>154</v>
      </c>
      <c r="K22" s="170">
        <v>0.21536</v>
      </c>
      <c r="L22" s="170">
        <v>0.14712939999999999</v>
      </c>
      <c r="M22" s="170">
        <v>0</v>
      </c>
      <c r="N22" s="170">
        <f t="shared" si="1"/>
        <v>0.36248939999999996</v>
      </c>
      <c r="O22" s="159" t="s">
        <v>154</v>
      </c>
      <c r="P22" s="170">
        <v>0.21536</v>
      </c>
      <c r="Q22" s="170">
        <v>0.14712939999999999</v>
      </c>
      <c r="R22" s="170">
        <v>0</v>
      </c>
      <c r="S22" s="170">
        <f t="shared" si="2"/>
        <v>0.36248939999999996</v>
      </c>
      <c r="U22" s="136"/>
      <c r="V22" s="136"/>
    </row>
    <row r="23" spans="1:22" x14ac:dyDescent="0.25">
      <c r="A23" s="155">
        <v>16</v>
      </c>
      <c r="B23" s="155" t="s">
        <v>297</v>
      </c>
      <c r="C23" s="165" t="s">
        <v>253</v>
      </c>
      <c r="D23" s="159" t="s">
        <v>154</v>
      </c>
      <c r="E23" s="232">
        <v>0</v>
      </c>
      <c r="F23" s="231">
        <v>0</v>
      </c>
      <c r="G23" s="170">
        <f t="shared" si="0"/>
        <v>0</v>
      </c>
      <c r="H23" s="170"/>
      <c r="I23" s="170"/>
      <c r="J23" s="159" t="s">
        <v>154</v>
      </c>
      <c r="K23" s="170">
        <v>0.139991</v>
      </c>
      <c r="L23" s="170">
        <v>0.11367509999999999</v>
      </c>
      <c r="M23" s="170">
        <v>0</v>
      </c>
      <c r="N23" s="170">
        <f t="shared" si="1"/>
        <v>0.25366610000000001</v>
      </c>
      <c r="O23" s="159" t="s">
        <v>154</v>
      </c>
      <c r="P23" s="170">
        <v>0.139991</v>
      </c>
      <c r="Q23" s="170">
        <v>0.11367509999999999</v>
      </c>
      <c r="R23" s="170">
        <v>0</v>
      </c>
      <c r="S23" s="170">
        <f t="shared" si="2"/>
        <v>0.25366610000000001</v>
      </c>
      <c r="U23" s="136"/>
      <c r="V23" s="136"/>
    </row>
    <row r="24" spans="1:22" x14ac:dyDescent="0.25">
      <c r="A24" s="155">
        <v>17</v>
      </c>
      <c r="B24" s="155" t="s">
        <v>228</v>
      </c>
      <c r="C24" s="165" t="s">
        <v>253</v>
      </c>
      <c r="D24" s="159" t="s">
        <v>154</v>
      </c>
      <c r="E24" s="232">
        <v>0</v>
      </c>
      <c r="F24" s="231">
        <v>0</v>
      </c>
      <c r="G24" s="170">
        <f t="shared" si="0"/>
        <v>0</v>
      </c>
      <c r="H24" s="170"/>
      <c r="I24" s="170"/>
      <c r="J24" s="159" t="s">
        <v>154</v>
      </c>
      <c r="K24" s="170">
        <v>0.26381599999999999</v>
      </c>
      <c r="L24" s="170">
        <v>0.16591700000000001</v>
      </c>
      <c r="M24" s="170">
        <v>0</v>
      </c>
      <c r="N24" s="170">
        <f t="shared" si="1"/>
        <v>0.42973300000000003</v>
      </c>
      <c r="O24" s="159" t="s">
        <v>154</v>
      </c>
      <c r="P24" s="170">
        <v>0.26381599999999999</v>
      </c>
      <c r="Q24" s="170">
        <v>0.16591700000000001</v>
      </c>
      <c r="R24" s="170">
        <v>0</v>
      </c>
      <c r="S24" s="170">
        <f t="shared" si="2"/>
        <v>0.42973300000000003</v>
      </c>
      <c r="U24" s="136"/>
      <c r="V24" s="136"/>
    </row>
    <row r="25" spans="1:22" x14ac:dyDescent="0.25">
      <c r="A25" s="155">
        <v>18</v>
      </c>
      <c r="B25" s="155" t="s">
        <v>229</v>
      </c>
      <c r="C25" s="165" t="s">
        <v>253</v>
      </c>
      <c r="D25" s="159" t="s">
        <v>154</v>
      </c>
      <c r="E25" s="232">
        <v>0</v>
      </c>
      <c r="F25" s="231">
        <v>0</v>
      </c>
      <c r="G25" s="170">
        <f t="shared" si="0"/>
        <v>0</v>
      </c>
      <c r="H25" s="170"/>
      <c r="I25" s="170"/>
      <c r="J25" s="159" t="s">
        <v>154</v>
      </c>
      <c r="K25" s="170">
        <v>0.301508</v>
      </c>
      <c r="L25" s="170">
        <v>0.19434399999999999</v>
      </c>
      <c r="M25" s="170">
        <v>0</v>
      </c>
      <c r="N25" s="170">
        <f t="shared" si="1"/>
        <v>0.49585199999999996</v>
      </c>
      <c r="O25" s="159" t="s">
        <v>154</v>
      </c>
      <c r="P25" s="170">
        <v>0.301508</v>
      </c>
      <c r="Q25" s="170">
        <v>0.19434399999999999</v>
      </c>
      <c r="R25" s="170">
        <v>0</v>
      </c>
      <c r="S25" s="170">
        <f t="shared" si="2"/>
        <v>0.49585199999999996</v>
      </c>
      <c r="U25" s="136"/>
      <c r="V25" s="136"/>
    </row>
    <row r="26" spans="1:22" x14ac:dyDescent="0.25">
      <c r="A26" s="155">
        <v>19</v>
      </c>
      <c r="B26" s="155" t="s">
        <v>230</v>
      </c>
      <c r="C26" s="165" t="s">
        <v>253</v>
      </c>
      <c r="D26" s="159" t="s">
        <v>154</v>
      </c>
      <c r="E26" s="232">
        <v>7.7013999999999999E-2</v>
      </c>
      <c r="F26" s="231">
        <v>8.5470000000000008E-3</v>
      </c>
      <c r="G26" s="170">
        <f t="shared" si="0"/>
        <v>8.5560999999999998E-2</v>
      </c>
      <c r="H26" s="170"/>
      <c r="I26" s="170"/>
      <c r="J26" s="159" t="s">
        <v>154</v>
      </c>
      <c r="K26" s="170">
        <v>0.40380899999999997</v>
      </c>
      <c r="L26" s="170">
        <v>0.2249391</v>
      </c>
      <c r="M26" s="170">
        <v>0</v>
      </c>
      <c r="N26" s="170">
        <f t="shared" si="1"/>
        <v>0.62874809999999992</v>
      </c>
      <c r="O26" s="159" t="s">
        <v>154</v>
      </c>
      <c r="P26" s="170">
        <v>0.40380899999999997</v>
      </c>
      <c r="Q26" s="170">
        <v>0.2249391</v>
      </c>
      <c r="R26" s="170">
        <v>0</v>
      </c>
      <c r="S26" s="170">
        <f t="shared" si="2"/>
        <v>0.62874809999999992</v>
      </c>
      <c r="U26" s="136"/>
      <c r="V26" s="136"/>
    </row>
    <row r="27" spans="1:22" x14ac:dyDescent="0.25">
      <c r="A27" s="155">
        <v>20</v>
      </c>
      <c r="B27" s="155" t="s">
        <v>231</v>
      </c>
      <c r="C27" s="165" t="s">
        <v>253</v>
      </c>
      <c r="D27" s="159" t="s">
        <v>154</v>
      </c>
      <c r="E27" s="232">
        <v>0</v>
      </c>
      <c r="F27" s="231">
        <v>0</v>
      </c>
      <c r="G27" s="170">
        <f t="shared" si="0"/>
        <v>0</v>
      </c>
      <c r="H27" s="170"/>
      <c r="I27" s="170"/>
      <c r="J27" s="159" t="s">
        <v>154</v>
      </c>
      <c r="K27" s="170">
        <v>0.30689299999999997</v>
      </c>
      <c r="L27" s="170">
        <v>0.20793970000000001</v>
      </c>
      <c r="M27" s="170">
        <v>0</v>
      </c>
      <c r="N27" s="170">
        <f t="shared" si="1"/>
        <v>0.51483269999999992</v>
      </c>
      <c r="O27" s="159" t="s">
        <v>154</v>
      </c>
      <c r="P27" s="170">
        <v>0.30689299999999997</v>
      </c>
      <c r="Q27" s="170">
        <v>0.20793970000000001</v>
      </c>
      <c r="R27" s="170">
        <v>0</v>
      </c>
      <c r="S27" s="170">
        <f t="shared" si="2"/>
        <v>0.51483269999999992</v>
      </c>
      <c r="U27" s="136"/>
      <c r="V27" s="136"/>
    </row>
    <row r="28" spans="1:22" x14ac:dyDescent="0.25">
      <c r="A28" s="155">
        <v>21</v>
      </c>
      <c r="B28" s="155">
        <v>1443</v>
      </c>
      <c r="C28" s="165" t="s">
        <v>254</v>
      </c>
      <c r="D28" s="159" t="s">
        <v>189</v>
      </c>
      <c r="E28" s="232">
        <v>0</v>
      </c>
      <c r="F28" s="231">
        <v>0</v>
      </c>
      <c r="G28" s="170">
        <f t="shared" si="0"/>
        <v>0</v>
      </c>
      <c r="H28" s="170"/>
      <c r="I28" s="170"/>
      <c r="J28" s="159" t="s">
        <v>189</v>
      </c>
      <c r="K28" s="170">
        <v>0.32067500000000004</v>
      </c>
      <c r="L28" s="170">
        <v>0.39001979999999997</v>
      </c>
      <c r="M28" s="170">
        <v>0</v>
      </c>
      <c r="N28" s="170">
        <f t="shared" si="1"/>
        <v>0.71069479999999996</v>
      </c>
      <c r="O28" s="159" t="s">
        <v>189</v>
      </c>
      <c r="P28" s="170">
        <v>0.32067500000000004</v>
      </c>
      <c r="Q28" s="170">
        <v>0.39001979999999997</v>
      </c>
      <c r="R28" s="170">
        <v>0</v>
      </c>
      <c r="S28" s="170">
        <f t="shared" si="2"/>
        <v>0.71069479999999996</v>
      </c>
      <c r="U28" s="136"/>
      <c r="V28" s="136"/>
    </row>
    <row r="29" spans="1:22" x14ac:dyDescent="0.25">
      <c r="A29" s="155">
        <v>22</v>
      </c>
      <c r="B29" s="155" t="s">
        <v>232</v>
      </c>
      <c r="C29" s="165" t="s">
        <v>255</v>
      </c>
      <c r="D29" s="159" t="s">
        <v>189</v>
      </c>
      <c r="E29" s="232">
        <v>7.9764500000000002E-2</v>
      </c>
      <c r="F29" s="231">
        <v>4.7863199999999995E-2</v>
      </c>
      <c r="G29" s="170">
        <f t="shared" si="0"/>
        <v>0.12762770000000001</v>
      </c>
      <c r="H29" s="170"/>
      <c r="I29" s="170"/>
      <c r="J29" s="159" t="s">
        <v>189</v>
      </c>
      <c r="K29" s="170">
        <v>0.52418500000000001</v>
      </c>
      <c r="L29" s="170">
        <v>0.65638990000000008</v>
      </c>
      <c r="M29" s="170">
        <v>0</v>
      </c>
      <c r="N29" s="170">
        <f t="shared" si="1"/>
        <v>1.1805749000000001</v>
      </c>
      <c r="O29" s="159" t="s">
        <v>189</v>
      </c>
      <c r="P29" s="170">
        <v>0.52418500000000001</v>
      </c>
      <c r="Q29" s="170">
        <v>0.65638990000000008</v>
      </c>
      <c r="R29" s="170">
        <v>0</v>
      </c>
      <c r="S29" s="170">
        <f t="shared" si="2"/>
        <v>1.1805749000000001</v>
      </c>
      <c r="U29" s="136"/>
      <c r="V29" s="136"/>
    </row>
    <row r="30" spans="1:22" x14ac:dyDescent="0.25">
      <c r="A30" s="155">
        <v>23</v>
      </c>
      <c r="B30" s="155" t="s">
        <v>233</v>
      </c>
      <c r="C30" s="165" t="s">
        <v>188</v>
      </c>
      <c r="D30" s="159" t="s">
        <v>189</v>
      </c>
      <c r="E30" s="232">
        <v>0.14474231200000001</v>
      </c>
      <c r="F30" s="231">
        <v>8.2051199999999991E-2</v>
      </c>
      <c r="G30" s="170">
        <f t="shared" si="0"/>
        <v>0.226793512</v>
      </c>
      <c r="H30" s="170"/>
      <c r="I30" s="170"/>
      <c r="J30" s="159" t="s">
        <v>189</v>
      </c>
      <c r="K30" s="170">
        <v>0.41492000000000001</v>
      </c>
      <c r="L30" s="170">
        <v>0.39501210000000003</v>
      </c>
      <c r="M30" s="170">
        <v>0</v>
      </c>
      <c r="N30" s="170">
        <f t="shared" si="1"/>
        <v>0.80993210000000004</v>
      </c>
      <c r="O30" s="159" t="s">
        <v>189</v>
      </c>
      <c r="P30" s="170">
        <v>0.41492000000000001</v>
      </c>
      <c r="Q30" s="170">
        <v>0.39501210000000003</v>
      </c>
      <c r="R30" s="170">
        <v>0</v>
      </c>
      <c r="S30" s="170">
        <f t="shared" si="2"/>
        <v>0.80993210000000004</v>
      </c>
      <c r="U30" s="136"/>
      <c r="V30" s="136"/>
    </row>
    <row r="31" spans="1:22" x14ac:dyDescent="0.25">
      <c r="A31" s="155">
        <v>24</v>
      </c>
      <c r="B31" s="155" t="s">
        <v>234</v>
      </c>
      <c r="C31" s="165" t="s">
        <v>188</v>
      </c>
      <c r="D31" s="159" t="s">
        <v>189</v>
      </c>
      <c r="E31" s="232">
        <v>0</v>
      </c>
      <c r="F31" s="231">
        <v>0</v>
      </c>
      <c r="G31" s="170">
        <f t="shared" si="0"/>
        <v>0</v>
      </c>
      <c r="H31" s="170"/>
      <c r="I31" s="170"/>
      <c r="J31" s="159" t="s">
        <v>189</v>
      </c>
      <c r="K31" s="170">
        <v>0.79315500000000005</v>
      </c>
      <c r="L31" s="170">
        <v>0.42458480000000004</v>
      </c>
      <c r="M31" s="170">
        <v>0</v>
      </c>
      <c r="N31" s="170">
        <f t="shared" si="1"/>
        <v>1.2177398000000001</v>
      </c>
      <c r="O31" s="159" t="s">
        <v>189</v>
      </c>
      <c r="P31" s="170">
        <v>0.79315500000000005</v>
      </c>
      <c r="Q31" s="170">
        <v>0.42458480000000004</v>
      </c>
      <c r="R31" s="170">
        <v>0</v>
      </c>
      <c r="S31" s="170">
        <f t="shared" si="2"/>
        <v>1.2177398000000001</v>
      </c>
      <c r="U31" s="136"/>
      <c r="V31" s="136"/>
    </row>
    <row r="32" spans="1:22" x14ac:dyDescent="0.25">
      <c r="A32" s="155">
        <v>25</v>
      </c>
      <c r="B32" s="155" t="s">
        <v>235</v>
      </c>
      <c r="C32" s="165" t="s">
        <v>188</v>
      </c>
      <c r="D32" s="159" t="s">
        <v>189</v>
      </c>
      <c r="E32" s="232">
        <v>0.14474231200000001</v>
      </c>
      <c r="F32" s="231">
        <v>6.3247799999999993E-2</v>
      </c>
      <c r="G32" s="170">
        <f t="shared" si="0"/>
        <v>0.207990112</v>
      </c>
      <c r="H32" s="170"/>
      <c r="I32" s="170"/>
      <c r="J32" s="159" t="s">
        <v>189</v>
      </c>
      <c r="K32" s="170">
        <v>0.89056000000000002</v>
      </c>
      <c r="L32" s="170">
        <v>0.86215167000000004</v>
      </c>
      <c r="M32" s="170">
        <v>0</v>
      </c>
      <c r="N32" s="170">
        <f t="shared" si="1"/>
        <v>1.7527116700000001</v>
      </c>
      <c r="O32" s="159" t="s">
        <v>189</v>
      </c>
      <c r="P32" s="170">
        <v>0.89056000000000002</v>
      </c>
      <c r="Q32" s="170">
        <v>0.86215167000000004</v>
      </c>
      <c r="R32" s="170">
        <v>0</v>
      </c>
      <c r="S32" s="170">
        <f t="shared" si="2"/>
        <v>1.7527116700000001</v>
      </c>
      <c r="U32" s="136"/>
      <c r="V32" s="136"/>
    </row>
    <row r="33" spans="1:22" x14ac:dyDescent="0.25">
      <c r="A33" s="155">
        <v>26</v>
      </c>
      <c r="B33" s="155" t="s">
        <v>236</v>
      </c>
      <c r="C33" s="165" t="s">
        <v>188</v>
      </c>
      <c r="D33" s="159" t="s">
        <v>189</v>
      </c>
      <c r="E33" s="232">
        <v>0.14474231200000001</v>
      </c>
      <c r="F33" s="231">
        <v>4.9572600000000001E-2</v>
      </c>
      <c r="G33" s="170">
        <f t="shared" si="0"/>
        <v>0.19431491200000001</v>
      </c>
      <c r="H33" s="170"/>
      <c r="I33" s="170"/>
      <c r="J33" s="159" t="s">
        <v>189</v>
      </c>
      <c r="K33" s="170">
        <v>0.92091999999999996</v>
      </c>
      <c r="L33" s="170">
        <v>0.60688169999999997</v>
      </c>
      <c r="M33" s="170">
        <v>0</v>
      </c>
      <c r="N33" s="170">
        <f t="shared" si="1"/>
        <v>1.5278016999999999</v>
      </c>
      <c r="O33" s="159" t="s">
        <v>189</v>
      </c>
      <c r="P33" s="170">
        <v>0.92091999999999996</v>
      </c>
      <c r="Q33" s="170">
        <v>0.60688169999999997</v>
      </c>
      <c r="R33" s="170">
        <v>0</v>
      </c>
      <c r="S33" s="170">
        <f t="shared" si="2"/>
        <v>1.5278016999999999</v>
      </c>
      <c r="U33" s="136"/>
      <c r="V33" s="136"/>
    </row>
    <row r="34" spans="1:22" x14ac:dyDescent="0.25">
      <c r="A34" s="155">
        <v>27</v>
      </c>
      <c r="B34" s="155">
        <v>710</v>
      </c>
      <c r="C34" s="165" t="s">
        <v>188</v>
      </c>
      <c r="D34" s="159" t="s">
        <v>189</v>
      </c>
      <c r="E34" s="232">
        <v>0</v>
      </c>
      <c r="F34" s="231">
        <v>0</v>
      </c>
      <c r="G34" s="170">
        <f t="shared" si="0"/>
        <v>0</v>
      </c>
      <c r="H34" s="170"/>
      <c r="I34" s="170"/>
      <c r="J34" s="159" t="s">
        <v>189</v>
      </c>
      <c r="K34" s="170">
        <v>0.63250000000000006</v>
      </c>
      <c r="L34" s="170">
        <v>0.43937325999999999</v>
      </c>
      <c r="M34" s="170">
        <v>0</v>
      </c>
      <c r="N34" s="170">
        <f t="shared" si="1"/>
        <v>1.07187326</v>
      </c>
      <c r="O34" s="159" t="s">
        <v>189</v>
      </c>
      <c r="P34" s="170">
        <v>0.63250000000000006</v>
      </c>
      <c r="Q34" s="170">
        <v>0.43937325999999999</v>
      </c>
      <c r="R34" s="170">
        <v>0</v>
      </c>
      <c r="S34" s="170">
        <f t="shared" si="2"/>
        <v>1.07187326</v>
      </c>
      <c r="U34" s="136"/>
      <c r="V34" s="136"/>
    </row>
    <row r="35" spans="1:22" x14ac:dyDescent="0.25">
      <c r="A35" s="155">
        <v>28</v>
      </c>
      <c r="B35" s="155">
        <v>140</v>
      </c>
      <c r="C35" s="165" t="s">
        <v>188</v>
      </c>
      <c r="D35" s="159" t="s">
        <v>189</v>
      </c>
      <c r="E35" s="232">
        <v>0</v>
      </c>
      <c r="F35" s="231">
        <v>0</v>
      </c>
      <c r="G35" s="170">
        <f t="shared" si="0"/>
        <v>0</v>
      </c>
      <c r="H35" s="170"/>
      <c r="I35" s="170"/>
      <c r="J35" s="159" t="s">
        <v>189</v>
      </c>
      <c r="K35" s="170">
        <v>0.54648000000000008</v>
      </c>
      <c r="L35" s="170">
        <v>0.26335703999999999</v>
      </c>
      <c r="M35" s="170">
        <v>0</v>
      </c>
      <c r="N35" s="170">
        <f t="shared" si="1"/>
        <v>0.80983704000000012</v>
      </c>
      <c r="O35" s="159" t="s">
        <v>189</v>
      </c>
      <c r="P35" s="170">
        <v>0.54648000000000008</v>
      </c>
      <c r="Q35" s="170">
        <v>0.26335703999999999</v>
      </c>
      <c r="R35" s="170">
        <v>0</v>
      </c>
      <c r="S35" s="170">
        <f t="shared" si="2"/>
        <v>0.80983704000000012</v>
      </c>
      <c r="U35" s="136"/>
      <c r="V35" s="136"/>
    </row>
    <row r="36" spans="1:22" x14ac:dyDescent="0.25">
      <c r="A36" s="155">
        <v>29</v>
      </c>
      <c r="B36" s="155" t="s">
        <v>237</v>
      </c>
      <c r="C36" s="165" t="s">
        <v>256</v>
      </c>
      <c r="D36" s="159" t="s">
        <v>189</v>
      </c>
      <c r="E36" s="232">
        <v>0.10469503199999999</v>
      </c>
      <c r="F36" s="231">
        <v>0</v>
      </c>
      <c r="G36" s="170">
        <f t="shared" si="0"/>
        <v>0.10469503199999999</v>
      </c>
      <c r="H36" s="170"/>
      <c r="I36" s="170"/>
      <c r="J36" s="159" t="s">
        <v>189</v>
      </c>
      <c r="K36" s="170">
        <v>0.65879999999999994</v>
      </c>
      <c r="L36" s="170">
        <v>0.17975759999999996</v>
      </c>
      <c r="M36" s="170">
        <v>0</v>
      </c>
      <c r="N36" s="170">
        <f t="shared" si="1"/>
        <v>0.8385575999999999</v>
      </c>
      <c r="O36" s="159" t="s">
        <v>189</v>
      </c>
      <c r="P36" s="170">
        <v>0.65879999999999994</v>
      </c>
      <c r="Q36" s="170">
        <v>0.17975759999999996</v>
      </c>
      <c r="R36" s="170">
        <v>0</v>
      </c>
      <c r="S36" s="170">
        <f t="shared" si="2"/>
        <v>0.8385575999999999</v>
      </c>
      <c r="U36" s="136"/>
      <c r="V36" s="136"/>
    </row>
    <row r="37" spans="1:22" x14ac:dyDescent="0.25">
      <c r="A37" s="155">
        <v>30</v>
      </c>
      <c r="B37" s="155">
        <v>2420</v>
      </c>
      <c r="C37" s="165" t="s">
        <v>256</v>
      </c>
      <c r="D37" s="159" t="s">
        <v>189</v>
      </c>
      <c r="E37" s="232">
        <v>0</v>
      </c>
      <c r="F37" s="231">
        <v>0</v>
      </c>
      <c r="G37" s="170">
        <f t="shared" si="0"/>
        <v>0</v>
      </c>
      <c r="H37" s="170"/>
      <c r="I37" s="170"/>
      <c r="J37" s="159" t="s">
        <v>189</v>
      </c>
      <c r="K37" s="170">
        <v>0.46116000000000001</v>
      </c>
      <c r="L37" s="170">
        <v>9.6626599999999993E-2</v>
      </c>
      <c r="M37" s="170">
        <v>0</v>
      </c>
      <c r="N37" s="170">
        <f t="shared" si="1"/>
        <v>0.55778660000000002</v>
      </c>
      <c r="O37" s="159" t="s">
        <v>189</v>
      </c>
      <c r="P37" s="170">
        <v>0.46116000000000001</v>
      </c>
      <c r="Q37" s="170">
        <v>9.6626599999999993E-2</v>
      </c>
      <c r="R37" s="170">
        <v>0</v>
      </c>
      <c r="S37" s="170">
        <f t="shared" si="2"/>
        <v>0.55778660000000002</v>
      </c>
      <c r="U37" s="136"/>
      <c r="V37" s="136"/>
    </row>
    <row r="38" spans="1:22" x14ac:dyDescent="0.25">
      <c r="A38" s="155">
        <v>31</v>
      </c>
      <c r="B38" s="155" t="s">
        <v>238</v>
      </c>
      <c r="C38" s="165" t="s">
        <v>256</v>
      </c>
      <c r="D38" s="159" t="s">
        <v>189</v>
      </c>
      <c r="E38" s="232">
        <v>0.10469503199999999</v>
      </c>
      <c r="F38" s="231">
        <v>5.1281999999999994E-3</v>
      </c>
      <c r="G38" s="170">
        <f t="shared" si="0"/>
        <v>0.10982323199999999</v>
      </c>
      <c r="H38" s="170"/>
      <c r="I38" s="170"/>
      <c r="J38" s="159" t="s">
        <v>189</v>
      </c>
      <c r="K38" s="170">
        <v>0.46848000000000001</v>
      </c>
      <c r="L38" s="170">
        <v>0.17879579999999998</v>
      </c>
      <c r="M38" s="170">
        <v>0</v>
      </c>
      <c r="N38" s="170">
        <f t="shared" si="1"/>
        <v>0.64727579999999996</v>
      </c>
      <c r="O38" s="159" t="s">
        <v>189</v>
      </c>
      <c r="P38" s="170">
        <v>0.46848000000000001</v>
      </c>
      <c r="Q38" s="170">
        <v>0.17879579999999998</v>
      </c>
      <c r="R38" s="170">
        <v>0</v>
      </c>
      <c r="S38" s="170">
        <f t="shared" si="2"/>
        <v>0.64727579999999996</v>
      </c>
      <c r="U38" s="136"/>
      <c r="V38" s="136"/>
    </row>
    <row r="39" spans="1:22" x14ac:dyDescent="0.25">
      <c r="A39" s="155">
        <v>32</v>
      </c>
      <c r="B39" s="155" t="s">
        <v>239</v>
      </c>
      <c r="C39" s="165" t="s">
        <v>256</v>
      </c>
      <c r="D39" s="159" t="s">
        <v>189</v>
      </c>
      <c r="E39" s="232">
        <v>0.10469503199999999</v>
      </c>
      <c r="F39" s="231">
        <v>6.8376000000000001E-3</v>
      </c>
      <c r="G39" s="170">
        <f t="shared" si="0"/>
        <v>0.11153263199999999</v>
      </c>
      <c r="H39" s="170"/>
      <c r="I39" s="170"/>
      <c r="J39" s="159" t="s">
        <v>189</v>
      </c>
      <c r="K39" s="170">
        <v>0.66611999999999993</v>
      </c>
      <c r="L39" s="170">
        <v>0.1144394</v>
      </c>
      <c r="M39" s="170">
        <v>0</v>
      </c>
      <c r="N39" s="170">
        <f t="shared" si="1"/>
        <v>0.7805593999999999</v>
      </c>
      <c r="O39" s="159" t="s">
        <v>189</v>
      </c>
      <c r="P39" s="170">
        <v>0.66611999999999993</v>
      </c>
      <c r="Q39" s="170">
        <v>0.1144394</v>
      </c>
      <c r="R39" s="170">
        <v>0</v>
      </c>
      <c r="S39" s="170">
        <f t="shared" si="2"/>
        <v>0.7805593999999999</v>
      </c>
      <c r="U39" s="136"/>
      <c r="V39" s="136"/>
    </row>
    <row r="40" spans="1:22" x14ac:dyDescent="0.25">
      <c r="A40" s="155">
        <v>33</v>
      </c>
      <c r="B40" s="155" t="s">
        <v>240</v>
      </c>
      <c r="C40" s="165" t="s">
        <v>256</v>
      </c>
      <c r="D40" s="159" t="s">
        <v>189</v>
      </c>
      <c r="E40" s="232">
        <v>0.10469503199999999</v>
      </c>
      <c r="F40" s="231">
        <v>3.4188000000000001E-3</v>
      </c>
      <c r="G40" s="170">
        <f t="shared" si="0"/>
        <v>0.10811383199999999</v>
      </c>
      <c r="H40" s="170"/>
      <c r="I40" s="170"/>
      <c r="J40" s="159" t="s">
        <v>189</v>
      </c>
      <c r="K40" s="170">
        <v>0.65422499999999995</v>
      </c>
      <c r="L40" s="170">
        <v>0.2055564</v>
      </c>
      <c r="M40" s="170">
        <v>0</v>
      </c>
      <c r="N40" s="170">
        <f t="shared" si="1"/>
        <v>0.85978139999999992</v>
      </c>
      <c r="O40" s="159" t="s">
        <v>189</v>
      </c>
      <c r="P40" s="170">
        <v>0.65422499999999995</v>
      </c>
      <c r="Q40" s="170">
        <v>0.2055564</v>
      </c>
      <c r="R40" s="170">
        <v>0</v>
      </c>
      <c r="S40" s="170">
        <f t="shared" si="2"/>
        <v>0.85978139999999992</v>
      </c>
      <c r="U40" s="136"/>
      <c r="V40" s="136"/>
    </row>
    <row r="41" spans="1:22" x14ac:dyDescent="0.25">
      <c r="A41" s="155">
        <v>34</v>
      </c>
      <c r="B41" s="155" t="s">
        <v>241</v>
      </c>
      <c r="C41" s="165" t="s">
        <v>257</v>
      </c>
      <c r="D41" s="159" t="s">
        <v>189</v>
      </c>
      <c r="E41" s="232">
        <v>0.10469503199999999</v>
      </c>
      <c r="F41" s="231">
        <v>8.5470000000000008E-3</v>
      </c>
      <c r="G41" s="170">
        <f t="shared" si="0"/>
        <v>0.11324203199999999</v>
      </c>
      <c r="H41" s="170"/>
      <c r="I41" s="170"/>
      <c r="J41" s="159" t="s">
        <v>189</v>
      </c>
      <c r="K41" s="170">
        <v>0.63683999999999996</v>
      </c>
      <c r="L41" s="170">
        <v>0.26061479999999998</v>
      </c>
      <c r="M41" s="170">
        <v>0</v>
      </c>
      <c r="N41" s="170">
        <f t="shared" si="1"/>
        <v>0.8974548</v>
      </c>
      <c r="O41" s="159" t="s">
        <v>189</v>
      </c>
      <c r="P41" s="170">
        <v>0.63683999999999996</v>
      </c>
      <c r="Q41" s="170">
        <v>0.26061479999999998</v>
      </c>
      <c r="R41" s="170">
        <v>0</v>
      </c>
      <c r="S41" s="170">
        <f t="shared" si="2"/>
        <v>0.8974548</v>
      </c>
      <c r="U41" s="136"/>
      <c r="V41" s="136"/>
    </row>
    <row r="42" spans="1:22" x14ac:dyDescent="0.25">
      <c r="A42" s="155">
        <v>35</v>
      </c>
      <c r="B42" s="155" t="s">
        <v>242</v>
      </c>
      <c r="C42" s="165" t="s">
        <v>257</v>
      </c>
      <c r="D42" s="159" t="s">
        <v>189</v>
      </c>
      <c r="E42" s="232">
        <v>0.10469503199999999</v>
      </c>
      <c r="F42" s="231">
        <v>6.8376000000000001E-3</v>
      </c>
      <c r="G42" s="170">
        <f t="shared" si="0"/>
        <v>0.11153263199999999</v>
      </c>
      <c r="H42" s="170"/>
      <c r="I42" s="170"/>
      <c r="J42" s="159" t="s">
        <v>189</v>
      </c>
      <c r="K42" s="170">
        <v>0.66611999999999993</v>
      </c>
      <c r="L42" s="170">
        <v>0.21210599999999999</v>
      </c>
      <c r="M42" s="170">
        <v>0</v>
      </c>
      <c r="N42" s="170">
        <f t="shared" si="1"/>
        <v>0.87822599999999995</v>
      </c>
      <c r="O42" s="159" t="s">
        <v>189</v>
      </c>
      <c r="P42" s="170">
        <v>0.66611999999999993</v>
      </c>
      <c r="Q42" s="170">
        <v>0.21210599999999999</v>
      </c>
      <c r="R42" s="170">
        <v>0</v>
      </c>
      <c r="S42" s="170">
        <f t="shared" si="2"/>
        <v>0.87822599999999995</v>
      </c>
      <c r="U42" s="136"/>
      <c r="V42" s="136"/>
    </row>
    <row r="43" spans="1:22" x14ac:dyDescent="0.25">
      <c r="A43" s="155">
        <v>36</v>
      </c>
      <c r="B43" s="155" t="s">
        <v>243</v>
      </c>
      <c r="C43" s="165" t="s">
        <v>257</v>
      </c>
      <c r="D43" s="159" t="s">
        <v>189</v>
      </c>
      <c r="E43" s="232">
        <v>0</v>
      </c>
      <c r="F43" s="231">
        <v>0</v>
      </c>
      <c r="G43" s="170">
        <f t="shared" si="0"/>
        <v>0</v>
      </c>
      <c r="H43" s="170"/>
      <c r="I43" s="170"/>
      <c r="J43" s="159" t="s">
        <v>189</v>
      </c>
      <c r="K43" s="170">
        <v>0.65147999999999995</v>
      </c>
      <c r="L43" s="170">
        <v>0.20170079999999999</v>
      </c>
      <c r="M43" s="170">
        <v>0</v>
      </c>
      <c r="N43" s="170">
        <f t="shared" si="1"/>
        <v>0.85318079999999996</v>
      </c>
      <c r="O43" s="159" t="s">
        <v>189</v>
      </c>
      <c r="P43" s="170">
        <v>0.65147999999999995</v>
      </c>
      <c r="Q43" s="170">
        <v>0.20170079999999999</v>
      </c>
      <c r="R43" s="170">
        <v>0</v>
      </c>
      <c r="S43" s="170">
        <f t="shared" si="2"/>
        <v>0.85318079999999996</v>
      </c>
      <c r="U43" s="136"/>
      <c r="V43" s="136"/>
    </row>
    <row r="44" spans="1:22" x14ac:dyDescent="0.25">
      <c r="A44" s="155">
        <v>37</v>
      </c>
      <c r="B44" s="155">
        <v>2420</v>
      </c>
      <c r="C44" s="165" t="s">
        <v>257</v>
      </c>
      <c r="D44" s="159" t="s">
        <v>189</v>
      </c>
      <c r="E44" s="232">
        <v>0.10469503199999999</v>
      </c>
      <c r="F44" s="231">
        <v>0</v>
      </c>
      <c r="G44" s="170">
        <f t="shared" si="0"/>
        <v>0.10469503199999999</v>
      </c>
      <c r="H44" s="170"/>
      <c r="I44" s="170"/>
      <c r="J44" s="159" t="s">
        <v>189</v>
      </c>
      <c r="K44" s="170">
        <v>0.46116000000000001</v>
      </c>
      <c r="L44" s="170">
        <v>0.15976279999999998</v>
      </c>
      <c r="M44" s="170">
        <v>0</v>
      </c>
      <c r="N44" s="170">
        <f t="shared" si="1"/>
        <v>0.6209228</v>
      </c>
      <c r="O44" s="159" t="s">
        <v>189</v>
      </c>
      <c r="P44" s="170">
        <v>0.46116000000000001</v>
      </c>
      <c r="Q44" s="170">
        <v>0.15976279999999998</v>
      </c>
      <c r="R44" s="170">
        <v>0</v>
      </c>
      <c r="S44" s="170">
        <f t="shared" si="2"/>
        <v>0.6209228</v>
      </c>
      <c r="U44" s="136"/>
      <c r="V44" s="136"/>
    </row>
    <row r="45" spans="1:22" x14ac:dyDescent="0.25">
      <c r="A45" s="155">
        <v>38</v>
      </c>
      <c r="B45" s="155" t="s">
        <v>244</v>
      </c>
      <c r="C45" s="165" t="s">
        <v>257</v>
      </c>
      <c r="D45" s="159" t="s">
        <v>189</v>
      </c>
      <c r="E45" s="232">
        <v>0</v>
      </c>
      <c r="F45" s="231">
        <v>0</v>
      </c>
      <c r="G45" s="170">
        <f t="shared" si="0"/>
        <v>0</v>
      </c>
      <c r="H45" s="170"/>
      <c r="I45" s="170"/>
      <c r="J45" s="159" t="s">
        <v>189</v>
      </c>
      <c r="K45" s="170">
        <v>0.37514999999999998</v>
      </c>
      <c r="L45" s="170">
        <v>0.12854979999999999</v>
      </c>
      <c r="M45" s="170">
        <v>0</v>
      </c>
      <c r="N45" s="170">
        <f t="shared" si="1"/>
        <v>0.50369979999999992</v>
      </c>
      <c r="O45" s="159" t="s">
        <v>189</v>
      </c>
      <c r="P45" s="170">
        <v>0.37514999999999998</v>
      </c>
      <c r="Q45" s="170">
        <v>0.12854979999999999</v>
      </c>
      <c r="R45" s="170">
        <v>0</v>
      </c>
      <c r="S45" s="170">
        <f t="shared" si="2"/>
        <v>0.50369979999999992</v>
      </c>
      <c r="U45" s="136"/>
      <c r="V45" s="136"/>
    </row>
    <row r="46" spans="1:22" x14ac:dyDescent="0.25">
      <c r="A46" s="155">
        <v>39</v>
      </c>
      <c r="B46" s="155" t="s">
        <v>245</v>
      </c>
      <c r="C46" s="158" t="s">
        <v>258</v>
      </c>
      <c r="D46" s="159" t="s">
        <v>189</v>
      </c>
      <c r="E46" s="232">
        <v>2.4754499999999999E-2</v>
      </c>
      <c r="F46" s="231">
        <v>1.36752E-2</v>
      </c>
      <c r="G46" s="170">
        <f t="shared" si="0"/>
        <v>3.8429699999999997E-2</v>
      </c>
      <c r="H46" s="170"/>
      <c r="I46" s="170"/>
      <c r="J46" s="159" t="s">
        <v>189</v>
      </c>
      <c r="K46" s="170">
        <v>2.5961999999999999E-2</v>
      </c>
      <c r="L46" s="170">
        <v>6.4478199999999999E-2</v>
      </c>
      <c r="M46" s="170">
        <v>0</v>
      </c>
      <c r="N46" s="170">
        <f t="shared" si="1"/>
        <v>9.0440199999999998E-2</v>
      </c>
      <c r="O46" s="159" t="s">
        <v>189</v>
      </c>
      <c r="P46" s="170">
        <v>2.5961999999999999E-2</v>
      </c>
      <c r="Q46" s="170">
        <v>6.4478199999999999E-2</v>
      </c>
      <c r="R46" s="170">
        <v>0</v>
      </c>
      <c r="S46" s="170">
        <f t="shared" si="2"/>
        <v>9.0440199999999998E-2</v>
      </c>
    </row>
    <row r="47" spans="1:22" x14ac:dyDescent="0.25">
      <c r="A47" s="155">
        <v>40</v>
      </c>
      <c r="B47" s="155" t="s">
        <v>246</v>
      </c>
      <c r="C47" s="165" t="s">
        <v>259</v>
      </c>
      <c r="D47" s="159" t="s">
        <v>189</v>
      </c>
      <c r="E47" s="232">
        <v>2.4754499999999999E-2</v>
      </c>
      <c r="F47" s="231">
        <v>1.36752E-2</v>
      </c>
      <c r="G47" s="170">
        <f t="shared" si="0"/>
        <v>3.8429699999999997E-2</v>
      </c>
      <c r="H47" s="170"/>
      <c r="I47" s="170"/>
      <c r="J47" s="159" t="s">
        <v>189</v>
      </c>
      <c r="K47" s="170">
        <v>5.1923999999999998E-2</v>
      </c>
      <c r="L47" s="170">
        <v>8.0803840000000002E-2</v>
      </c>
      <c r="M47" s="170">
        <v>0</v>
      </c>
      <c r="N47" s="170">
        <f t="shared" si="1"/>
        <v>0.13272783999999999</v>
      </c>
      <c r="O47" s="159" t="s">
        <v>189</v>
      </c>
      <c r="P47" s="170">
        <v>5.1923999999999998E-2</v>
      </c>
      <c r="Q47" s="170">
        <v>8.0803840000000002E-2</v>
      </c>
      <c r="R47" s="170">
        <v>0</v>
      </c>
      <c r="S47" s="170">
        <f t="shared" si="2"/>
        <v>0.13272783999999999</v>
      </c>
      <c r="U47" s="136"/>
      <c r="V47" s="136"/>
    </row>
    <row r="48" spans="1:22" x14ac:dyDescent="0.25">
      <c r="A48" s="155">
        <v>41</v>
      </c>
      <c r="B48" s="155" t="s">
        <v>247</v>
      </c>
      <c r="C48" s="165" t="s">
        <v>260</v>
      </c>
      <c r="D48" s="159" t="s">
        <v>189</v>
      </c>
      <c r="E48" s="232">
        <v>2.4754499999999999E-2</v>
      </c>
      <c r="F48" s="231">
        <v>6.8376000000000001E-3</v>
      </c>
      <c r="G48" s="170">
        <f t="shared" si="0"/>
        <v>3.1592099999999998E-2</v>
      </c>
      <c r="H48" s="170"/>
      <c r="I48" s="170"/>
      <c r="J48" s="159" t="s">
        <v>189</v>
      </c>
      <c r="K48" s="170">
        <v>5.1923999999999998E-2</v>
      </c>
      <c r="L48" s="171">
        <v>3.9316199999999996E-2</v>
      </c>
      <c r="M48" s="170">
        <v>0</v>
      </c>
      <c r="N48" s="170">
        <f t="shared" si="1"/>
        <v>9.1240199999999994E-2</v>
      </c>
      <c r="O48" s="159" t="s">
        <v>189</v>
      </c>
      <c r="P48" s="170">
        <v>5.1923999999999998E-2</v>
      </c>
      <c r="Q48" s="170">
        <v>3.9316199999999996E-2</v>
      </c>
      <c r="R48" s="170">
        <v>0</v>
      </c>
      <c r="S48" s="170">
        <f t="shared" si="2"/>
        <v>9.1240199999999994E-2</v>
      </c>
      <c r="U48" s="136"/>
      <c r="V48" s="136"/>
    </row>
    <row r="49" spans="1:22" x14ac:dyDescent="0.25">
      <c r="A49" s="155">
        <v>42</v>
      </c>
      <c r="B49" s="155" t="s">
        <v>248</v>
      </c>
      <c r="C49" s="165" t="s">
        <v>260</v>
      </c>
      <c r="D49" s="159" t="s">
        <v>189</v>
      </c>
      <c r="E49" s="232">
        <v>2.4754499999999999E-2</v>
      </c>
      <c r="F49" s="231">
        <v>3.4188000000000001E-3</v>
      </c>
      <c r="G49" s="170">
        <f t="shared" si="0"/>
        <v>2.8173299999999998E-2</v>
      </c>
      <c r="H49" s="170"/>
      <c r="I49" s="170"/>
      <c r="J49" s="159" t="s">
        <v>189</v>
      </c>
      <c r="K49" s="170">
        <v>4.2841219999999278E-2</v>
      </c>
      <c r="L49" s="170">
        <v>7.4167799999999992E-2</v>
      </c>
      <c r="M49" s="170">
        <v>0</v>
      </c>
      <c r="N49" s="170">
        <f t="shared" si="1"/>
        <v>0.11700901999999927</v>
      </c>
      <c r="O49" s="159" t="s">
        <v>189</v>
      </c>
      <c r="P49" s="170">
        <v>4.2841219999999278E-2</v>
      </c>
      <c r="Q49" s="170">
        <v>7.4167799999999992E-2</v>
      </c>
      <c r="R49" s="170">
        <v>0</v>
      </c>
      <c r="S49" s="170">
        <f t="shared" si="2"/>
        <v>0.11700901999999927</v>
      </c>
      <c r="U49" s="136"/>
      <c r="V49" s="136"/>
    </row>
    <row r="50" spans="1:22" x14ac:dyDescent="0.25">
      <c r="A50" s="155">
        <v>43</v>
      </c>
      <c r="B50" s="155" t="s">
        <v>261</v>
      </c>
      <c r="C50" s="165" t="s">
        <v>249</v>
      </c>
      <c r="D50" s="159" t="s">
        <v>154</v>
      </c>
      <c r="E50" s="232">
        <v>0</v>
      </c>
      <c r="F50" s="232">
        <v>0</v>
      </c>
      <c r="G50" s="170">
        <f t="shared" si="0"/>
        <v>0</v>
      </c>
      <c r="H50" s="170"/>
      <c r="I50" s="170"/>
      <c r="J50" s="159" t="s">
        <v>154</v>
      </c>
      <c r="K50" s="170">
        <v>0.10033299999999999</v>
      </c>
      <c r="L50" s="170">
        <v>1.3500399999999999E-2</v>
      </c>
      <c r="M50" s="170">
        <v>0</v>
      </c>
      <c r="N50" s="170">
        <f t="shared" si="1"/>
        <v>0.11383339999999999</v>
      </c>
      <c r="O50" s="159" t="s">
        <v>154</v>
      </c>
      <c r="P50" s="170">
        <v>0.10033299999999999</v>
      </c>
      <c r="Q50" s="170">
        <v>1.3500399999999999E-2</v>
      </c>
      <c r="R50" s="170">
        <v>0</v>
      </c>
      <c r="S50" s="170">
        <f t="shared" si="2"/>
        <v>0.11383339999999999</v>
      </c>
      <c r="U50" s="136"/>
      <c r="V50" s="136"/>
    </row>
    <row r="51" spans="1:22" x14ac:dyDescent="0.25">
      <c r="A51" s="155">
        <v>44</v>
      </c>
      <c r="B51" s="155" t="s">
        <v>262</v>
      </c>
      <c r="C51" s="165" t="s">
        <v>249</v>
      </c>
      <c r="D51" s="159" t="s">
        <v>154</v>
      </c>
      <c r="E51" s="232">
        <v>0</v>
      </c>
      <c r="F51" s="232">
        <v>0</v>
      </c>
      <c r="G51" s="170">
        <f t="shared" si="0"/>
        <v>0</v>
      </c>
      <c r="H51" s="170"/>
      <c r="I51" s="170"/>
      <c r="J51" s="159" t="s">
        <v>154</v>
      </c>
      <c r="K51" s="170">
        <v>0.17861537999999999</v>
      </c>
      <c r="L51" s="170">
        <v>6.0286100000000002E-2</v>
      </c>
      <c r="M51" s="170">
        <v>0</v>
      </c>
      <c r="N51" s="170">
        <f t="shared" si="1"/>
        <v>0.23890148</v>
      </c>
      <c r="O51" s="159" t="s">
        <v>154</v>
      </c>
      <c r="P51" s="170">
        <v>0.17861537999999999</v>
      </c>
      <c r="Q51" s="170">
        <v>6.0286100000000002E-2</v>
      </c>
      <c r="R51" s="170">
        <v>0</v>
      </c>
      <c r="S51" s="170">
        <f t="shared" si="2"/>
        <v>0.23890148</v>
      </c>
      <c r="U51" s="136"/>
      <c r="V51" s="136"/>
    </row>
    <row r="52" spans="1:22" x14ac:dyDescent="0.25">
      <c r="A52" s="155">
        <v>45</v>
      </c>
      <c r="B52" s="155" t="s">
        <v>305</v>
      </c>
      <c r="C52" s="165" t="s">
        <v>249</v>
      </c>
      <c r="D52" s="159" t="s">
        <v>154</v>
      </c>
      <c r="E52" s="232">
        <v>0</v>
      </c>
      <c r="F52" s="232">
        <v>0</v>
      </c>
      <c r="G52" s="170">
        <f t="shared" si="0"/>
        <v>0</v>
      </c>
      <c r="H52" s="170"/>
      <c r="I52" s="170"/>
      <c r="J52" s="159" t="s">
        <v>154</v>
      </c>
      <c r="K52" s="170">
        <v>8.5999999999999993E-2</v>
      </c>
      <c r="L52" s="170">
        <v>1.3073199999999998E-2</v>
      </c>
      <c r="M52" s="170">
        <v>0</v>
      </c>
      <c r="N52" s="170">
        <f t="shared" si="1"/>
        <v>9.9073199999999986E-2</v>
      </c>
      <c r="O52" s="159" t="s">
        <v>154</v>
      </c>
      <c r="P52" s="170">
        <v>8.5999999999999993E-2</v>
      </c>
      <c r="Q52" s="170">
        <v>1.3073199999999998E-2</v>
      </c>
      <c r="R52" s="170">
        <v>0</v>
      </c>
      <c r="S52" s="170">
        <f t="shared" si="2"/>
        <v>9.9073199999999986E-2</v>
      </c>
      <c r="U52" s="136"/>
      <c r="V52" s="136"/>
    </row>
    <row r="53" spans="1:22" x14ac:dyDescent="0.25">
      <c r="A53" s="155">
        <v>46</v>
      </c>
      <c r="B53" s="155" t="s">
        <v>263</v>
      </c>
      <c r="C53" s="165" t="s">
        <v>249</v>
      </c>
      <c r="D53" s="159" t="s">
        <v>154</v>
      </c>
      <c r="E53" s="232">
        <v>0</v>
      </c>
      <c r="F53" s="232">
        <v>0</v>
      </c>
      <c r="G53" s="170">
        <f t="shared" si="0"/>
        <v>0</v>
      </c>
      <c r="H53" s="170"/>
      <c r="I53" s="170"/>
      <c r="J53" s="159" t="s">
        <v>154</v>
      </c>
      <c r="K53" s="170">
        <v>8.5999999999999993E-2</v>
      </c>
      <c r="L53" s="170">
        <v>2.5929000000000001E-2</v>
      </c>
      <c r="M53" s="170">
        <v>0</v>
      </c>
      <c r="N53" s="170">
        <f t="shared" si="1"/>
        <v>0.111929</v>
      </c>
      <c r="O53" s="159" t="s">
        <v>154</v>
      </c>
      <c r="P53" s="170">
        <v>8.5999999999999993E-2</v>
      </c>
      <c r="Q53" s="170">
        <v>2.5929000000000001E-2</v>
      </c>
      <c r="R53" s="170">
        <v>0</v>
      </c>
      <c r="S53" s="170">
        <f t="shared" si="2"/>
        <v>0.111929</v>
      </c>
      <c r="U53" s="136"/>
      <c r="V53" s="136"/>
    </row>
    <row r="54" spans="1:22" x14ac:dyDescent="0.25">
      <c r="A54" s="155">
        <v>47</v>
      </c>
      <c r="B54" s="155" t="s">
        <v>304</v>
      </c>
      <c r="C54" s="165" t="s">
        <v>249</v>
      </c>
      <c r="D54" s="159" t="s">
        <v>154</v>
      </c>
      <c r="E54" s="232">
        <v>0</v>
      </c>
      <c r="F54" s="232">
        <v>0</v>
      </c>
      <c r="G54" s="170">
        <f t="shared" si="0"/>
        <v>0</v>
      </c>
      <c r="H54" s="170"/>
      <c r="I54" s="170"/>
      <c r="J54" s="159" t="s">
        <v>154</v>
      </c>
      <c r="K54" s="170">
        <v>0</v>
      </c>
      <c r="L54" s="170">
        <v>3.1154999999999999E-2</v>
      </c>
      <c r="M54" s="170">
        <v>0</v>
      </c>
      <c r="N54" s="170">
        <f t="shared" si="1"/>
        <v>3.1154999999999999E-2</v>
      </c>
      <c r="O54" s="159" t="s">
        <v>154</v>
      </c>
      <c r="P54" s="170">
        <v>0</v>
      </c>
      <c r="Q54" s="170">
        <v>3.1154999999999999E-2</v>
      </c>
      <c r="R54" s="170">
        <v>0</v>
      </c>
      <c r="S54" s="170">
        <f t="shared" si="2"/>
        <v>3.1154999999999999E-2</v>
      </c>
      <c r="U54" s="136"/>
      <c r="V54" s="136"/>
    </row>
    <row r="55" spans="1:22" x14ac:dyDescent="0.25">
      <c r="A55" s="155">
        <v>48</v>
      </c>
      <c r="B55" s="155" t="s">
        <v>264</v>
      </c>
      <c r="C55" s="165" t="s">
        <v>253</v>
      </c>
      <c r="D55" s="159" t="s">
        <v>154</v>
      </c>
      <c r="E55" s="232">
        <v>0</v>
      </c>
      <c r="F55" s="232">
        <v>0</v>
      </c>
      <c r="G55" s="170">
        <f t="shared" si="0"/>
        <v>0</v>
      </c>
      <c r="H55" s="170"/>
      <c r="I55" s="170"/>
      <c r="J55" s="159" t="s">
        <v>154</v>
      </c>
      <c r="K55" s="170">
        <v>0.28000000000000003</v>
      </c>
      <c r="L55" s="170">
        <v>7.5525600000000012E-2</v>
      </c>
      <c r="M55" s="170">
        <v>0</v>
      </c>
      <c r="N55" s="170">
        <f t="shared" si="1"/>
        <v>0.35552560000000005</v>
      </c>
      <c r="O55" s="159" t="s">
        <v>154</v>
      </c>
      <c r="P55" s="170">
        <v>0.28000000000000003</v>
      </c>
      <c r="Q55" s="170">
        <v>7.5525600000000012E-2</v>
      </c>
      <c r="R55" s="170">
        <v>0</v>
      </c>
      <c r="S55" s="170">
        <f t="shared" si="2"/>
        <v>0.35552560000000005</v>
      </c>
      <c r="U55" s="136"/>
      <c r="V55" s="136"/>
    </row>
    <row r="56" spans="1:22" x14ac:dyDescent="0.25">
      <c r="A56" s="155">
        <v>49</v>
      </c>
      <c r="B56" s="155" t="s">
        <v>265</v>
      </c>
      <c r="C56" s="165" t="s">
        <v>188</v>
      </c>
      <c r="D56" s="159" t="s">
        <v>189</v>
      </c>
      <c r="E56" s="232">
        <v>0</v>
      </c>
      <c r="F56" s="232">
        <v>0</v>
      </c>
      <c r="G56" s="170">
        <f t="shared" si="0"/>
        <v>0</v>
      </c>
      <c r="H56" s="170"/>
      <c r="I56" s="170"/>
      <c r="J56" s="159" t="s">
        <v>189</v>
      </c>
      <c r="K56" s="170">
        <v>0.49587999999999999</v>
      </c>
      <c r="L56" s="170">
        <v>0.35919279999999998</v>
      </c>
      <c r="M56" s="170">
        <v>0</v>
      </c>
      <c r="N56" s="170">
        <f t="shared" si="1"/>
        <v>0.85507279999999997</v>
      </c>
      <c r="O56" s="159" t="s">
        <v>189</v>
      </c>
      <c r="P56" s="170">
        <v>0.49587999999999999</v>
      </c>
      <c r="Q56" s="170">
        <v>0.35919279999999998</v>
      </c>
      <c r="R56" s="170">
        <v>0</v>
      </c>
      <c r="S56" s="170">
        <f t="shared" si="2"/>
        <v>0.85507279999999997</v>
      </c>
      <c r="U56" s="136"/>
      <c r="V56" s="136"/>
    </row>
    <row r="57" spans="1:22" x14ac:dyDescent="0.25">
      <c r="A57" s="155">
        <v>51</v>
      </c>
      <c r="B57" s="155" t="s">
        <v>266</v>
      </c>
      <c r="C57" s="165" t="s">
        <v>258</v>
      </c>
      <c r="D57" s="159" t="s">
        <v>189</v>
      </c>
      <c r="E57" s="232">
        <v>0</v>
      </c>
      <c r="F57" s="232">
        <v>0</v>
      </c>
      <c r="G57" s="170">
        <f t="shared" si="0"/>
        <v>0</v>
      </c>
      <c r="H57" s="170"/>
      <c r="I57" s="170"/>
      <c r="J57" s="159" t="s">
        <v>189</v>
      </c>
      <c r="K57" s="170">
        <v>0</v>
      </c>
      <c r="L57" s="170">
        <v>7.4703999999999994E-3</v>
      </c>
      <c r="M57" s="170">
        <v>0</v>
      </c>
      <c r="N57" s="170">
        <f t="shared" si="1"/>
        <v>7.4703999999999994E-3</v>
      </c>
      <c r="O57" s="159" t="s">
        <v>189</v>
      </c>
      <c r="P57" s="170">
        <v>0</v>
      </c>
      <c r="Q57" s="170">
        <v>7.4703999999999994E-3</v>
      </c>
      <c r="R57" s="170">
        <v>0</v>
      </c>
      <c r="S57" s="170">
        <f t="shared" si="2"/>
        <v>7.4703999999999994E-3</v>
      </c>
      <c r="U57" s="136"/>
      <c r="V57" s="136"/>
    </row>
    <row r="58" spans="1:22" x14ac:dyDescent="0.25">
      <c r="A58" s="155">
        <v>52</v>
      </c>
      <c r="B58" s="155">
        <v>437</v>
      </c>
      <c r="C58" s="165" t="s">
        <v>252</v>
      </c>
      <c r="D58" s="159" t="s">
        <v>154</v>
      </c>
      <c r="E58" s="232">
        <v>0</v>
      </c>
      <c r="F58" s="232">
        <v>0</v>
      </c>
      <c r="G58" s="170">
        <f t="shared" si="0"/>
        <v>0</v>
      </c>
      <c r="H58" s="170"/>
      <c r="I58" s="170"/>
      <c r="J58" s="159" t="s">
        <v>154</v>
      </c>
      <c r="K58" s="170">
        <v>0</v>
      </c>
      <c r="L58" s="170">
        <v>6.0867199999999996E-2</v>
      </c>
      <c r="M58" s="170">
        <v>0</v>
      </c>
      <c r="N58" s="170">
        <f t="shared" si="1"/>
        <v>6.0867199999999996E-2</v>
      </c>
      <c r="O58" s="159" t="s">
        <v>154</v>
      </c>
      <c r="P58" s="170">
        <v>0</v>
      </c>
      <c r="Q58" s="170">
        <v>6.0867199999999996E-2</v>
      </c>
      <c r="R58" s="170">
        <v>0</v>
      </c>
      <c r="S58" s="170">
        <f t="shared" si="2"/>
        <v>6.0867199999999996E-2</v>
      </c>
      <c r="U58" s="136"/>
      <c r="V58" s="136"/>
    </row>
    <row r="59" spans="1:22" x14ac:dyDescent="0.25">
      <c r="A59" s="155">
        <v>53</v>
      </c>
      <c r="B59" s="155" t="s">
        <v>215</v>
      </c>
      <c r="C59" s="165" t="s">
        <v>251</v>
      </c>
      <c r="D59" s="159" t="s">
        <v>154</v>
      </c>
      <c r="E59" s="232">
        <v>0</v>
      </c>
      <c r="F59" s="232">
        <v>8.5470000000000008E-3</v>
      </c>
      <c r="G59" s="170">
        <f t="shared" si="0"/>
        <v>8.5470000000000008E-3</v>
      </c>
      <c r="H59" s="170"/>
      <c r="I59" s="170"/>
      <c r="J59" s="159" t="s">
        <v>154</v>
      </c>
      <c r="K59" s="170">
        <v>8.0769229999999997E-2</v>
      </c>
      <c r="L59" s="170">
        <v>4.3589699999999995E-2</v>
      </c>
      <c r="M59" s="170">
        <v>0</v>
      </c>
      <c r="N59" s="170">
        <f t="shared" si="1"/>
        <v>0.12435892999999999</v>
      </c>
      <c r="O59" s="159" t="s">
        <v>154</v>
      </c>
      <c r="P59" s="170">
        <v>8.0769229999999997E-2</v>
      </c>
      <c r="Q59" s="170">
        <v>4.3589699999999995E-2</v>
      </c>
      <c r="R59" s="170">
        <v>0</v>
      </c>
      <c r="S59" s="170">
        <f t="shared" si="2"/>
        <v>0.12435892999999999</v>
      </c>
      <c r="U59" s="136"/>
      <c r="V59" s="136"/>
    </row>
    <row r="60" spans="1:22" x14ac:dyDescent="0.25">
      <c r="A60" s="155">
        <v>54</v>
      </c>
      <c r="B60" s="155" t="s">
        <v>216</v>
      </c>
      <c r="C60" s="165" t="s">
        <v>251</v>
      </c>
      <c r="D60" s="159" t="s">
        <v>154</v>
      </c>
      <c r="E60" s="232">
        <v>0</v>
      </c>
      <c r="F60" s="232">
        <v>0</v>
      </c>
      <c r="G60" s="170">
        <f t="shared" si="0"/>
        <v>0</v>
      </c>
      <c r="H60" s="170"/>
      <c r="I60" s="170"/>
      <c r="J60" s="159" t="s">
        <v>154</v>
      </c>
      <c r="K60" s="170">
        <v>0.34458522999999996</v>
      </c>
      <c r="L60" s="170">
        <v>4.1025599999999995E-2</v>
      </c>
      <c r="M60" s="170">
        <v>0</v>
      </c>
      <c r="N60" s="170">
        <f t="shared" si="1"/>
        <v>0.38561082999999996</v>
      </c>
      <c r="O60" s="159" t="s">
        <v>154</v>
      </c>
      <c r="P60" s="170">
        <v>0.34458522999999996</v>
      </c>
      <c r="Q60" s="170">
        <v>4.1025599999999995E-2</v>
      </c>
      <c r="R60" s="170">
        <v>0</v>
      </c>
      <c r="S60" s="170">
        <f t="shared" si="2"/>
        <v>0.38561082999999996</v>
      </c>
      <c r="U60" s="136"/>
      <c r="V60" s="136"/>
    </row>
    <row r="61" spans="1:22" x14ac:dyDescent="0.25">
      <c r="A61" s="155">
        <v>55</v>
      </c>
      <c r="B61" s="155">
        <v>114</v>
      </c>
      <c r="C61" s="165" t="s">
        <v>188</v>
      </c>
      <c r="D61" s="159" t="s">
        <v>189</v>
      </c>
      <c r="E61" s="232">
        <v>0</v>
      </c>
      <c r="F61" s="232">
        <v>0</v>
      </c>
      <c r="G61" s="170">
        <f t="shared" si="0"/>
        <v>0</v>
      </c>
      <c r="H61" s="170"/>
      <c r="I61" s="170"/>
      <c r="J61" s="159" t="s">
        <v>189</v>
      </c>
      <c r="K61" s="170">
        <v>0</v>
      </c>
      <c r="L61" s="170">
        <v>6.9256999999999999E-2</v>
      </c>
      <c r="M61" s="170">
        <v>0</v>
      </c>
      <c r="N61" s="170">
        <f t="shared" si="1"/>
        <v>6.9256999999999999E-2</v>
      </c>
      <c r="O61" s="159" t="s">
        <v>189</v>
      </c>
      <c r="P61" s="170">
        <v>0</v>
      </c>
      <c r="Q61" s="170">
        <v>6.9256999999999999E-2</v>
      </c>
      <c r="R61" s="170">
        <v>0</v>
      </c>
      <c r="S61" s="170">
        <f t="shared" si="2"/>
        <v>6.9256999999999999E-2</v>
      </c>
      <c r="U61" s="136"/>
      <c r="V61" s="136"/>
    </row>
    <row r="62" spans="1:22" x14ac:dyDescent="0.25">
      <c r="A62" s="155">
        <v>56</v>
      </c>
      <c r="B62" s="155" t="s">
        <v>295</v>
      </c>
      <c r="C62" s="165" t="s">
        <v>249</v>
      </c>
      <c r="D62" s="159" t="s">
        <v>189</v>
      </c>
      <c r="E62" s="232">
        <v>0</v>
      </c>
      <c r="F62" s="232">
        <v>0</v>
      </c>
      <c r="G62" s="170">
        <f t="shared" si="0"/>
        <v>0</v>
      </c>
      <c r="H62" s="170"/>
      <c r="I62" s="170"/>
      <c r="J62" s="159" t="s">
        <v>189</v>
      </c>
      <c r="K62" s="170">
        <v>4.2999999999999997E-2</v>
      </c>
      <c r="L62" s="170">
        <v>1.36752E-2</v>
      </c>
      <c r="M62" s="170">
        <v>0</v>
      </c>
      <c r="N62" s="170">
        <f t="shared" si="1"/>
        <v>5.6675199999999995E-2</v>
      </c>
      <c r="O62" s="159" t="s">
        <v>189</v>
      </c>
      <c r="P62" s="170">
        <v>4.2999999999999997E-2</v>
      </c>
      <c r="Q62" s="170">
        <v>1.36752E-2</v>
      </c>
      <c r="R62" s="170">
        <v>0</v>
      </c>
      <c r="S62" s="170">
        <f t="shared" si="2"/>
        <v>5.6675199999999995E-2</v>
      </c>
      <c r="U62" s="136"/>
      <c r="V62" s="136"/>
    </row>
    <row r="63" spans="1:22" x14ac:dyDescent="0.25">
      <c r="A63" s="155">
        <v>57</v>
      </c>
      <c r="B63" s="155" t="s">
        <v>296</v>
      </c>
      <c r="C63" s="165" t="s">
        <v>253</v>
      </c>
      <c r="D63" s="159" t="s">
        <v>189</v>
      </c>
      <c r="E63" s="232">
        <v>0</v>
      </c>
      <c r="F63" s="232">
        <v>0</v>
      </c>
      <c r="G63" s="170">
        <f t="shared" si="0"/>
        <v>0</v>
      </c>
      <c r="H63" s="170"/>
      <c r="I63" s="170"/>
      <c r="J63" s="159" t="s">
        <v>189</v>
      </c>
      <c r="K63" s="170">
        <v>8.0768999999999994E-2</v>
      </c>
      <c r="L63" s="170">
        <v>6.1538400000000007E-2</v>
      </c>
      <c r="M63" s="170">
        <v>0</v>
      </c>
      <c r="N63" s="170">
        <f t="shared" si="1"/>
        <v>0.1423074</v>
      </c>
      <c r="O63" s="159" t="s">
        <v>189</v>
      </c>
      <c r="P63" s="170">
        <v>8.0768999999999994E-2</v>
      </c>
      <c r="Q63" s="170">
        <v>6.1538400000000007E-2</v>
      </c>
      <c r="R63" s="170">
        <v>0</v>
      </c>
      <c r="S63" s="170">
        <f t="shared" si="2"/>
        <v>0.1423074</v>
      </c>
      <c r="U63" s="136"/>
      <c r="V63" s="136"/>
    </row>
    <row r="64" spans="1:22" x14ac:dyDescent="0.25">
      <c r="A64" s="155">
        <v>58</v>
      </c>
      <c r="B64" s="155">
        <v>655</v>
      </c>
      <c r="C64" s="165" t="s">
        <v>188</v>
      </c>
      <c r="D64" s="159" t="s">
        <v>189</v>
      </c>
      <c r="E64" s="232">
        <v>0.14474231200000001</v>
      </c>
      <c r="F64" s="232">
        <v>5.9829E-2</v>
      </c>
      <c r="G64" s="170">
        <f t="shared" si="0"/>
        <v>0.20457131200000001</v>
      </c>
      <c r="H64" s="170"/>
      <c r="I64" s="170"/>
      <c r="J64" s="159" t="s">
        <v>189</v>
      </c>
      <c r="K64" s="170">
        <v>9.1079999999999994E-2</v>
      </c>
      <c r="L64" s="170">
        <v>0.10427339999999999</v>
      </c>
      <c r="M64" s="170">
        <v>0</v>
      </c>
      <c r="N64" s="170">
        <f t="shared" si="1"/>
        <v>0.19535339999999998</v>
      </c>
      <c r="O64" s="159" t="s">
        <v>189</v>
      </c>
      <c r="P64" s="170">
        <v>9.1079999999999994E-2</v>
      </c>
      <c r="Q64" s="170">
        <v>0.10427339999999999</v>
      </c>
      <c r="R64" s="170">
        <v>0</v>
      </c>
      <c r="S64" s="170">
        <f t="shared" si="2"/>
        <v>0.19535339999999998</v>
      </c>
      <c r="U64" s="136"/>
      <c r="V64" s="136"/>
    </row>
    <row r="65" spans="1:22" x14ac:dyDescent="0.25">
      <c r="A65" s="155">
        <v>59</v>
      </c>
      <c r="B65" s="155"/>
      <c r="C65" s="165" t="s">
        <v>298</v>
      </c>
      <c r="D65" s="159" t="s">
        <v>189</v>
      </c>
      <c r="E65" s="232">
        <v>0</v>
      </c>
      <c r="F65" s="232">
        <v>8.5470000000000001E-4</v>
      </c>
      <c r="G65" s="170">
        <f t="shared" si="0"/>
        <v>8.5470000000000001E-4</v>
      </c>
      <c r="H65" s="170"/>
      <c r="I65" s="170"/>
      <c r="J65" s="159" t="s">
        <v>189</v>
      </c>
      <c r="K65" s="170">
        <v>0</v>
      </c>
      <c r="L65" s="170">
        <v>1.188033E-2</v>
      </c>
      <c r="M65" s="170">
        <v>0</v>
      </c>
      <c r="N65" s="170">
        <f t="shared" si="1"/>
        <v>1.188033E-2</v>
      </c>
      <c r="O65" s="159" t="s">
        <v>189</v>
      </c>
      <c r="P65" s="170">
        <v>0</v>
      </c>
      <c r="Q65" s="170">
        <v>1.188033E-2</v>
      </c>
      <c r="R65" s="170">
        <v>0</v>
      </c>
      <c r="S65" s="170">
        <f t="shared" si="2"/>
        <v>1.188033E-2</v>
      </c>
      <c r="U65" s="136"/>
      <c r="V65" s="136"/>
    </row>
    <row r="66" spans="1:22" x14ac:dyDescent="0.25">
      <c r="A66" s="155">
        <v>60</v>
      </c>
      <c r="B66" s="155"/>
      <c r="C66" s="165" t="s">
        <v>299</v>
      </c>
      <c r="D66" s="159" t="s">
        <v>189</v>
      </c>
      <c r="E66" s="232">
        <v>0</v>
      </c>
      <c r="F66" s="232">
        <v>0</v>
      </c>
      <c r="G66" s="170">
        <f t="shared" si="0"/>
        <v>0</v>
      </c>
      <c r="H66" s="170"/>
      <c r="I66" s="170"/>
      <c r="J66" s="159" t="s">
        <v>189</v>
      </c>
      <c r="K66" s="170">
        <v>0</v>
      </c>
      <c r="L66" s="170">
        <v>1.1965799999999999E-2</v>
      </c>
      <c r="M66" s="170">
        <v>0</v>
      </c>
      <c r="N66" s="170">
        <f t="shared" si="1"/>
        <v>1.1965799999999999E-2</v>
      </c>
      <c r="O66" s="159" t="s">
        <v>189</v>
      </c>
      <c r="P66" s="170">
        <v>0</v>
      </c>
      <c r="Q66" s="170">
        <v>1.1965799999999999E-2</v>
      </c>
      <c r="R66" s="170">
        <v>0</v>
      </c>
      <c r="S66" s="170">
        <f t="shared" si="2"/>
        <v>1.1965799999999999E-2</v>
      </c>
      <c r="U66" s="136"/>
      <c r="V66" s="136"/>
    </row>
    <row r="67" spans="1:22" x14ac:dyDescent="0.25">
      <c r="A67" s="155">
        <v>61</v>
      </c>
      <c r="B67" s="155"/>
      <c r="C67" s="165" t="s">
        <v>300</v>
      </c>
      <c r="D67" s="159" t="s">
        <v>189</v>
      </c>
      <c r="E67" s="232">
        <v>0</v>
      </c>
      <c r="F67" s="232">
        <v>2.2222200000000001E-2</v>
      </c>
      <c r="G67" s="170">
        <f t="shared" si="0"/>
        <v>2.2222200000000001E-2</v>
      </c>
      <c r="H67" s="170"/>
      <c r="I67" s="170"/>
      <c r="J67" s="159" t="s">
        <v>189</v>
      </c>
      <c r="K67" s="170">
        <v>0</v>
      </c>
      <c r="L67" s="170">
        <v>2.8205100000000004E-2</v>
      </c>
      <c r="M67" s="170">
        <v>0</v>
      </c>
      <c r="N67" s="170">
        <f t="shared" si="1"/>
        <v>2.8205100000000004E-2</v>
      </c>
      <c r="O67" s="159" t="s">
        <v>189</v>
      </c>
      <c r="P67" s="170">
        <v>0</v>
      </c>
      <c r="Q67" s="170">
        <v>2.8205100000000004E-2</v>
      </c>
      <c r="R67" s="170">
        <v>0</v>
      </c>
      <c r="S67" s="170">
        <f t="shared" si="2"/>
        <v>2.8205100000000004E-2</v>
      </c>
      <c r="U67" s="136"/>
      <c r="V67" s="136"/>
    </row>
    <row r="68" spans="1:22" x14ac:dyDescent="0.25">
      <c r="A68" s="155">
        <v>62</v>
      </c>
      <c r="B68" s="155"/>
      <c r="C68" s="165" t="s">
        <v>301</v>
      </c>
      <c r="D68" s="159" t="s">
        <v>189</v>
      </c>
      <c r="E68" s="232">
        <v>0</v>
      </c>
      <c r="F68" s="232">
        <v>2.6495700000000001E-2</v>
      </c>
      <c r="G68" s="170">
        <f t="shared" si="0"/>
        <v>2.6495700000000001E-2</v>
      </c>
      <c r="H68" s="170"/>
      <c r="I68" s="170"/>
      <c r="J68" s="159" t="s">
        <v>189</v>
      </c>
      <c r="K68" s="170">
        <v>0</v>
      </c>
      <c r="L68" s="170">
        <v>1.1965799999999999E-2</v>
      </c>
      <c r="M68" s="170">
        <v>0</v>
      </c>
      <c r="N68" s="170">
        <f t="shared" si="1"/>
        <v>1.1965799999999999E-2</v>
      </c>
      <c r="O68" s="159" t="s">
        <v>189</v>
      </c>
      <c r="P68" s="170">
        <v>0</v>
      </c>
      <c r="Q68" s="170">
        <v>1.1965799999999999E-2</v>
      </c>
      <c r="R68" s="170">
        <v>0</v>
      </c>
      <c r="S68" s="170">
        <f t="shared" si="2"/>
        <v>1.1965799999999999E-2</v>
      </c>
      <c r="U68" s="136"/>
      <c r="V68" s="136"/>
    </row>
    <row r="69" spans="1:22" x14ac:dyDescent="0.25">
      <c r="A69" s="220"/>
      <c r="B69" s="221"/>
      <c r="C69" s="222"/>
      <c r="D69" s="159"/>
      <c r="E69" s="232">
        <v>0</v>
      </c>
      <c r="F69" s="232"/>
      <c r="G69" s="170"/>
      <c r="H69" s="170"/>
      <c r="I69" s="170"/>
      <c r="J69" s="159"/>
      <c r="K69" s="170"/>
      <c r="L69" s="170"/>
      <c r="M69" s="170"/>
      <c r="N69" s="170"/>
      <c r="O69" s="159"/>
      <c r="P69" s="170"/>
      <c r="Q69" s="170"/>
      <c r="R69" s="170"/>
      <c r="S69" s="170"/>
      <c r="U69" s="136"/>
      <c r="V69" s="136"/>
    </row>
    <row r="70" spans="1:22" s="199" customFormat="1" x14ac:dyDescent="0.25">
      <c r="A70" s="223" t="s">
        <v>286</v>
      </c>
      <c r="B70" s="212"/>
      <c r="C70" s="213"/>
      <c r="D70" s="196"/>
      <c r="E70" s="233">
        <f>SUM(E7:E69)</f>
        <v>2.0000095720000002</v>
      </c>
      <c r="F70" s="233">
        <f>SUM(F7:F68)</f>
        <v>0.47521320000000006</v>
      </c>
      <c r="G70" s="197">
        <f>SUM(G7:G68)</f>
        <v>2.4752227720000004</v>
      </c>
      <c r="H70" s="197">
        <v>0.54251624904272688</v>
      </c>
      <c r="I70" s="197">
        <f>F70-H70</f>
        <v>-6.7303049042726826E-2</v>
      </c>
      <c r="J70" s="196"/>
      <c r="K70" s="197">
        <f>SUM(K7:K68)</f>
        <v>18.052189439999996</v>
      </c>
      <c r="L70" s="197">
        <f>SUM(L7:L68)</f>
        <v>10.652612760000002</v>
      </c>
      <c r="M70" s="197"/>
      <c r="N70" s="197">
        <f>SUM(N7:N68)</f>
        <v>28.704802199999996</v>
      </c>
      <c r="O70" s="196"/>
      <c r="P70" s="197">
        <f>SUM(P7:P68)</f>
        <v>18.052189439999996</v>
      </c>
      <c r="Q70" s="197">
        <f>SUM(Q7:Q68)</f>
        <v>10.652612760000002</v>
      </c>
      <c r="R70" s="197"/>
      <c r="S70" s="197">
        <f>SUM(S7:S68)</f>
        <v>28.704802199999996</v>
      </c>
      <c r="T70" s="204"/>
      <c r="U70" s="200"/>
      <c r="V70" s="200"/>
    </row>
    <row r="71" spans="1:22" x14ac:dyDescent="0.25">
      <c r="A71" s="155"/>
      <c r="B71" s="155"/>
      <c r="C71" s="165"/>
      <c r="D71" s="159"/>
      <c r="E71" s="232"/>
      <c r="F71" s="232"/>
      <c r="G71" s="170"/>
      <c r="H71" s="170"/>
      <c r="I71" s="170"/>
      <c r="J71" s="159"/>
      <c r="K71" s="170"/>
      <c r="L71" s="170"/>
      <c r="M71" s="170"/>
      <c r="N71" s="170"/>
      <c r="O71" s="159"/>
      <c r="P71" s="170"/>
      <c r="Q71" s="170"/>
      <c r="R71" s="170"/>
      <c r="S71" s="170"/>
      <c r="U71" s="136"/>
      <c r="V71" s="136"/>
    </row>
    <row r="72" spans="1:22" x14ac:dyDescent="0.25">
      <c r="A72" s="224" t="s">
        <v>283</v>
      </c>
      <c r="B72" s="155"/>
      <c r="C72" s="165"/>
      <c r="D72" s="159"/>
      <c r="E72" s="232"/>
      <c r="F72" s="231"/>
      <c r="G72" s="170"/>
      <c r="H72" s="170"/>
      <c r="I72" s="170"/>
      <c r="J72" s="171"/>
      <c r="K72" s="170"/>
      <c r="L72" s="170"/>
      <c r="M72" s="170"/>
      <c r="N72" s="170"/>
      <c r="O72" s="171"/>
      <c r="P72" s="170"/>
      <c r="Q72" s="170"/>
      <c r="R72" s="170"/>
      <c r="S72" s="170"/>
      <c r="U72" s="136"/>
      <c r="V72" s="136"/>
    </row>
    <row r="73" spans="1:22" x14ac:dyDescent="0.25">
      <c r="A73" s="155">
        <v>1</v>
      </c>
      <c r="B73" s="155" t="s">
        <v>269</v>
      </c>
      <c r="C73" s="165" t="s">
        <v>268</v>
      </c>
      <c r="D73" s="159" t="s">
        <v>154</v>
      </c>
      <c r="E73" s="232">
        <v>0</v>
      </c>
      <c r="F73" s="231">
        <v>3.6581159999999995E-2</v>
      </c>
      <c r="G73" s="170">
        <f t="shared" ref="G73:G88" si="3">SUM(E73:F73)</f>
        <v>3.6581159999999995E-2</v>
      </c>
      <c r="H73" s="170"/>
      <c r="I73" s="170"/>
      <c r="J73" s="171" t="s">
        <v>154</v>
      </c>
      <c r="K73" s="170">
        <v>0</v>
      </c>
      <c r="L73" s="170">
        <v>0.27332150999999999</v>
      </c>
      <c r="M73" s="170"/>
      <c r="N73" s="170">
        <f t="shared" si="1"/>
        <v>0.27332150999999999</v>
      </c>
      <c r="O73" s="171" t="s">
        <v>154</v>
      </c>
      <c r="P73" s="170">
        <v>0</v>
      </c>
      <c r="Q73" s="170">
        <v>0.27332150999999999</v>
      </c>
      <c r="R73" s="170">
        <v>0</v>
      </c>
      <c r="S73" s="170">
        <f t="shared" si="2"/>
        <v>0.27332150999999999</v>
      </c>
      <c r="U73" s="136"/>
      <c r="V73" s="136"/>
    </row>
    <row r="74" spans="1:22" x14ac:dyDescent="0.25">
      <c r="A74" s="155">
        <v>2</v>
      </c>
      <c r="B74" s="155" t="s">
        <v>270</v>
      </c>
      <c r="C74" s="165" t="s">
        <v>268</v>
      </c>
      <c r="D74" s="159" t="s">
        <v>154</v>
      </c>
      <c r="E74" s="232">
        <v>0</v>
      </c>
      <c r="F74" s="231">
        <v>3.854697E-2</v>
      </c>
      <c r="G74" s="170">
        <f t="shared" si="3"/>
        <v>3.854697E-2</v>
      </c>
      <c r="H74" s="170"/>
      <c r="I74" s="170"/>
      <c r="J74" s="171" t="s">
        <v>154</v>
      </c>
      <c r="K74" s="170">
        <v>0</v>
      </c>
      <c r="L74" s="170">
        <v>0.28788588999999998</v>
      </c>
      <c r="M74" s="170"/>
      <c r="N74" s="170">
        <f t="shared" si="1"/>
        <v>0.28788588999999998</v>
      </c>
      <c r="O74" s="171" t="s">
        <v>154</v>
      </c>
      <c r="P74" s="170">
        <v>0</v>
      </c>
      <c r="Q74" s="170">
        <v>0.28788588999999998</v>
      </c>
      <c r="R74" s="170">
        <v>0</v>
      </c>
      <c r="S74" s="170">
        <f t="shared" si="2"/>
        <v>0.28788588999999998</v>
      </c>
      <c r="U74" s="136"/>
      <c r="V74" s="136"/>
    </row>
    <row r="75" spans="1:22" x14ac:dyDescent="0.25">
      <c r="A75" s="155">
        <v>3</v>
      </c>
      <c r="B75" s="155">
        <v>858524</v>
      </c>
      <c r="C75" s="165" t="s">
        <v>271</v>
      </c>
      <c r="D75" s="159" t="s">
        <v>154</v>
      </c>
      <c r="E75" s="232">
        <v>0</v>
      </c>
      <c r="F75" s="231">
        <v>0</v>
      </c>
      <c r="G75" s="170">
        <f t="shared" si="3"/>
        <v>0</v>
      </c>
      <c r="H75" s="170"/>
      <c r="I75" s="170"/>
      <c r="J75" s="171" t="s">
        <v>154</v>
      </c>
      <c r="K75" s="170">
        <v>0</v>
      </c>
      <c r="L75" s="170">
        <v>0</v>
      </c>
      <c r="M75" s="170"/>
      <c r="N75" s="170">
        <f t="shared" si="1"/>
        <v>0</v>
      </c>
      <c r="O75" s="171" t="s">
        <v>154</v>
      </c>
      <c r="P75" s="170">
        <v>0</v>
      </c>
      <c r="Q75" s="170">
        <v>0</v>
      </c>
      <c r="R75" s="170">
        <v>0</v>
      </c>
      <c r="S75" s="170">
        <f t="shared" si="2"/>
        <v>0</v>
      </c>
      <c r="U75" s="136"/>
      <c r="V75" s="136"/>
    </row>
    <row r="76" spans="1:22" x14ac:dyDescent="0.25">
      <c r="A76" s="155">
        <v>4</v>
      </c>
      <c r="B76" s="155" t="s">
        <v>272</v>
      </c>
      <c r="C76" s="165" t="s">
        <v>271</v>
      </c>
      <c r="D76" s="159" t="s">
        <v>154</v>
      </c>
      <c r="E76" s="232">
        <v>0</v>
      </c>
      <c r="F76" s="231">
        <v>2.1452970000000002E-2</v>
      </c>
      <c r="G76" s="170">
        <f t="shared" si="3"/>
        <v>2.1452970000000002E-2</v>
      </c>
      <c r="H76" s="170"/>
      <c r="I76" s="170"/>
      <c r="J76" s="171" t="s">
        <v>154</v>
      </c>
      <c r="K76" s="170">
        <v>0</v>
      </c>
      <c r="L76" s="170">
        <v>0.16201599</v>
      </c>
      <c r="M76" s="170"/>
      <c r="N76" s="170">
        <f t="shared" si="1"/>
        <v>0.16201599</v>
      </c>
      <c r="O76" s="171" t="s">
        <v>154</v>
      </c>
      <c r="P76" s="170">
        <v>0</v>
      </c>
      <c r="Q76" s="170">
        <v>0.16201599</v>
      </c>
      <c r="R76" s="170">
        <v>0</v>
      </c>
      <c r="S76" s="170">
        <f t="shared" si="2"/>
        <v>0.16201599</v>
      </c>
      <c r="U76" s="136"/>
      <c r="V76" s="136"/>
    </row>
    <row r="77" spans="1:22" x14ac:dyDescent="0.25">
      <c r="A77" s="155">
        <v>5</v>
      </c>
      <c r="B77" s="155" t="s">
        <v>273</v>
      </c>
      <c r="C77" s="165" t="s">
        <v>271</v>
      </c>
      <c r="D77" s="159" t="s">
        <v>154</v>
      </c>
      <c r="E77" s="232">
        <v>0</v>
      </c>
      <c r="F77" s="231">
        <v>3.3504239999999998E-2</v>
      </c>
      <c r="G77" s="170">
        <f t="shared" si="3"/>
        <v>3.3504239999999998E-2</v>
      </c>
      <c r="H77" s="170"/>
      <c r="I77" s="170"/>
      <c r="J77" s="171" t="s">
        <v>154</v>
      </c>
      <c r="K77" s="170">
        <v>0</v>
      </c>
      <c r="L77" s="170">
        <v>0.13633144999999999</v>
      </c>
      <c r="M77" s="170"/>
      <c r="N77" s="170">
        <f t="shared" si="1"/>
        <v>0.13633144999999999</v>
      </c>
      <c r="O77" s="171" t="s">
        <v>154</v>
      </c>
      <c r="P77" s="170">
        <v>0</v>
      </c>
      <c r="Q77" s="170">
        <v>0.13633144999999999</v>
      </c>
      <c r="R77" s="170">
        <v>0</v>
      </c>
      <c r="S77" s="170">
        <f t="shared" si="2"/>
        <v>0.13633144999999999</v>
      </c>
      <c r="U77" s="136"/>
      <c r="V77" s="136"/>
    </row>
    <row r="78" spans="1:22" x14ac:dyDescent="0.25">
      <c r="A78" s="155">
        <v>6</v>
      </c>
      <c r="B78" s="155" t="s">
        <v>274</v>
      </c>
      <c r="C78" s="165" t="s">
        <v>271</v>
      </c>
      <c r="D78" s="159" t="s">
        <v>154</v>
      </c>
      <c r="E78" s="232">
        <v>0</v>
      </c>
      <c r="F78" s="231">
        <v>4.2478589999999997E-2</v>
      </c>
      <c r="G78" s="170">
        <f t="shared" si="3"/>
        <v>4.2478589999999997E-2</v>
      </c>
      <c r="H78" s="170"/>
      <c r="I78" s="170"/>
      <c r="J78" s="171" t="s">
        <v>154</v>
      </c>
      <c r="K78" s="170">
        <v>0</v>
      </c>
      <c r="L78" s="170">
        <v>0.11522277</v>
      </c>
      <c r="M78" s="170"/>
      <c r="N78" s="170">
        <f t="shared" si="1"/>
        <v>0.11522277</v>
      </c>
      <c r="O78" s="171" t="s">
        <v>154</v>
      </c>
      <c r="P78" s="170">
        <v>0</v>
      </c>
      <c r="Q78" s="170">
        <v>0.11522277</v>
      </c>
      <c r="R78" s="170">
        <v>0</v>
      </c>
      <c r="S78" s="170">
        <f t="shared" si="2"/>
        <v>0.11522277</v>
      </c>
      <c r="U78" s="136"/>
      <c r="V78" s="136"/>
    </row>
    <row r="79" spans="1:22" x14ac:dyDescent="0.25">
      <c r="A79" s="155">
        <v>7</v>
      </c>
      <c r="B79" s="155">
        <v>895660</v>
      </c>
      <c r="C79" s="165" t="s">
        <v>271</v>
      </c>
      <c r="D79" s="159" t="s">
        <v>154</v>
      </c>
      <c r="E79" s="232">
        <v>0</v>
      </c>
      <c r="F79" s="231">
        <v>2.769228E-2</v>
      </c>
      <c r="G79" s="170">
        <f t="shared" si="3"/>
        <v>2.769228E-2</v>
      </c>
      <c r="H79" s="170"/>
      <c r="I79" s="170"/>
      <c r="J79" s="171" t="s">
        <v>154</v>
      </c>
      <c r="K79" s="170">
        <v>0</v>
      </c>
      <c r="L79" s="170">
        <v>0.25639566999999996</v>
      </c>
      <c r="M79" s="170"/>
      <c r="N79" s="170">
        <f t="shared" si="1"/>
        <v>0.25639566999999996</v>
      </c>
      <c r="O79" s="171" t="s">
        <v>154</v>
      </c>
      <c r="P79" s="170">
        <v>0</v>
      </c>
      <c r="Q79" s="170">
        <v>0.25639566999999996</v>
      </c>
      <c r="R79" s="170">
        <v>0</v>
      </c>
      <c r="S79" s="170">
        <f t="shared" si="2"/>
        <v>0.25639566999999996</v>
      </c>
      <c r="U79" s="136"/>
      <c r="V79" s="136"/>
    </row>
    <row r="80" spans="1:22" x14ac:dyDescent="0.25">
      <c r="A80" s="155">
        <v>8</v>
      </c>
      <c r="B80" s="155">
        <v>895521</v>
      </c>
      <c r="C80" s="165" t="s">
        <v>271</v>
      </c>
      <c r="D80" s="159" t="s">
        <v>154</v>
      </c>
      <c r="E80" s="232">
        <v>0</v>
      </c>
      <c r="F80" s="231">
        <v>2.5299119999999998E-2</v>
      </c>
      <c r="G80" s="170">
        <f t="shared" si="3"/>
        <v>2.5299119999999998E-2</v>
      </c>
      <c r="H80" s="170"/>
      <c r="I80" s="170"/>
      <c r="J80" s="171" t="s">
        <v>154</v>
      </c>
      <c r="K80" s="170">
        <v>0</v>
      </c>
      <c r="L80" s="170">
        <v>0.30979615000000005</v>
      </c>
      <c r="M80" s="170"/>
      <c r="N80" s="170">
        <f t="shared" si="1"/>
        <v>0.30979615000000005</v>
      </c>
      <c r="O80" s="171" t="s">
        <v>154</v>
      </c>
      <c r="P80" s="170">
        <v>0</v>
      </c>
      <c r="Q80" s="170">
        <v>0.30979615000000005</v>
      </c>
      <c r="R80" s="170">
        <v>0</v>
      </c>
      <c r="S80" s="170">
        <f t="shared" si="2"/>
        <v>0.30979615000000005</v>
      </c>
      <c r="U80" s="136"/>
      <c r="V80" s="136"/>
    </row>
    <row r="81" spans="1:22" x14ac:dyDescent="0.25">
      <c r="A81" s="155">
        <v>9</v>
      </c>
      <c r="B81" s="155" t="s">
        <v>275</v>
      </c>
      <c r="C81" s="165" t="s">
        <v>271</v>
      </c>
      <c r="D81" s="159" t="s">
        <v>154</v>
      </c>
      <c r="E81" s="232">
        <v>0</v>
      </c>
      <c r="F81" s="231">
        <v>0</v>
      </c>
      <c r="G81" s="170">
        <f t="shared" si="3"/>
        <v>0</v>
      </c>
      <c r="H81" s="170"/>
      <c r="I81" s="170"/>
      <c r="J81" s="171" t="s">
        <v>154</v>
      </c>
      <c r="K81" s="170">
        <v>0</v>
      </c>
      <c r="L81" s="170">
        <v>0</v>
      </c>
      <c r="M81" s="170"/>
      <c r="N81" s="170">
        <f t="shared" si="1"/>
        <v>0</v>
      </c>
      <c r="O81" s="171" t="s">
        <v>154</v>
      </c>
      <c r="P81" s="170">
        <v>0</v>
      </c>
      <c r="Q81" s="170">
        <v>0</v>
      </c>
      <c r="R81" s="170">
        <v>0</v>
      </c>
      <c r="S81" s="170">
        <f t="shared" si="2"/>
        <v>0</v>
      </c>
      <c r="U81" s="136"/>
      <c r="V81" s="136"/>
    </row>
    <row r="82" spans="1:22" x14ac:dyDescent="0.25">
      <c r="A82" s="155">
        <v>10</v>
      </c>
      <c r="B82" s="155">
        <v>882437</v>
      </c>
      <c r="C82" s="165" t="s">
        <v>276</v>
      </c>
      <c r="D82" s="159" t="s">
        <v>154</v>
      </c>
      <c r="E82" s="232">
        <v>0</v>
      </c>
      <c r="F82" s="231">
        <v>2.5640999999999997E-3</v>
      </c>
      <c r="G82" s="170">
        <f t="shared" si="3"/>
        <v>2.5640999999999997E-3</v>
      </c>
      <c r="H82" s="170"/>
      <c r="I82" s="170"/>
      <c r="J82" s="171" t="s">
        <v>154</v>
      </c>
      <c r="K82" s="170">
        <v>0</v>
      </c>
      <c r="L82" s="170">
        <v>4.3052519999999997E-2</v>
      </c>
      <c r="M82" s="170"/>
      <c r="N82" s="170">
        <f t="shared" si="1"/>
        <v>4.3052519999999997E-2</v>
      </c>
      <c r="O82" s="171" t="s">
        <v>154</v>
      </c>
      <c r="P82" s="170">
        <v>0</v>
      </c>
      <c r="Q82" s="170">
        <v>4.3052519999999997E-2</v>
      </c>
      <c r="R82" s="170">
        <v>0</v>
      </c>
      <c r="S82" s="170">
        <f t="shared" si="2"/>
        <v>4.3052519999999997E-2</v>
      </c>
      <c r="U82" s="136"/>
      <c r="V82" s="136"/>
    </row>
    <row r="83" spans="1:22" x14ac:dyDescent="0.25">
      <c r="A83" s="155">
        <v>11</v>
      </c>
      <c r="B83" s="155">
        <v>882411</v>
      </c>
      <c r="C83" s="165" t="s">
        <v>276</v>
      </c>
      <c r="D83" s="159" t="s">
        <v>154</v>
      </c>
      <c r="E83" s="232">
        <v>0</v>
      </c>
      <c r="F83" s="231">
        <v>1.7606819999999999E-2</v>
      </c>
      <c r="G83" s="170">
        <f t="shared" si="3"/>
        <v>1.7606819999999999E-2</v>
      </c>
      <c r="H83" s="170"/>
      <c r="I83" s="170"/>
      <c r="J83" s="171" t="s">
        <v>154</v>
      </c>
      <c r="K83" s="170">
        <v>0</v>
      </c>
      <c r="L83" s="170">
        <v>5.5015289999999994E-2</v>
      </c>
      <c r="M83" s="170"/>
      <c r="N83" s="170">
        <f t="shared" si="1"/>
        <v>5.5015289999999994E-2</v>
      </c>
      <c r="O83" s="171" t="s">
        <v>154</v>
      </c>
      <c r="P83" s="170">
        <v>0</v>
      </c>
      <c r="Q83" s="170">
        <v>5.5015289999999994E-2</v>
      </c>
      <c r="R83" s="170">
        <v>0</v>
      </c>
      <c r="S83" s="170">
        <f t="shared" si="2"/>
        <v>5.5015289999999994E-2</v>
      </c>
      <c r="U83" s="136"/>
      <c r="V83" s="136"/>
    </row>
    <row r="84" spans="1:22" x14ac:dyDescent="0.25">
      <c r="A84" s="155">
        <v>14</v>
      </c>
      <c r="B84" s="155">
        <v>895358</v>
      </c>
      <c r="C84" s="165" t="s">
        <v>277</v>
      </c>
      <c r="D84" s="159" t="s">
        <v>154</v>
      </c>
      <c r="E84" s="232">
        <v>0</v>
      </c>
      <c r="F84" s="231">
        <v>0</v>
      </c>
      <c r="G84" s="172">
        <f t="shared" si="3"/>
        <v>0</v>
      </c>
      <c r="H84" s="172"/>
      <c r="I84" s="172"/>
      <c r="J84" s="171" t="s">
        <v>154</v>
      </c>
      <c r="K84" s="170">
        <v>0</v>
      </c>
      <c r="L84" s="170">
        <v>0</v>
      </c>
      <c r="M84" s="170"/>
      <c r="N84" s="170">
        <f t="shared" si="1"/>
        <v>0</v>
      </c>
      <c r="O84" s="171" t="s">
        <v>154</v>
      </c>
      <c r="P84" s="170">
        <v>0</v>
      </c>
      <c r="Q84" s="170">
        <v>0</v>
      </c>
      <c r="R84" s="170">
        <v>0</v>
      </c>
      <c r="S84" s="170">
        <f t="shared" si="2"/>
        <v>0</v>
      </c>
      <c r="U84" s="136"/>
      <c r="V84" s="136"/>
    </row>
    <row r="85" spans="1:22" x14ac:dyDescent="0.25">
      <c r="A85" s="155">
        <v>14</v>
      </c>
      <c r="B85" s="155">
        <v>895325</v>
      </c>
      <c r="C85" s="165" t="s">
        <v>277</v>
      </c>
      <c r="D85" s="159" t="s">
        <v>154</v>
      </c>
      <c r="E85" s="232">
        <v>0</v>
      </c>
      <c r="F85" s="231">
        <v>0</v>
      </c>
      <c r="G85" s="172">
        <f t="shared" si="3"/>
        <v>0</v>
      </c>
      <c r="H85" s="172"/>
      <c r="I85" s="172"/>
      <c r="J85" s="171" t="s">
        <v>154</v>
      </c>
      <c r="K85" s="170">
        <v>0</v>
      </c>
      <c r="L85" s="170">
        <v>0</v>
      </c>
      <c r="M85" s="170"/>
      <c r="N85" s="170">
        <f t="shared" si="1"/>
        <v>0</v>
      </c>
      <c r="O85" s="171" t="s">
        <v>154</v>
      </c>
      <c r="P85" s="170">
        <v>0</v>
      </c>
      <c r="Q85" s="170">
        <v>0</v>
      </c>
      <c r="R85" s="170">
        <v>0</v>
      </c>
      <c r="S85" s="170">
        <f t="shared" si="2"/>
        <v>0</v>
      </c>
      <c r="U85" s="136"/>
      <c r="V85" s="136"/>
    </row>
    <row r="86" spans="1:22" x14ac:dyDescent="0.25">
      <c r="A86" s="155">
        <v>14</v>
      </c>
      <c r="B86" s="155">
        <v>895370</v>
      </c>
      <c r="C86" s="165" t="s">
        <v>277</v>
      </c>
      <c r="D86" s="159" t="s">
        <v>154</v>
      </c>
      <c r="E86" s="232">
        <v>0</v>
      </c>
      <c r="F86" s="231">
        <v>0</v>
      </c>
      <c r="G86" s="172">
        <f t="shared" si="3"/>
        <v>0</v>
      </c>
      <c r="H86" s="172"/>
      <c r="I86" s="172"/>
      <c r="J86" s="171" t="s">
        <v>154</v>
      </c>
      <c r="K86" s="170">
        <v>0</v>
      </c>
      <c r="L86" s="170">
        <v>2.2209090909090911E-3</v>
      </c>
      <c r="M86" s="170"/>
      <c r="N86" s="170">
        <f t="shared" si="1"/>
        <v>2.2209090909090911E-3</v>
      </c>
      <c r="O86" s="171" t="s">
        <v>154</v>
      </c>
      <c r="P86" s="170">
        <v>0</v>
      </c>
      <c r="Q86" s="170">
        <v>2.2209090909090911E-3</v>
      </c>
      <c r="R86" s="170">
        <v>0</v>
      </c>
      <c r="S86" s="170">
        <f t="shared" si="2"/>
        <v>2.2209090909090911E-3</v>
      </c>
      <c r="U86" s="136"/>
      <c r="V86" s="136"/>
    </row>
    <row r="87" spans="1:22" x14ac:dyDescent="0.25">
      <c r="A87" s="155">
        <v>16</v>
      </c>
      <c r="B87" s="155">
        <v>895365</v>
      </c>
      <c r="C87" s="165" t="s">
        <v>277</v>
      </c>
      <c r="D87" s="159" t="s">
        <v>154</v>
      </c>
      <c r="E87" s="232">
        <v>0</v>
      </c>
      <c r="F87" s="231">
        <v>0</v>
      </c>
      <c r="G87" s="172">
        <f t="shared" si="3"/>
        <v>0</v>
      </c>
      <c r="H87" s="172"/>
      <c r="I87" s="172"/>
      <c r="J87" s="171" t="s">
        <v>154</v>
      </c>
      <c r="K87" s="170">
        <v>0</v>
      </c>
      <c r="L87" s="170">
        <v>0</v>
      </c>
      <c r="M87" s="170"/>
      <c r="N87" s="170">
        <f t="shared" si="1"/>
        <v>0</v>
      </c>
      <c r="O87" s="171" t="s">
        <v>154</v>
      </c>
      <c r="P87" s="170">
        <v>0</v>
      </c>
      <c r="Q87" s="170">
        <v>0</v>
      </c>
      <c r="R87" s="170">
        <v>0</v>
      </c>
      <c r="S87" s="170">
        <f t="shared" si="2"/>
        <v>0</v>
      </c>
      <c r="U87" s="136"/>
      <c r="V87" s="136"/>
    </row>
    <row r="88" spans="1:22" x14ac:dyDescent="0.25">
      <c r="A88" s="155">
        <v>17</v>
      </c>
      <c r="B88" s="155">
        <v>895355</v>
      </c>
      <c r="C88" s="165" t="s">
        <v>277</v>
      </c>
      <c r="D88" s="159" t="s">
        <v>154</v>
      </c>
      <c r="E88" s="232">
        <v>0</v>
      </c>
      <c r="F88" s="231">
        <v>0</v>
      </c>
      <c r="G88" s="172">
        <f t="shared" si="3"/>
        <v>0</v>
      </c>
      <c r="H88" s="172"/>
      <c r="I88" s="172"/>
      <c r="J88" s="171" t="s">
        <v>154</v>
      </c>
      <c r="K88" s="170">
        <v>0</v>
      </c>
      <c r="L88" s="170">
        <v>0</v>
      </c>
      <c r="M88" s="170"/>
      <c r="N88" s="170">
        <f t="shared" si="1"/>
        <v>0</v>
      </c>
      <c r="O88" s="171" t="s">
        <v>154</v>
      </c>
      <c r="P88" s="170">
        <v>0</v>
      </c>
      <c r="Q88" s="170">
        <v>0</v>
      </c>
      <c r="R88" s="170">
        <v>0</v>
      </c>
      <c r="S88" s="170">
        <f t="shared" si="2"/>
        <v>0</v>
      </c>
      <c r="U88" s="136"/>
      <c r="V88" s="136"/>
    </row>
    <row r="89" spans="1:22" x14ac:dyDescent="0.25">
      <c r="A89" s="220">
        <v>18</v>
      </c>
      <c r="B89" s="221">
        <v>858524</v>
      </c>
      <c r="C89" s="222" t="s">
        <v>306</v>
      </c>
      <c r="D89" s="159" t="s">
        <v>154</v>
      </c>
      <c r="E89" s="232"/>
      <c r="F89" s="231">
        <v>6.8376000000000001E-3</v>
      </c>
      <c r="G89" s="172"/>
      <c r="H89" s="172"/>
      <c r="I89" s="172"/>
      <c r="J89" s="171" t="s">
        <v>154</v>
      </c>
      <c r="K89" s="170"/>
      <c r="L89" s="170">
        <v>5.0868399999999994E-2</v>
      </c>
      <c r="M89" s="170"/>
      <c r="N89" s="170">
        <f>L89</f>
        <v>5.0868399999999994E-2</v>
      </c>
      <c r="O89" s="171"/>
      <c r="P89" s="170"/>
      <c r="Q89" s="170">
        <v>5.0868399999999994E-2</v>
      </c>
      <c r="R89" s="170"/>
      <c r="S89" s="170">
        <f>Q89</f>
        <v>5.0868399999999994E-2</v>
      </c>
      <c r="U89" s="136"/>
      <c r="V89" s="136"/>
    </row>
    <row r="90" spans="1:22" s="199" customFormat="1" x14ac:dyDescent="0.25">
      <c r="A90" s="223" t="s">
        <v>285</v>
      </c>
      <c r="B90" s="212"/>
      <c r="C90" s="213"/>
      <c r="D90" s="196"/>
      <c r="E90" s="234">
        <f>SUM(E73:E88)</f>
        <v>0</v>
      </c>
      <c r="F90" s="234">
        <f>SUM(F73:F88)</f>
        <v>0.24572625000000001</v>
      </c>
      <c r="G90" s="198">
        <f>SUM(G73:G88)</f>
        <v>0.24572625000000001</v>
      </c>
      <c r="H90" s="198">
        <v>7.2395165160731856E-2</v>
      </c>
      <c r="I90" s="198">
        <f>F90-H90</f>
        <v>0.17333108483926815</v>
      </c>
      <c r="J90" s="198"/>
      <c r="K90" s="197"/>
      <c r="L90" s="198">
        <f>SUM(L73:L89)</f>
        <v>1.6921265490909092</v>
      </c>
      <c r="M90" s="197"/>
      <c r="N90" s="198">
        <f>SUM(N73:N89)</f>
        <v>1.6921265490909092</v>
      </c>
      <c r="O90" s="197"/>
      <c r="P90" s="197"/>
      <c r="Q90" s="198">
        <f>SUM(Q73:Q89)</f>
        <v>1.6921265490909092</v>
      </c>
      <c r="R90" s="197"/>
      <c r="S90" s="198">
        <f>SUM(S73:S89)</f>
        <v>1.6921265490909092</v>
      </c>
      <c r="U90" s="200"/>
      <c r="V90" s="200"/>
    </row>
    <row r="91" spans="1:22" x14ac:dyDescent="0.25">
      <c r="A91" s="155"/>
      <c r="B91" s="155"/>
      <c r="C91" s="165"/>
      <c r="D91" s="159"/>
      <c r="E91" s="232"/>
      <c r="F91" s="231"/>
      <c r="G91" s="172"/>
      <c r="H91" s="172"/>
      <c r="I91" s="172"/>
      <c r="J91" s="171"/>
      <c r="K91" s="170"/>
      <c r="L91" s="170"/>
      <c r="M91" s="170"/>
      <c r="N91" s="170"/>
      <c r="O91" s="170"/>
      <c r="P91" s="170"/>
      <c r="Q91" s="170"/>
      <c r="R91" s="170"/>
      <c r="S91" s="170"/>
      <c r="U91" s="136"/>
      <c r="V91" s="136"/>
    </row>
    <row r="92" spans="1:22" x14ac:dyDescent="0.25">
      <c r="A92" s="201" t="s">
        <v>267</v>
      </c>
      <c r="B92" s="155"/>
      <c r="C92" s="165"/>
      <c r="D92" s="159"/>
      <c r="E92" s="232"/>
      <c r="F92" s="231"/>
      <c r="G92" s="172"/>
      <c r="H92" s="172"/>
      <c r="I92" s="172"/>
      <c r="J92" s="171"/>
      <c r="K92" s="170"/>
      <c r="L92" s="170"/>
      <c r="M92" s="170"/>
      <c r="N92" s="170"/>
      <c r="O92" s="170"/>
      <c r="P92" s="170"/>
      <c r="Q92" s="170"/>
      <c r="R92" s="170"/>
      <c r="S92" s="170"/>
      <c r="U92" s="136"/>
      <c r="V92" s="136"/>
    </row>
    <row r="93" spans="1:22" x14ac:dyDescent="0.25">
      <c r="A93" s="155">
        <v>1</v>
      </c>
      <c r="B93" s="155" t="s">
        <v>278</v>
      </c>
      <c r="C93" s="165" t="s">
        <v>268</v>
      </c>
      <c r="D93" s="159" t="s">
        <v>154</v>
      </c>
      <c r="E93" s="232">
        <v>0</v>
      </c>
      <c r="F93" s="231">
        <v>3.3247829999999999E-2</v>
      </c>
      <c r="G93" s="170">
        <f t="shared" ref="G93:G98" si="4">SUM(E93:F93)</f>
        <v>3.3247829999999999E-2</v>
      </c>
      <c r="H93" s="170"/>
      <c r="I93" s="170"/>
      <c r="J93" s="171" t="s">
        <v>154</v>
      </c>
      <c r="K93" s="170">
        <v>0</v>
      </c>
      <c r="L93" s="170">
        <v>0.25991319999999996</v>
      </c>
      <c r="M93" s="170"/>
      <c r="N93" s="170">
        <f t="shared" ref="N93:N98" si="5">SUM(K93:M93)</f>
        <v>0.25991319999999996</v>
      </c>
      <c r="O93" s="171" t="s">
        <v>154</v>
      </c>
      <c r="P93" s="170">
        <v>0</v>
      </c>
      <c r="Q93" s="170">
        <v>0.25991319999999996</v>
      </c>
      <c r="R93" s="170">
        <v>0</v>
      </c>
      <c r="S93" s="170">
        <f t="shared" ref="S93:S98" si="6">SUM(P93:R93)</f>
        <v>0.25991319999999996</v>
      </c>
      <c r="U93" s="136"/>
      <c r="V93" s="136"/>
    </row>
    <row r="94" spans="1:22" x14ac:dyDescent="0.25">
      <c r="A94" s="155">
        <v>2</v>
      </c>
      <c r="B94" s="155" t="s">
        <v>279</v>
      </c>
      <c r="C94" s="165" t="s">
        <v>268</v>
      </c>
      <c r="D94" s="159" t="s">
        <v>154</v>
      </c>
      <c r="E94" s="232">
        <v>0</v>
      </c>
      <c r="F94" s="231">
        <v>0</v>
      </c>
      <c r="G94" s="170">
        <f t="shared" si="4"/>
        <v>0</v>
      </c>
      <c r="H94" s="170"/>
      <c r="I94" s="170"/>
      <c r="J94" s="171" t="s">
        <v>154</v>
      </c>
      <c r="K94" s="170">
        <v>0</v>
      </c>
      <c r="L94" s="170">
        <v>0.20506639999999998</v>
      </c>
      <c r="M94" s="170"/>
      <c r="N94" s="170">
        <f t="shared" si="5"/>
        <v>0.20506639999999998</v>
      </c>
      <c r="O94" s="171" t="s">
        <v>154</v>
      </c>
      <c r="P94" s="170">
        <v>0</v>
      </c>
      <c r="Q94" s="170">
        <v>0.20506639999999998</v>
      </c>
      <c r="R94" s="170">
        <v>0</v>
      </c>
      <c r="S94" s="170">
        <f t="shared" si="6"/>
        <v>0.20506639999999998</v>
      </c>
      <c r="U94" s="136"/>
      <c r="V94" s="136"/>
    </row>
    <row r="95" spans="1:22" x14ac:dyDescent="0.25">
      <c r="A95" s="155">
        <v>3</v>
      </c>
      <c r="B95" s="155" t="s">
        <v>280</v>
      </c>
      <c r="C95" s="165" t="s">
        <v>271</v>
      </c>
      <c r="D95" s="159" t="s">
        <v>154</v>
      </c>
      <c r="E95" s="232">
        <v>0</v>
      </c>
      <c r="F95" s="231">
        <v>0</v>
      </c>
      <c r="G95" s="170">
        <f t="shared" si="4"/>
        <v>0</v>
      </c>
      <c r="H95" s="170"/>
      <c r="I95" s="170"/>
      <c r="J95" s="171" t="s">
        <v>154</v>
      </c>
      <c r="K95" s="170">
        <v>0</v>
      </c>
      <c r="L95" s="170">
        <v>0.1934285</v>
      </c>
      <c r="M95" s="170"/>
      <c r="N95" s="170">
        <f t="shared" si="5"/>
        <v>0.1934285</v>
      </c>
      <c r="O95" s="171" t="s">
        <v>154</v>
      </c>
      <c r="P95" s="170">
        <v>0</v>
      </c>
      <c r="Q95" s="170">
        <v>0.1934285</v>
      </c>
      <c r="R95" s="170">
        <v>0</v>
      </c>
      <c r="S95" s="170">
        <f t="shared" si="6"/>
        <v>0.1934285</v>
      </c>
      <c r="U95" s="136"/>
      <c r="V95" s="136"/>
    </row>
    <row r="96" spans="1:22" x14ac:dyDescent="0.25">
      <c r="A96" s="155">
        <v>4</v>
      </c>
      <c r="B96" s="155" t="s">
        <v>281</v>
      </c>
      <c r="C96" s="165" t="s">
        <v>271</v>
      </c>
      <c r="D96" s="159" t="s">
        <v>154</v>
      </c>
      <c r="E96" s="232">
        <v>0</v>
      </c>
      <c r="F96" s="231">
        <v>0</v>
      </c>
      <c r="G96" s="170">
        <f t="shared" si="4"/>
        <v>0</v>
      </c>
      <c r="H96" s="170"/>
      <c r="I96" s="170"/>
      <c r="J96" s="171" t="s">
        <v>154</v>
      </c>
      <c r="K96" s="170">
        <v>0</v>
      </c>
      <c r="L96" s="170">
        <v>0.10719444</v>
      </c>
      <c r="M96" s="170"/>
      <c r="N96" s="170">
        <f t="shared" si="5"/>
        <v>0.10719444</v>
      </c>
      <c r="O96" s="171" t="s">
        <v>154</v>
      </c>
      <c r="P96" s="170">
        <v>0</v>
      </c>
      <c r="Q96" s="170">
        <v>0.10719444</v>
      </c>
      <c r="R96" s="170">
        <v>0</v>
      </c>
      <c r="S96" s="170">
        <f t="shared" si="6"/>
        <v>0.10719444</v>
      </c>
      <c r="U96" s="136"/>
      <c r="V96" s="136"/>
    </row>
    <row r="97" spans="1:24" x14ac:dyDescent="0.25">
      <c r="A97" s="155">
        <v>5</v>
      </c>
      <c r="B97" s="155" t="s">
        <v>282</v>
      </c>
      <c r="C97" s="165" t="s">
        <v>271</v>
      </c>
      <c r="D97" s="159" t="s">
        <v>154</v>
      </c>
      <c r="E97" s="232">
        <v>0</v>
      </c>
      <c r="F97" s="231">
        <v>0</v>
      </c>
      <c r="G97" s="170">
        <f t="shared" si="4"/>
        <v>0</v>
      </c>
      <c r="H97" s="170"/>
      <c r="I97" s="170"/>
      <c r="J97" s="171" t="s">
        <v>154</v>
      </c>
      <c r="K97" s="170">
        <v>0</v>
      </c>
      <c r="L97" s="170">
        <v>1.40844E-2</v>
      </c>
      <c r="M97" s="170"/>
      <c r="N97" s="170">
        <f t="shared" si="5"/>
        <v>1.40844E-2</v>
      </c>
      <c r="O97" s="171" t="s">
        <v>154</v>
      </c>
      <c r="P97" s="170">
        <v>0</v>
      </c>
      <c r="Q97" s="170">
        <v>1.40844E-2</v>
      </c>
      <c r="R97" s="170">
        <v>0</v>
      </c>
      <c r="S97" s="170">
        <f t="shared" si="6"/>
        <v>1.40844E-2</v>
      </c>
      <c r="U97" s="136"/>
      <c r="V97" s="136"/>
    </row>
    <row r="98" spans="1:24" x14ac:dyDescent="0.25">
      <c r="A98" s="155">
        <v>6</v>
      </c>
      <c r="B98" s="155" t="s">
        <v>303</v>
      </c>
      <c r="C98" s="165" t="s">
        <v>271</v>
      </c>
      <c r="D98" s="159" t="s">
        <v>154</v>
      </c>
      <c r="E98" s="232">
        <v>0</v>
      </c>
      <c r="F98" s="231">
        <v>2.4358950000000001E-2</v>
      </c>
      <c r="G98" s="170">
        <f t="shared" si="4"/>
        <v>2.4358950000000001E-2</v>
      </c>
      <c r="H98" s="170"/>
      <c r="I98" s="170"/>
      <c r="J98" s="171" t="s">
        <v>154</v>
      </c>
      <c r="K98" s="170">
        <v>0</v>
      </c>
      <c r="L98" s="170">
        <v>8.2931700000000011E-2</v>
      </c>
      <c r="M98" s="170"/>
      <c r="N98" s="170">
        <f t="shared" si="5"/>
        <v>8.2931700000000011E-2</v>
      </c>
      <c r="O98" s="171" t="s">
        <v>154</v>
      </c>
      <c r="P98" s="170">
        <v>0</v>
      </c>
      <c r="Q98" s="170">
        <v>8.2931700000000011E-2</v>
      </c>
      <c r="R98" s="170">
        <v>0</v>
      </c>
      <c r="S98" s="170">
        <f t="shared" si="6"/>
        <v>8.2931700000000011E-2</v>
      </c>
      <c r="U98" s="136"/>
      <c r="V98" s="136"/>
    </row>
    <row r="99" spans="1:24" s="199" customFormat="1" x14ac:dyDescent="0.25">
      <c r="A99" s="223" t="s">
        <v>284</v>
      </c>
      <c r="B99" s="212"/>
      <c r="C99" s="213"/>
      <c r="D99" s="196"/>
      <c r="E99" s="233"/>
      <c r="F99" s="234">
        <f>SUM(F93:F98)</f>
        <v>5.7606779999999996E-2</v>
      </c>
      <c r="G99" s="198">
        <f>SUM(G93:G98)</f>
        <v>5.7606779999999996E-2</v>
      </c>
      <c r="H99" s="198">
        <v>1.8554164887450347E-2</v>
      </c>
      <c r="I99" s="198">
        <f>F99-H99</f>
        <v>3.9052615112549649E-2</v>
      </c>
      <c r="J99" s="198"/>
      <c r="K99" s="197"/>
      <c r="L99" s="198">
        <f>SUM(L93:L98)</f>
        <v>0.86261863999999999</v>
      </c>
      <c r="M99" s="197"/>
      <c r="N99" s="198">
        <f>SUM(N93:N98)</f>
        <v>0.86261863999999999</v>
      </c>
      <c r="O99" s="198"/>
      <c r="P99" s="197"/>
      <c r="Q99" s="198">
        <f>SUM(Q93:Q98)</f>
        <v>0.86261863999999999</v>
      </c>
      <c r="R99" s="197"/>
      <c r="S99" s="198">
        <f>SUM(S93:S98)</f>
        <v>0.86261863999999999</v>
      </c>
      <c r="U99" s="200"/>
      <c r="V99" s="200"/>
    </row>
    <row r="100" spans="1:24" x14ac:dyDescent="0.25">
      <c r="C100" s="206"/>
      <c r="D100" s="207"/>
      <c r="E100" s="242"/>
      <c r="F100" s="235"/>
      <c r="G100" s="205"/>
      <c r="H100" s="205"/>
      <c r="I100" s="205"/>
      <c r="J100" s="208"/>
      <c r="K100" s="205"/>
      <c r="L100" s="205"/>
      <c r="M100" s="205"/>
      <c r="N100" s="205"/>
      <c r="O100" s="208"/>
      <c r="P100" s="205"/>
      <c r="Q100" s="205"/>
      <c r="R100" s="205"/>
      <c r="S100" s="205"/>
      <c r="U100" s="136"/>
      <c r="V100" s="136"/>
    </row>
    <row r="101" spans="1:24" s="199" customFormat="1" ht="14.4" thickBot="1" x14ac:dyDescent="0.3">
      <c r="A101" s="225" t="s">
        <v>40</v>
      </c>
      <c r="B101" s="211"/>
      <c r="C101" s="211"/>
      <c r="D101" s="211"/>
      <c r="E101" s="236">
        <f>E70</f>
        <v>2.0000095720000002</v>
      </c>
      <c r="F101" s="236">
        <f>F99+F90+F70</f>
        <v>0.77854623000000012</v>
      </c>
      <c r="G101" s="202">
        <f>G99+G90+G70</f>
        <v>2.7785558020000005</v>
      </c>
      <c r="H101" s="202">
        <f>H99+H90+H70</f>
        <v>0.63346557909090906</v>
      </c>
      <c r="I101" s="202">
        <f>I99+I90+I70</f>
        <v>0.14508065090909097</v>
      </c>
      <c r="J101" s="203"/>
      <c r="K101" s="202">
        <f>K70</f>
        <v>18.052189439999996</v>
      </c>
      <c r="L101" s="202">
        <f>L99+L90+L70</f>
        <v>13.207357949090911</v>
      </c>
      <c r="M101" s="202">
        <f>SUM(M7:M88)</f>
        <v>0</v>
      </c>
      <c r="N101" s="202">
        <f>N99+N90+N70</f>
        <v>31.259547389090905</v>
      </c>
      <c r="O101" s="202"/>
      <c r="P101" s="202">
        <f>P70</f>
        <v>18.052189439999996</v>
      </c>
      <c r="Q101" s="202">
        <f>Q99+Q90+Q70</f>
        <v>13.207357949090911</v>
      </c>
      <c r="R101" s="202">
        <f>SUM(R8:R88)</f>
        <v>0</v>
      </c>
      <c r="S101" s="202">
        <f>S99+S90+S70</f>
        <v>31.259547389090905</v>
      </c>
      <c r="U101" s="228"/>
      <c r="V101" s="228"/>
      <c r="X101" s="204"/>
    </row>
    <row r="102" spans="1:24" ht="14.4" thickTop="1" x14ac:dyDescent="0.25">
      <c r="E102" s="243">
        <f>E101*1000000</f>
        <v>2000009.5720000002</v>
      </c>
      <c r="N102" s="162">
        <v>70534.219999999274</v>
      </c>
    </row>
    <row r="103" spans="1:24" x14ac:dyDescent="0.25">
      <c r="E103" s="243"/>
      <c r="G103" s="162">
        <f>F99+L99</f>
        <v>0.92022541999999996</v>
      </c>
      <c r="N103" s="162">
        <f>N102/1000000</f>
        <v>7.0534219999999273E-2</v>
      </c>
      <c r="O103" s="38">
        <v>2.5961999999999999E-2</v>
      </c>
      <c r="P103" s="162">
        <f>N103-O103-O104</f>
        <v>1.8610219999999275E-2</v>
      </c>
    </row>
    <row r="104" spans="1:24" x14ac:dyDescent="0.25">
      <c r="G104" s="162">
        <f>G103*1000000</f>
        <v>920225.41999999993</v>
      </c>
      <c r="O104" s="38">
        <v>2.5961999999999999E-2</v>
      </c>
    </row>
    <row r="105" spans="1:24" x14ac:dyDescent="0.25">
      <c r="E105" s="243"/>
      <c r="F105" s="238"/>
      <c r="M105" s="168"/>
    </row>
    <row r="107" spans="1:24" x14ac:dyDescent="0.25">
      <c r="E107" s="243"/>
    </row>
    <row r="111" spans="1:24" x14ac:dyDescent="0.25">
      <c r="L111" s="162">
        <f>347948+2232706+3412665+2897672</f>
        <v>8890991</v>
      </c>
    </row>
    <row r="133" spans="3:6" ht="14.4" thickBot="1" x14ac:dyDescent="0.3"/>
    <row r="134" spans="3:6" ht="28.2" thickBot="1" x14ac:dyDescent="0.3">
      <c r="C134" s="166" t="s">
        <v>153</v>
      </c>
      <c r="D134" s="38">
        <v>347</v>
      </c>
      <c r="E134" s="244">
        <v>108.64</v>
      </c>
      <c r="F134" s="239">
        <f>SUM(D134*E134)</f>
        <v>37698.080000000002</v>
      </c>
    </row>
    <row r="135" spans="3:6" ht="14.4" thickBot="1" x14ac:dyDescent="0.3">
      <c r="C135" s="167" t="s">
        <v>155</v>
      </c>
      <c r="D135" s="38">
        <v>485</v>
      </c>
      <c r="E135" s="244">
        <v>108.64</v>
      </c>
      <c r="F135" s="239">
        <f t="shared" ref="F135:F146" si="7">SUM(D135*E135)</f>
        <v>52690.400000000001</v>
      </c>
    </row>
    <row r="136" spans="3:6" ht="28.2" thickBot="1" x14ac:dyDescent="0.3">
      <c r="C136" s="167" t="s">
        <v>156</v>
      </c>
      <c r="D136" s="38">
        <v>272</v>
      </c>
      <c r="E136" s="244">
        <v>108.64</v>
      </c>
      <c r="F136" s="239">
        <f t="shared" si="7"/>
        <v>29550.080000000002</v>
      </c>
    </row>
    <row r="137" spans="3:6" ht="28.2" thickBot="1" x14ac:dyDescent="0.3">
      <c r="C137" s="167" t="s">
        <v>157</v>
      </c>
      <c r="D137" s="38">
        <v>398</v>
      </c>
      <c r="E137" s="244">
        <v>108.64</v>
      </c>
      <c r="F137" s="239">
        <f t="shared" si="7"/>
        <v>43238.720000000001</v>
      </c>
    </row>
    <row r="138" spans="3:6" ht="28.2" thickBot="1" x14ac:dyDescent="0.3">
      <c r="C138" s="167" t="s">
        <v>158</v>
      </c>
      <c r="D138" s="38">
        <v>207</v>
      </c>
      <c r="E138" s="244">
        <v>108.64</v>
      </c>
      <c r="F138" s="239">
        <f t="shared" si="7"/>
        <v>22488.48</v>
      </c>
    </row>
    <row r="139" spans="3:6" ht="28.2" thickBot="1" x14ac:dyDescent="0.3">
      <c r="C139" s="167" t="s">
        <v>159</v>
      </c>
      <c r="D139" s="38">
        <v>422</v>
      </c>
      <c r="E139" s="244">
        <v>108.64</v>
      </c>
      <c r="F139" s="239">
        <f t="shared" si="7"/>
        <v>45846.080000000002</v>
      </c>
    </row>
    <row r="140" spans="3:6" ht="28.2" thickBot="1" x14ac:dyDescent="0.3">
      <c r="C140" s="167" t="s">
        <v>160</v>
      </c>
      <c r="D140" s="38">
        <v>485</v>
      </c>
      <c r="E140" s="244">
        <v>108.64</v>
      </c>
      <c r="F140" s="239">
        <f t="shared" si="7"/>
        <v>52690.400000000001</v>
      </c>
    </row>
    <row r="141" spans="3:6" ht="28.2" thickBot="1" x14ac:dyDescent="0.3">
      <c r="C141" s="167" t="s">
        <v>161</v>
      </c>
      <c r="D141" s="38">
        <v>64</v>
      </c>
      <c r="E141" s="244">
        <v>108.64</v>
      </c>
      <c r="F141" s="239">
        <f t="shared" si="7"/>
        <v>6952.96</v>
      </c>
    </row>
    <row r="142" spans="3:6" ht="28.2" thickBot="1" x14ac:dyDescent="0.3">
      <c r="C142" s="167" t="s">
        <v>162</v>
      </c>
      <c r="D142" s="38">
        <v>125</v>
      </c>
      <c r="E142" s="244">
        <v>108.64</v>
      </c>
      <c r="F142" s="239">
        <f t="shared" si="7"/>
        <v>13580</v>
      </c>
    </row>
    <row r="143" spans="3:6" ht="28.2" thickBot="1" x14ac:dyDescent="0.3">
      <c r="C143" s="167" t="s">
        <v>163</v>
      </c>
      <c r="D143" s="38">
        <v>75</v>
      </c>
      <c r="E143" s="244">
        <v>108.64</v>
      </c>
      <c r="F143" s="239">
        <f t="shared" si="7"/>
        <v>8148</v>
      </c>
    </row>
    <row r="144" spans="3:6" ht="28.2" thickBot="1" x14ac:dyDescent="0.3">
      <c r="C144" s="167" t="s">
        <v>164</v>
      </c>
      <c r="D144" s="38">
        <v>185</v>
      </c>
      <c r="E144" s="244">
        <v>108.64</v>
      </c>
      <c r="F144" s="239">
        <f t="shared" si="7"/>
        <v>20098.400000000001</v>
      </c>
    </row>
    <row r="145" spans="3:6" ht="14.4" thickBot="1" x14ac:dyDescent="0.3">
      <c r="C145" s="167" t="s">
        <v>165</v>
      </c>
      <c r="D145" s="38">
        <v>63</v>
      </c>
      <c r="E145" s="244">
        <v>108.64</v>
      </c>
      <c r="F145" s="239">
        <f t="shared" si="7"/>
        <v>6844.32</v>
      </c>
    </row>
    <row r="146" spans="3:6" ht="14.4" thickBot="1" x14ac:dyDescent="0.3">
      <c r="C146" s="167" t="s">
        <v>166</v>
      </c>
      <c r="D146" s="38">
        <v>25</v>
      </c>
      <c r="E146" s="244">
        <v>108.64</v>
      </c>
      <c r="F146" s="239">
        <f t="shared" si="7"/>
        <v>2716</v>
      </c>
    </row>
    <row r="147" spans="3:6" ht="28.2" thickBot="1" x14ac:dyDescent="0.3">
      <c r="C147" s="167" t="s">
        <v>167</v>
      </c>
    </row>
    <row r="148" spans="3:6" ht="28.2" thickBot="1" x14ac:dyDescent="0.3">
      <c r="C148" s="167" t="s">
        <v>168</v>
      </c>
    </row>
    <row r="149" spans="3:6" ht="28.2" thickBot="1" x14ac:dyDescent="0.3">
      <c r="C149" s="167" t="s">
        <v>169</v>
      </c>
    </row>
    <row r="150" spans="3:6" ht="28.2" thickBot="1" x14ac:dyDescent="0.3">
      <c r="C150" s="167" t="s">
        <v>170</v>
      </c>
    </row>
    <row r="151" spans="3:6" ht="28.2" thickBot="1" x14ac:dyDescent="0.3">
      <c r="C151" s="167" t="s">
        <v>171</v>
      </c>
    </row>
    <row r="152" spans="3:6" ht="28.2" thickBot="1" x14ac:dyDescent="0.3">
      <c r="C152" s="167" t="s">
        <v>172</v>
      </c>
    </row>
  </sheetData>
  <autoFilter ref="A7:Y103" xr:uid="{00000000-0009-0000-0000-00000E000000}"/>
  <mergeCells count="10">
    <mergeCell ref="A1:S1"/>
    <mergeCell ref="A2:S2"/>
    <mergeCell ref="A3:S3"/>
    <mergeCell ref="A4:S4"/>
    <mergeCell ref="A5:A6"/>
    <mergeCell ref="B5:B6"/>
    <mergeCell ref="C5:C6"/>
    <mergeCell ref="D5:G5"/>
    <mergeCell ref="J5:N5"/>
    <mergeCell ref="O5:S5"/>
  </mergeCells>
  <printOptions horizontalCentered="1"/>
  <pageMargins left="0.6" right="0.16" top="0.26" bottom="0.2" header="0.25" footer="0.16"/>
  <pageSetup paperSize="9" scale="48" orientation="landscape" r:id="rId1"/>
  <headerFooter alignWithMargins="0"/>
  <rowBreaks count="2" manualBreakCount="2">
    <brk id="71" max="17" man="1"/>
    <brk id="101" max="16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S51"/>
  <sheetViews>
    <sheetView view="pageBreakPreview" zoomScale="90" zoomScaleSheetLayoutView="90" workbookViewId="0">
      <pane ySplit="6" topLeftCell="A7" activePane="bottomLeft" state="frozen"/>
      <selection activeCell="F197" sqref="F197"/>
      <selection pane="bottomLeft" activeCell="S7" sqref="S7"/>
    </sheetView>
  </sheetViews>
  <sheetFormatPr defaultColWidth="7.109375" defaultRowHeight="13.8" x14ac:dyDescent="0.25"/>
  <cols>
    <col min="1" max="1" width="4.6640625" style="418" customWidth="1"/>
    <col min="2" max="2" width="17" style="418" customWidth="1"/>
    <col min="3" max="3" width="9.109375" style="410" customWidth="1"/>
    <col min="4" max="4" width="10.6640625" style="410" customWidth="1"/>
    <col min="5" max="5" width="17.88671875" style="410" hidden="1" customWidth="1"/>
    <col min="6" max="6" width="9.5546875" style="425" customWidth="1"/>
    <col min="7" max="8" width="22.88671875" style="425" hidden="1" customWidth="1"/>
    <col min="9" max="9" width="9" style="425" customWidth="1"/>
    <col min="10" max="10" width="7.5546875" style="418" customWidth="1"/>
    <col min="11" max="12" width="9" style="425" customWidth="1"/>
    <col min="13" max="13" width="7.88671875" style="425" customWidth="1"/>
    <col min="14" max="14" width="9.5546875" style="425" customWidth="1"/>
    <col min="15" max="15" width="7.88671875" style="410" customWidth="1"/>
    <col min="16" max="16" width="8.5546875" style="425" customWidth="1"/>
    <col min="17" max="17" width="8.6640625" style="424" customWidth="1"/>
    <col min="18" max="18" width="7.44140625" style="425" customWidth="1"/>
    <col min="19" max="19" width="9.5546875" style="425" customWidth="1"/>
    <col min="20" max="247" width="7.109375" style="410"/>
    <col min="248" max="248" width="4.6640625" style="410" customWidth="1"/>
    <col min="249" max="249" width="17" style="410" customWidth="1"/>
    <col min="250" max="250" width="22.44140625" style="410" customWidth="1"/>
    <col min="251" max="251" width="9.109375" style="410" customWidth="1"/>
    <col min="252" max="252" width="8.33203125" style="410" customWidth="1"/>
    <col min="253" max="254" width="0" style="410" hidden="1" customWidth="1"/>
    <col min="255" max="255" width="9.5546875" style="410" customWidth="1"/>
    <col min="256" max="257" width="0" style="410" hidden="1" customWidth="1"/>
    <col min="258" max="258" width="9" style="410" customWidth="1"/>
    <col min="259" max="259" width="7.5546875" style="410" customWidth="1"/>
    <col min="260" max="261" width="9" style="410" customWidth="1"/>
    <col min="262" max="262" width="7.88671875" style="410" customWidth="1"/>
    <col min="263" max="263" width="9.5546875" style="410" customWidth="1"/>
    <col min="264" max="264" width="7.88671875" style="410" customWidth="1"/>
    <col min="265" max="265" width="8.5546875" style="410" customWidth="1"/>
    <col min="266" max="266" width="8.6640625" style="410" customWidth="1"/>
    <col min="267" max="267" width="7.44140625" style="410" customWidth="1"/>
    <col min="268" max="268" width="9.5546875" style="410" customWidth="1"/>
    <col min="269" max="270" width="18.5546875" style="410" bestFit="1" customWidth="1"/>
    <col min="271" max="271" width="14.88671875" style="410" bestFit="1" customWidth="1"/>
    <col min="272" max="503" width="7.109375" style="410"/>
    <col min="504" max="504" width="4.6640625" style="410" customWidth="1"/>
    <col min="505" max="505" width="17" style="410" customWidth="1"/>
    <col min="506" max="506" width="22.44140625" style="410" customWidth="1"/>
    <col min="507" max="507" width="9.109375" style="410" customWidth="1"/>
    <col min="508" max="508" width="8.33203125" style="410" customWidth="1"/>
    <col min="509" max="510" width="0" style="410" hidden="1" customWidth="1"/>
    <col min="511" max="511" width="9.5546875" style="410" customWidth="1"/>
    <col min="512" max="513" width="0" style="410" hidden="1" customWidth="1"/>
    <col min="514" max="514" width="9" style="410" customWidth="1"/>
    <col min="515" max="515" width="7.5546875" style="410" customWidth="1"/>
    <col min="516" max="517" width="9" style="410" customWidth="1"/>
    <col min="518" max="518" width="7.88671875" style="410" customWidth="1"/>
    <col min="519" max="519" width="9.5546875" style="410" customWidth="1"/>
    <col min="520" max="520" width="7.88671875" style="410" customWidth="1"/>
    <col min="521" max="521" width="8.5546875" style="410" customWidth="1"/>
    <col min="522" max="522" width="8.6640625" style="410" customWidth="1"/>
    <col min="523" max="523" width="7.44140625" style="410" customWidth="1"/>
    <col min="524" max="524" width="9.5546875" style="410" customWidth="1"/>
    <col min="525" max="526" width="18.5546875" style="410" bestFit="1" customWidth="1"/>
    <col min="527" max="527" width="14.88671875" style="410" bestFit="1" customWidth="1"/>
    <col min="528" max="759" width="7.109375" style="410"/>
    <col min="760" max="760" width="4.6640625" style="410" customWidth="1"/>
    <col min="761" max="761" width="17" style="410" customWidth="1"/>
    <col min="762" max="762" width="22.44140625" style="410" customWidth="1"/>
    <col min="763" max="763" width="9.109375" style="410" customWidth="1"/>
    <col min="764" max="764" width="8.33203125" style="410" customWidth="1"/>
    <col min="765" max="766" width="0" style="410" hidden="1" customWidth="1"/>
    <col min="767" max="767" width="9.5546875" style="410" customWidth="1"/>
    <col min="768" max="769" width="0" style="410" hidden="1" customWidth="1"/>
    <col min="770" max="770" width="9" style="410" customWidth="1"/>
    <col min="771" max="771" width="7.5546875" style="410" customWidth="1"/>
    <col min="772" max="773" width="9" style="410" customWidth="1"/>
    <col min="774" max="774" width="7.88671875" style="410" customWidth="1"/>
    <col min="775" max="775" width="9.5546875" style="410" customWidth="1"/>
    <col min="776" max="776" width="7.88671875" style="410" customWidth="1"/>
    <col min="777" max="777" width="8.5546875" style="410" customWidth="1"/>
    <col min="778" max="778" width="8.6640625" style="410" customWidth="1"/>
    <col min="779" max="779" width="7.44140625" style="410" customWidth="1"/>
    <col min="780" max="780" width="9.5546875" style="410" customWidth="1"/>
    <col min="781" max="782" width="18.5546875" style="410" bestFit="1" customWidth="1"/>
    <col min="783" max="783" width="14.88671875" style="410" bestFit="1" customWidth="1"/>
    <col min="784" max="1015" width="7.109375" style="410"/>
    <col min="1016" max="1016" width="4.6640625" style="410" customWidth="1"/>
    <col min="1017" max="1017" width="17" style="410" customWidth="1"/>
    <col min="1018" max="1018" width="22.44140625" style="410" customWidth="1"/>
    <col min="1019" max="1019" width="9.109375" style="410" customWidth="1"/>
    <col min="1020" max="1020" width="8.33203125" style="410" customWidth="1"/>
    <col min="1021" max="1022" width="0" style="410" hidden="1" customWidth="1"/>
    <col min="1023" max="1023" width="9.5546875" style="410" customWidth="1"/>
    <col min="1024" max="1025" width="0" style="410" hidden="1" customWidth="1"/>
    <col min="1026" max="1026" width="9" style="410" customWidth="1"/>
    <col min="1027" max="1027" width="7.5546875" style="410" customWidth="1"/>
    <col min="1028" max="1029" width="9" style="410" customWidth="1"/>
    <col min="1030" max="1030" width="7.88671875" style="410" customWidth="1"/>
    <col min="1031" max="1031" width="9.5546875" style="410" customWidth="1"/>
    <col min="1032" max="1032" width="7.88671875" style="410" customWidth="1"/>
    <col min="1033" max="1033" width="8.5546875" style="410" customWidth="1"/>
    <col min="1034" max="1034" width="8.6640625" style="410" customWidth="1"/>
    <col min="1035" max="1035" width="7.44140625" style="410" customWidth="1"/>
    <col min="1036" max="1036" width="9.5546875" style="410" customWidth="1"/>
    <col min="1037" max="1038" width="18.5546875" style="410" bestFit="1" customWidth="1"/>
    <col min="1039" max="1039" width="14.88671875" style="410" bestFit="1" customWidth="1"/>
    <col min="1040" max="1271" width="7.109375" style="410"/>
    <col min="1272" max="1272" width="4.6640625" style="410" customWidth="1"/>
    <col min="1273" max="1273" width="17" style="410" customWidth="1"/>
    <col min="1274" max="1274" width="22.44140625" style="410" customWidth="1"/>
    <col min="1275" max="1275" width="9.109375" style="410" customWidth="1"/>
    <col min="1276" max="1276" width="8.33203125" style="410" customWidth="1"/>
    <col min="1277" max="1278" width="0" style="410" hidden="1" customWidth="1"/>
    <col min="1279" max="1279" width="9.5546875" style="410" customWidth="1"/>
    <col min="1280" max="1281" width="0" style="410" hidden="1" customWidth="1"/>
    <col min="1282" max="1282" width="9" style="410" customWidth="1"/>
    <col min="1283" max="1283" width="7.5546875" style="410" customWidth="1"/>
    <col min="1284" max="1285" width="9" style="410" customWidth="1"/>
    <col min="1286" max="1286" width="7.88671875" style="410" customWidth="1"/>
    <col min="1287" max="1287" width="9.5546875" style="410" customWidth="1"/>
    <col min="1288" max="1288" width="7.88671875" style="410" customWidth="1"/>
    <col min="1289" max="1289" width="8.5546875" style="410" customWidth="1"/>
    <col min="1290" max="1290" width="8.6640625" style="410" customWidth="1"/>
    <col min="1291" max="1291" width="7.44140625" style="410" customWidth="1"/>
    <col min="1292" max="1292" width="9.5546875" style="410" customWidth="1"/>
    <col min="1293" max="1294" width="18.5546875" style="410" bestFit="1" customWidth="1"/>
    <col min="1295" max="1295" width="14.88671875" style="410" bestFit="1" customWidth="1"/>
    <col min="1296" max="1527" width="7.109375" style="410"/>
    <col min="1528" max="1528" width="4.6640625" style="410" customWidth="1"/>
    <col min="1529" max="1529" width="17" style="410" customWidth="1"/>
    <col min="1530" max="1530" width="22.44140625" style="410" customWidth="1"/>
    <col min="1531" max="1531" width="9.109375" style="410" customWidth="1"/>
    <col min="1532" max="1532" width="8.33203125" style="410" customWidth="1"/>
    <col min="1533" max="1534" width="0" style="410" hidden="1" customWidth="1"/>
    <col min="1535" max="1535" width="9.5546875" style="410" customWidth="1"/>
    <col min="1536" max="1537" width="0" style="410" hidden="1" customWidth="1"/>
    <col min="1538" max="1538" width="9" style="410" customWidth="1"/>
    <col min="1539" max="1539" width="7.5546875" style="410" customWidth="1"/>
    <col min="1540" max="1541" width="9" style="410" customWidth="1"/>
    <col min="1542" max="1542" width="7.88671875" style="410" customWidth="1"/>
    <col min="1543" max="1543" width="9.5546875" style="410" customWidth="1"/>
    <col min="1544" max="1544" width="7.88671875" style="410" customWidth="1"/>
    <col min="1545" max="1545" width="8.5546875" style="410" customWidth="1"/>
    <col min="1546" max="1546" width="8.6640625" style="410" customWidth="1"/>
    <col min="1547" max="1547" width="7.44140625" style="410" customWidth="1"/>
    <col min="1548" max="1548" width="9.5546875" style="410" customWidth="1"/>
    <col min="1549" max="1550" width="18.5546875" style="410" bestFit="1" customWidth="1"/>
    <col min="1551" max="1551" width="14.88671875" style="410" bestFit="1" customWidth="1"/>
    <col min="1552" max="1783" width="7.109375" style="410"/>
    <col min="1784" max="1784" width="4.6640625" style="410" customWidth="1"/>
    <col min="1785" max="1785" width="17" style="410" customWidth="1"/>
    <col min="1786" max="1786" width="22.44140625" style="410" customWidth="1"/>
    <col min="1787" max="1787" width="9.109375" style="410" customWidth="1"/>
    <col min="1788" max="1788" width="8.33203125" style="410" customWidth="1"/>
    <col min="1789" max="1790" width="0" style="410" hidden="1" customWidth="1"/>
    <col min="1791" max="1791" width="9.5546875" style="410" customWidth="1"/>
    <col min="1792" max="1793" width="0" style="410" hidden="1" customWidth="1"/>
    <col min="1794" max="1794" width="9" style="410" customWidth="1"/>
    <col min="1795" max="1795" width="7.5546875" style="410" customWidth="1"/>
    <col min="1796" max="1797" width="9" style="410" customWidth="1"/>
    <col min="1798" max="1798" width="7.88671875" style="410" customWidth="1"/>
    <col min="1799" max="1799" width="9.5546875" style="410" customWidth="1"/>
    <col min="1800" max="1800" width="7.88671875" style="410" customWidth="1"/>
    <col min="1801" max="1801" width="8.5546875" style="410" customWidth="1"/>
    <col min="1802" max="1802" width="8.6640625" style="410" customWidth="1"/>
    <col min="1803" max="1803" width="7.44140625" style="410" customWidth="1"/>
    <col min="1804" max="1804" width="9.5546875" style="410" customWidth="1"/>
    <col min="1805" max="1806" width="18.5546875" style="410" bestFit="1" customWidth="1"/>
    <col min="1807" max="1807" width="14.88671875" style="410" bestFit="1" customWidth="1"/>
    <col min="1808" max="2039" width="7.109375" style="410"/>
    <col min="2040" max="2040" width="4.6640625" style="410" customWidth="1"/>
    <col min="2041" max="2041" width="17" style="410" customWidth="1"/>
    <col min="2042" max="2042" width="22.44140625" style="410" customWidth="1"/>
    <col min="2043" max="2043" width="9.109375" style="410" customWidth="1"/>
    <col min="2044" max="2044" width="8.33203125" style="410" customWidth="1"/>
    <col min="2045" max="2046" width="0" style="410" hidden="1" customWidth="1"/>
    <col min="2047" max="2047" width="9.5546875" style="410" customWidth="1"/>
    <col min="2048" max="2049" width="0" style="410" hidden="1" customWidth="1"/>
    <col min="2050" max="2050" width="9" style="410" customWidth="1"/>
    <col min="2051" max="2051" width="7.5546875" style="410" customWidth="1"/>
    <col min="2052" max="2053" width="9" style="410" customWidth="1"/>
    <col min="2054" max="2054" width="7.88671875" style="410" customWidth="1"/>
    <col min="2055" max="2055" width="9.5546875" style="410" customWidth="1"/>
    <col min="2056" max="2056" width="7.88671875" style="410" customWidth="1"/>
    <col min="2057" max="2057" width="8.5546875" style="410" customWidth="1"/>
    <col min="2058" max="2058" width="8.6640625" style="410" customWidth="1"/>
    <col min="2059" max="2059" width="7.44140625" style="410" customWidth="1"/>
    <col min="2060" max="2060" width="9.5546875" style="410" customWidth="1"/>
    <col min="2061" max="2062" width="18.5546875" style="410" bestFit="1" customWidth="1"/>
    <col min="2063" max="2063" width="14.88671875" style="410" bestFit="1" customWidth="1"/>
    <col min="2064" max="2295" width="7.109375" style="410"/>
    <col min="2296" max="2296" width="4.6640625" style="410" customWidth="1"/>
    <col min="2297" max="2297" width="17" style="410" customWidth="1"/>
    <col min="2298" max="2298" width="22.44140625" style="410" customWidth="1"/>
    <col min="2299" max="2299" width="9.109375" style="410" customWidth="1"/>
    <col min="2300" max="2300" width="8.33203125" style="410" customWidth="1"/>
    <col min="2301" max="2302" width="0" style="410" hidden="1" customWidth="1"/>
    <col min="2303" max="2303" width="9.5546875" style="410" customWidth="1"/>
    <col min="2304" max="2305" width="0" style="410" hidden="1" customWidth="1"/>
    <col min="2306" max="2306" width="9" style="410" customWidth="1"/>
    <col min="2307" max="2307" width="7.5546875" style="410" customWidth="1"/>
    <col min="2308" max="2309" width="9" style="410" customWidth="1"/>
    <col min="2310" max="2310" width="7.88671875" style="410" customWidth="1"/>
    <col min="2311" max="2311" width="9.5546875" style="410" customWidth="1"/>
    <col min="2312" max="2312" width="7.88671875" style="410" customWidth="1"/>
    <col min="2313" max="2313" width="8.5546875" style="410" customWidth="1"/>
    <col min="2314" max="2314" width="8.6640625" style="410" customWidth="1"/>
    <col min="2315" max="2315" width="7.44140625" style="410" customWidth="1"/>
    <col min="2316" max="2316" width="9.5546875" style="410" customWidth="1"/>
    <col min="2317" max="2318" width="18.5546875" style="410" bestFit="1" customWidth="1"/>
    <col min="2319" max="2319" width="14.88671875" style="410" bestFit="1" customWidth="1"/>
    <col min="2320" max="2551" width="7.109375" style="410"/>
    <col min="2552" max="2552" width="4.6640625" style="410" customWidth="1"/>
    <col min="2553" max="2553" width="17" style="410" customWidth="1"/>
    <col min="2554" max="2554" width="22.44140625" style="410" customWidth="1"/>
    <col min="2555" max="2555" width="9.109375" style="410" customWidth="1"/>
    <col min="2556" max="2556" width="8.33203125" style="410" customWidth="1"/>
    <col min="2557" max="2558" width="0" style="410" hidden="1" customWidth="1"/>
    <col min="2559" max="2559" width="9.5546875" style="410" customWidth="1"/>
    <col min="2560" max="2561" width="0" style="410" hidden="1" customWidth="1"/>
    <col min="2562" max="2562" width="9" style="410" customWidth="1"/>
    <col min="2563" max="2563" width="7.5546875" style="410" customWidth="1"/>
    <col min="2564" max="2565" width="9" style="410" customWidth="1"/>
    <col min="2566" max="2566" width="7.88671875" style="410" customWidth="1"/>
    <col min="2567" max="2567" width="9.5546875" style="410" customWidth="1"/>
    <col min="2568" max="2568" width="7.88671875" style="410" customWidth="1"/>
    <col min="2569" max="2569" width="8.5546875" style="410" customWidth="1"/>
    <col min="2570" max="2570" width="8.6640625" style="410" customWidth="1"/>
    <col min="2571" max="2571" width="7.44140625" style="410" customWidth="1"/>
    <col min="2572" max="2572" width="9.5546875" style="410" customWidth="1"/>
    <col min="2573" max="2574" width="18.5546875" style="410" bestFit="1" customWidth="1"/>
    <col min="2575" max="2575" width="14.88671875" style="410" bestFit="1" customWidth="1"/>
    <col min="2576" max="2807" width="7.109375" style="410"/>
    <col min="2808" max="2808" width="4.6640625" style="410" customWidth="1"/>
    <col min="2809" max="2809" width="17" style="410" customWidth="1"/>
    <col min="2810" max="2810" width="22.44140625" style="410" customWidth="1"/>
    <col min="2811" max="2811" width="9.109375" style="410" customWidth="1"/>
    <col min="2812" max="2812" width="8.33203125" style="410" customWidth="1"/>
    <col min="2813" max="2814" width="0" style="410" hidden="1" customWidth="1"/>
    <col min="2815" max="2815" width="9.5546875" style="410" customWidth="1"/>
    <col min="2816" max="2817" width="0" style="410" hidden="1" customWidth="1"/>
    <col min="2818" max="2818" width="9" style="410" customWidth="1"/>
    <col min="2819" max="2819" width="7.5546875" style="410" customWidth="1"/>
    <col min="2820" max="2821" width="9" style="410" customWidth="1"/>
    <col min="2822" max="2822" width="7.88671875" style="410" customWidth="1"/>
    <col min="2823" max="2823" width="9.5546875" style="410" customWidth="1"/>
    <col min="2824" max="2824" width="7.88671875" style="410" customWidth="1"/>
    <col min="2825" max="2825" width="8.5546875" style="410" customWidth="1"/>
    <col min="2826" max="2826" width="8.6640625" style="410" customWidth="1"/>
    <col min="2827" max="2827" width="7.44140625" style="410" customWidth="1"/>
    <col min="2828" max="2828" width="9.5546875" style="410" customWidth="1"/>
    <col min="2829" max="2830" width="18.5546875" style="410" bestFit="1" customWidth="1"/>
    <col min="2831" max="2831" width="14.88671875" style="410" bestFit="1" customWidth="1"/>
    <col min="2832" max="3063" width="7.109375" style="410"/>
    <col min="3064" max="3064" width="4.6640625" style="410" customWidth="1"/>
    <col min="3065" max="3065" width="17" style="410" customWidth="1"/>
    <col min="3066" max="3066" width="22.44140625" style="410" customWidth="1"/>
    <col min="3067" max="3067" width="9.109375" style="410" customWidth="1"/>
    <col min="3068" max="3068" width="8.33203125" style="410" customWidth="1"/>
    <col min="3069" max="3070" width="0" style="410" hidden="1" customWidth="1"/>
    <col min="3071" max="3071" width="9.5546875" style="410" customWidth="1"/>
    <col min="3072" max="3073" width="0" style="410" hidden="1" customWidth="1"/>
    <col min="3074" max="3074" width="9" style="410" customWidth="1"/>
    <col min="3075" max="3075" width="7.5546875" style="410" customWidth="1"/>
    <col min="3076" max="3077" width="9" style="410" customWidth="1"/>
    <col min="3078" max="3078" width="7.88671875" style="410" customWidth="1"/>
    <col min="3079" max="3079" width="9.5546875" style="410" customWidth="1"/>
    <col min="3080" max="3080" width="7.88671875" style="410" customWidth="1"/>
    <col min="3081" max="3081" width="8.5546875" style="410" customWidth="1"/>
    <col min="3082" max="3082" width="8.6640625" style="410" customWidth="1"/>
    <col min="3083" max="3083" width="7.44140625" style="410" customWidth="1"/>
    <col min="3084" max="3084" width="9.5546875" style="410" customWidth="1"/>
    <col min="3085" max="3086" width="18.5546875" style="410" bestFit="1" customWidth="1"/>
    <col min="3087" max="3087" width="14.88671875" style="410" bestFit="1" customWidth="1"/>
    <col min="3088" max="3319" width="7.109375" style="410"/>
    <col min="3320" max="3320" width="4.6640625" style="410" customWidth="1"/>
    <col min="3321" max="3321" width="17" style="410" customWidth="1"/>
    <col min="3322" max="3322" width="22.44140625" style="410" customWidth="1"/>
    <col min="3323" max="3323" width="9.109375" style="410" customWidth="1"/>
    <col min="3324" max="3324" width="8.33203125" style="410" customWidth="1"/>
    <col min="3325" max="3326" width="0" style="410" hidden="1" customWidth="1"/>
    <col min="3327" max="3327" width="9.5546875" style="410" customWidth="1"/>
    <col min="3328" max="3329" width="0" style="410" hidden="1" customWidth="1"/>
    <col min="3330" max="3330" width="9" style="410" customWidth="1"/>
    <col min="3331" max="3331" width="7.5546875" style="410" customWidth="1"/>
    <col min="3332" max="3333" width="9" style="410" customWidth="1"/>
    <col min="3334" max="3334" width="7.88671875" style="410" customWidth="1"/>
    <col min="3335" max="3335" width="9.5546875" style="410" customWidth="1"/>
    <col min="3336" max="3336" width="7.88671875" style="410" customWidth="1"/>
    <col min="3337" max="3337" width="8.5546875" style="410" customWidth="1"/>
    <col min="3338" max="3338" width="8.6640625" style="410" customWidth="1"/>
    <col min="3339" max="3339" width="7.44140625" style="410" customWidth="1"/>
    <col min="3340" max="3340" width="9.5546875" style="410" customWidth="1"/>
    <col min="3341" max="3342" width="18.5546875" style="410" bestFit="1" customWidth="1"/>
    <col min="3343" max="3343" width="14.88671875" style="410" bestFit="1" customWidth="1"/>
    <col min="3344" max="3575" width="7.109375" style="410"/>
    <col min="3576" max="3576" width="4.6640625" style="410" customWidth="1"/>
    <col min="3577" max="3577" width="17" style="410" customWidth="1"/>
    <col min="3578" max="3578" width="22.44140625" style="410" customWidth="1"/>
    <col min="3579" max="3579" width="9.109375" style="410" customWidth="1"/>
    <col min="3580" max="3580" width="8.33203125" style="410" customWidth="1"/>
    <col min="3581" max="3582" width="0" style="410" hidden="1" customWidth="1"/>
    <col min="3583" max="3583" width="9.5546875" style="410" customWidth="1"/>
    <col min="3584" max="3585" width="0" style="410" hidden="1" customWidth="1"/>
    <col min="3586" max="3586" width="9" style="410" customWidth="1"/>
    <col min="3587" max="3587" width="7.5546875" style="410" customWidth="1"/>
    <col min="3588" max="3589" width="9" style="410" customWidth="1"/>
    <col min="3590" max="3590" width="7.88671875" style="410" customWidth="1"/>
    <col min="3591" max="3591" width="9.5546875" style="410" customWidth="1"/>
    <col min="3592" max="3592" width="7.88671875" style="410" customWidth="1"/>
    <col min="3593" max="3593" width="8.5546875" style="410" customWidth="1"/>
    <col min="3594" max="3594" width="8.6640625" style="410" customWidth="1"/>
    <col min="3595" max="3595" width="7.44140625" style="410" customWidth="1"/>
    <col min="3596" max="3596" width="9.5546875" style="410" customWidth="1"/>
    <col min="3597" max="3598" width="18.5546875" style="410" bestFit="1" customWidth="1"/>
    <col min="3599" max="3599" width="14.88671875" style="410" bestFit="1" customWidth="1"/>
    <col min="3600" max="3831" width="7.109375" style="410"/>
    <col min="3832" max="3832" width="4.6640625" style="410" customWidth="1"/>
    <col min="3833" max="3833" width="17" style="410" customWidth="1"/>
    <col min="3834" max="3834" width="22.44140625" style="410" customWidth="1"/>
    <col min="3835" max="3835" width="9.109375" style="410" customWidth="1"/>
    <col min="3836" max="3836" width="8.33203125" style="410" customWidth="1"/>
    <col min="3837" max="3838" width="0" style="410" hidden="1" customWidth="1"/>
    <col min="3839" max="3839" width="9.5546875" style="410" customWidth="1"/>
    <col min="3840" max="3841" width="0" style="410" hidden="1" customWidth="1"/>
    <col min="3842" max="3842" width="9" style="410" customWidth="1"/>
    <col min="3843" max="3843" width="7.5546875" style="410" customWidth="1"/>
    <col min="3844" max="3845" width="9" style="410" customWidth="1"/>
    <col min="3846" max="3846" width="7.88671875" style="410" customWidth="1"/>
    <col min="3847" max="3847" width="9.5546875" style="410" customWidth="1"/>
    <col min="3848" max="3848" width="7.88671875" style="410" customWidth="1"/>
    <col min="3849" max="3849" width="8.5546875" style="410" customWidth="1"/>
    <col min="3850" max="3850" width="8.6640625" style="410" customWidth="1"/>
    <col min="3851" max="3851" width="7.44140625" style="410" customWidth="1"/>
    <col min="3852" max="3852" width="9.5546875" style="410" customWidth="1"/>
    <col min="3853" max="3854" width="18.5546875" style="410" bestFit="1" customWidth="1"/>
    <col min="3855" max="3855" width="14.88671875" style="410" bestFit="1" customWidth="1"/>
    <col min="3856" max="4087" width="7.109375" style="410"/>
    <col min="4088" max="4088" width="4.6640625" style="410" customWidth="1"/>
    <col min="4089" max="4089" width="17" style="410" customWidth="1"/>
    <col min="4090" max="4090" width="22.44140625" style="410" customWidth="1"/>
    <col min="4091" max="4091" width="9.109375" style="410" customWidth="1"/>
    <col min="4092" max="4092" width="8.33203125" style="410" customWidth="1"/>
    <col min="4093" max="4094" width="0" style="410" hidden="1" customWidth="1"/>
    <col min="4095" max="4095" width="9.5546875" style="410" customWidth="1"/>
    <col min="4096" max="4097" width="0" style="410" hidden="1" customWidth="1"/>
    <col min="4098" max="4098" width="9" style="410" customWidth="1"/>
    <col min="4099" max="4099" width="7.5546875" style="410" customWidth="1"/>
    <col min="4100" max="4101" width="9" style="410" customWidth="1"/>
    <col min="4102" max="4102" width="7.88671875" style="410" customWidth="1"/>
    <col min="4103" max="4103" width="9.5546875" style="410" customWidth="1"/>
    <col min="4104" max="4104" width="7.88671875" style="410" customWidth="1"/>
    <col min="4105" max="4105" width="8.5546875" style="410" customWidth="1"/>
    <col min="4106" max="4106" width="8.6640625" style="410" customWidth="1"/>
    <col min="4107" max="4107" width="7.44140625" style="410" customWidth="1"/>
    <col min="4108" max="4108" width="9.5546875" style="410" customWidth="1"/>
    <col min="4109" max="4110" width="18.5546875" style="410" bestFit="1" customWidth="1"/>
    <col min="4111" max="4111" width="14.88671875" style="410" bestFit="1" customWidth="1"/>
    <col min="4112" max="4343" width="7.109375" style="410"/>
    <col min="4344" max="4344" width="4.6640625" style="410" customWidth="1"/>
    <col min="4345" max="4345" width="17" style="410" customWidth="1"/>
    <col min="4346" max="4346" width="22.44140625" style="410" customWidth="1"/>
    <col min="4347" max="4347" width="9.109375" style="410" customWidth="1"/>
    <col min="4348" max="4348" width="8.33203125" style="410" customWidth="1"/>
    <col min="4349" max="4350" width="0" style="410" hidden="1" customWidth="1"/>
    <col min="4351" max="4351" width="9.5546875" style="410" customWidth="1"/>
    <col min="4352" max="4353" width="0" style="410" hidden="1" customWidth="1"/>
    <col min="4354" max="4354" width="9" style="410" customWidth="1"/>
    <col min="4355" max="4355" width="7.5546875" style="410" customWidth="1"/>
    <col min="4356" max="4357" width="9" style="410" customWidth="1"/>
    <col min="4358" max="4358" width="7.88671875" style="410" customWidth="1"/>
    <col min="4359" max="4359" width="9.5546875" style="410" customWidth="1"/>
    <col min="4360" max="4360" width="7.88671875" style="410" customWidth="1"/>
    <col min="4361" max="4361" width="8.5546875" style="410" customWidth="1"/>
    <col min="4362" max="4362" width="8.6640625" style="410" customWidth="1"/>
    <col min="4363" max="4363" width="7.44140625" style="410" customWidth="1"/>
    <col min="4364" max="4364" width="9.5546875" style="410" customWidth="1"/>
    <col min="4365" max="4366" width="18.5546875" style="410" bestFit="1" customWidth="1"/>
    <col min="4367" max="4367" width="14.88671875" style="410" bestFit="1" customWidth="1"/>
    <col min="4368" max="4599" width="7.109375" style="410"/>
    <col min="4600" max="4600" width="4.6640625" style="410" customWidth="1"/>
    <col min="4601" max="4601" width="17" style="410" customWidth="1"/>
    <col min="4602" max="4602" width="22.44140625" style="410" customWidth="1"/>
    <col min="4603" max="4603" width="9.109375" style="410" customWidth="1"/>
    <col min="4604" max="4604" width="8.33203125" style="410" customWidth="1"/>
    <col min="4605" max="4606" width="0" style="410" hidden="1" customWidth="1"/>
    <col min="4607" max="4607" width="9.5546875" style="410" customWidth="1"/>
    <col min="4608" max="4609" width="0" style="410" hidden="1" customWidth="1"/>
    <col min="4610" max="4610" width="9" style="410" customWidth="1"/>
    <col min="4611" max="4611" width="7.5546875" style="410" customWidth="1"/>
    <col min="4612" max="4613" width="9" style="410" customWidth="1"/>
    <col min="4614" max="4614" width="7.88671875" style="410" customWidth="1"/>
    <col min="4615" max="4615" width="9.5546875" style="410" customWidth="1"/>
    <col min="4616" max="4616" width="7.88671875" style="410" customWidth="1"/>
    <col min="4617" max="4617" width="8.5546875" style="410" customWidth="1"/>
    <col min="4618" max="4618" width="8.6640625" style="410" customWidth="1"/>
    <col min="4619" max="4619" width="7.44140625" style="410" customWidth="1"/>
    <col min="4620" max="4620" width="9.5546875" style="410" customWidth="1"/>
    <col min="4621" max="4622" width="18.5546875" style="410" bestFit="1" customWidth="1"/>
    <col min="4623" max="4623" width="14.88671875" style="410" bestFit="1" customWidth="1"/>
    <col min="4624" max="4855" width="7.109375" style="410"/>
    <col min="4856" max="4856" width="4.6640625" style="410" customWidth="1"/>
    <col min="4857" max="4857" width="17" style="410" customWidth="1"/>
    <col min="4858" max="4858" width="22.44140625" style="410" customWidth="1"/>
    <col min="4859" max="4859" width="9.109375" style="410" customWidth="1"/>
    <col min="4860" max="4860" width="8.33203125" style="410" customWidth="1"/>
    <col min="4861" max="4862" width="0" style="410" hidden="1" customWidth="1"/>
    <col min="4863" max="4863" width="9.5546875" style="410" customWidth="1"/>
    <col min="4864" max="4865" width="0" style="410" hidden="1" customWidth="1"/>
    <col min="4866" max="4866" width="9" style="410" customWidth="1"/>
    <col min="4867" max="4867" width="7.5546875" style="410" customWidth="1"/>
    <col min="4868" max="4869" width="9" style="410" customWidth="1"/>
    <col min="4870" max="4870" width="7.88671875" style="410" customWidth="1"/>
    <col min="4871" max="4871" width="9.5546875" style="410" customWidth="1"/>
    <col min="4872" max="4872" width="7.88671875" style="410" customWidth="1"/>
    <col min="4873" max="4873" width="8.5546875" style="410" customWidth="1"/>
    <col min="4874" max="4874" width="8.6640625" style="410" customWidth="1"/>
    <col min="4875" max="4875" width="7.44140625" style="410" customWidth="1"/>
    <col min="4876" max="4876" width="9.5546875" style="410" customWidth="1"/>
    <col min="4877" max="4878" width="18.5546875" style="410" bestFit="1" customWidth="1"/>
    <col min="4879" max="4879" width="14.88671875" style="410" bestFit="1" customWidth="1"/>
    <col min="4880" max="5111" width="7.109375" style="410"/>
    <col min="5112" max="5112" width="4.6640625" style="410" customWidth="1"/>
    <col min="5113" max="5113" width="17" style="410" customWidth="1"/>
    <col min="5114" max="5114" width="22.44140625" style="410" customWidth="1"/>
    <col min="5115" max="5115" width="9.109375" style="410" customWidth="1"/>
    <col min="5116" max="5116" width="8.33203125" style="410" customWidth="1"/>
    <col min="5117" max="5118" width="0" style="410" hidden="1" customWidth="1"/>
    <col min="5119" max="5119" width="9.5546875" style="410" customWidth="1"/>
    <col min="5120" max="5121" width="0" style="410" hidden="1" customWidth="1"/>
    <col min="5122" max="5122" width="9" style="410" customWidth="1"/>
    <col min="5123" max="5123" width="7.5546875" style="410" customWidth="1"/>
    <col min="5124" max="5125" width="9" style="410" customWidth="1"/>
    <col min="5126" max="5126" width="7.88671875" style="410" customWidth="1"/>
    <col min="5127" max="5127" width="9.5546875" style="410" customWidth="1"/>
    <col min="5128" max="5128" width="7.88671875" style="410" customWidth="1"/>
    <col min="5129" max="5129" width="8.5546875" style="410" customWidth="1"/>
    <col min="5130" max="5130" width="8.6640625" style="410" customWidth="1"/>
    <col min="5131" max="5131" width="7.44140625" style="410" customWidth="1"/>
    <col min="5132" max="5132" width="9.5546875" style="410" customWidth="1"/>
    <col min="5133" max="5134" width="18.5546875" style="410" bestFit="1" customWidth="1"/>
    <col min="5135" max="5135" width="14.88671875" style="410" bestFit="1" customWidth="1"/>
    <col min="5136" max="5367" width="7.109375" style="410"/>
    <col min="5368" max="5368" width="4.6640625" style="410" customWidth="1"/>
    <col min="5369" max="5369" width="17" style="410" customWidth="1"/>
    <col min="5370" max="5370" width="22.44140625" style="410" customWidth="1"/>
    <col min="5371" max="5371" width="9.109375" style="410" customWidth="1"/>
    <col min="5372" max="5372" width="8.33203125" style="410" customWidth="1"/>
    <col min="5373" max="5374" width="0" style="410" hidden="1" customWidth="1"/>
    <col min="5375" max="5375" width="9.5546875" style="410" customWidth="1"/>
    <col min="5376" max="5377" width="0" style="410" hidden="1" customWidth="1"/>
    <col min="5378" max="5378" width="9" style="410" customWidth="1"/>
    <col min="5379" max="5379" width="7.5546875" style="410" customWidth="1"/>
    <col min="5380" max="5381" width="9" style="410" customWidth="1"/>
    <col min="5382" max="5382" width="7.88671875" style="410" customWidth="1"/>
    <col min="5383" max="5383" width="9.5546875" style="410" customWidth="1"/>
    <col min="5384" max="5384" width="7.88671875" style="410" customWidth="1"/>
    <col min="5385" max="5385" width="8.5546875" style="410" customWidth="1"/>
    <col min="5386" max="5386" width="8.6640625" style="410" customWidth="1"/>
    <col min="5387" max="5387" width="7.44140625" style="410" customWidth="1"/>
    <col min="5388" max="5388" width="9.5546875" style="410" customWidth="1"/>
    <col min="5389" max="5390" width="18.5546875" style="410" bestFit="1" customWidth="1"/>
    <col min="5391" max="5391" width="14.88671875" style="410" bestFit="1" customWidth="1"/>
    <col min="5392" max="5623" width="7.109375" style="410"/>
    <col min="5624" max="5624" width="4.6640625" style="410" customWidth="1"/>
    <col min="5625" max="5625" width="17" style="410" customWidth="1"/>
    <col min="5626" max="5626" width="22.44140625" style="410" customWidth="1"/>
    <col min="5627" max="5627" width="9.109375" style="410" customWidth="1"/>
    <col min="5628" max="5628" width="8.33203125" style="410" customWidth="1"/>
    <col min="5629" max="5630" width="0" style="410" hidden="1" customWidth="1"/>
    <col min="5631" max="5631" width="9.5546875" style="410" customWidth="1"/>
    <col min="5632" max="5633" width="0" style="410" hidden="1" customWidth="1"/>
    <col min="5634" max="5634" width="9" style="410" customWidth="1"/>
    <col min="5635" max="5635" width="7.5546875" style="410" customWidth="1"/>
    <col min="5636" max="5637" width="9" style="410" customWidth="1"/>
    <col min="5638" max="5638" width="7.88671875" style="410" customWidth="1"/>
    <col min="5639" max="5639" width="9.5546875" style="410" customWidth="1"/>
    <col min="5640" max="5640" width="7.88671875" style="410" customWidth="1"/>
    <col min="5641" max="5641" width="8.5546875" style="410" customWidth="1"/>
    <col min="5642" max="5642" width="8.6640625" style="410" customWidth="1"/>
    <col min="5643" max="5643" width="7.44140625" style="410" customWidth="1"/>
    <col min="5644" max="5644" width="9.5546875" style="410" customWidth="1"/>
    <col min="5645" max="5646" width="18.5546875" style="410" bestFit="1" customWidth="1"/>
    <col min="5647" max="5647" width="14.88671875" style="410" bestFit="1" customWidth="1"/>
    <col min="5648" max="5879" width="7.109375" style="410"/>
    <col min="5880" max="5880" width="4.6640625" style="410" customWidth="1"/>
    <col min="5881" max="5881" width="17" style="410" customWidth="1"/>
    <col min="5882" max="5882" width="22.44140625" style="410" customWidth="1"/>
    <col min="5883" max="5883" width="9.109375" style="410" customWidth="1"/>
    <col min="5884" max="5884" width="8.33203125" style="410" customWidth="1"/>
    <col min="5885" max="5886" width="0" style="410" hidden="1" customWidth="1"/>
    <col min="5887" max="5887" width="9.5546875" style="410" customWidth="1"/>
    <col min="5888" max="5889" width="0" style="410" hidden="1" customWidth="1"/>
    <col min="5890" max="5890" width="9" style="410" customWidth="1"/>
    <col min="5891" max="5891" width="7.5546875" style="410" customWidth="1"/>
    <col min="5892" max="5893" width="9" style="410" customWidth="1"/>
    <col min="5894" max="5894" width="7.88671875" style="410" customWidth="1"/>
    <col min="5895" max="5895" width="9.5546875" style="410" customWidth="1"/>
    <col min="5896" max="5896" width="7.88671875" style="410" customWidth="1"/>
    <col min="5897" max="5897" width="8.5546875" style="410" customWidth="1"/>
    <col min="5898" max="5898" width="8.6640625" style="410" customWidth="1"/>
    <col min="5899" max="5899" width="7.44140625" style="410" customWidth="1"/>
    <col min="5900" max="5900" width="9.5546875" style="410" customWidth="1"/>
    <col min="5901" max="5902" width="18.5546875" style="410" bestFit="1" customWidth="1"/>
    <col min="5903" max="5903" width="14.88671875" style="410" bestFit="1" customWidth="1"/>
    <col min="5904" max="6135" width="7.109375" style="410"/>
    <col min="6136" max="6136" width="4.6640625" style="410" customWidth="1"/>
    <col min="6137" max="6137" width="17" style="410" customWidth="1"/>
    <col min="6138" max="6138" width="22.44140625" style="410" customWidth="1"/>
    <col min="6139" max="6139" width="9.109375" style="410" customWidth="1"/>
    <col min="6140" max="6140" width="8.33203125" style="410" customWidth="1"/>
    <col min="6141" max="6142" width="0" style="410" hidden="1" customWidth="1"/>
    <col min="6143" max="6143" width="9.5546875" style="410" customWidth="1"/>
    <col min="6144" max="6145" width="0" style="410" hidden="1" customWidth="1"/>
    <col min="6146" max="6146" width="9" style="410" customWidth="1"/>
    <col min="6147" max="6147" width="7.5546875" style="410" customWidth="1"/>
    <col min="6148" max="6149" width="9" style="410" customWidth="1"/>
    <col min="6150" max="6150" width="7.88671875" style="410" customWidth="1"/>
    <col min="6151" max="6151" width="9.5546875" style="410" customWidth="1"/>
    <col min="6152" max="6152" width="7.88671875" style="410" customWidth="1"/>
    <col min="6153" max="6153" width="8.5546875" style="410" customWidth="1"/>
    <col min="6154" max="6154" width="8.6640625" style="410" customWidth="1"/>
    <col min="6155" max="6155" width="7.44140625" style="410" customWidth="1"/>
    <col min="6156" max="6156" width="9.5546875" style="410" customWidth="1"/>
    <col min="6157" max="6158" width="18.5546875" style="410" bestFit="1" customWidth="1"/>
    <col min="6159" max="6159" width="14.88671875" style="410" bestFit="1" customWidth="1"/>
    <col min="6160" max="6391" width="7.109375" style="410"/>
    <col min="6392" max="6392" width="4.6640625" style="410" customWidth="1"/>
    <col min="6393" max="6393" width="17" style="410" customWidth="1"/>
    <col min="6394" max="6394" width="22.44140625" style="410" customWidth="1"/>
    <col min="6395" max="6395" width="9.109375" style="410" customWidth="1"/>
    <col min="6396" max="6396" width="8.33203125" style="410" customWidth="1"/>
    <col min="6397" max="6398" width="0" style="410" hidden="1" customWidth="1"/>
    <col min="6399" max="6399" width="9.5546875" style="410" customWidth="1"/>
    <col min="6400" max="6401" width="0" style="410" hidden="1" customWidth="1"/>
    <col min="6402" max="6402" width="9" style="410" customWidth="1"/>
    <col min="6403" max="6403" width="7.5546875" style="410" customWidth="1"/>
    <col min="6404" max="6405" width="9" style="410" customWidth="1"/>
    <col min="6406" max="6406" width="7.88671875" style="410" customWidth="1"/>
    <col min="6407" max="6407" width="9.5546875" style="410" customWidth="1"/>
    <col min="6408" max="6408" width="7.88671875" style="410" customWidth="1"/>
    <col min="6409" max="6409" width="8.5546875" style="410" customWidth="1"/>
    <col min="6410" max="6410" width="8.6640625" style="410" customWidth="1"/>
    <col min="6411" max="6411" width="7.44140625" style="410" customWidth="1"/>
    <col min="6412" max="6412" width="9.5546875" style="410" customWidth="1"/>
    <col min="6413" max="6414" width="18.5546875" style="410" bestFit="1" customWidth="1"/>
    <col min="6415" max="6415" width="14.88671875" style="410" bestFit="1" customWidth="1"/>
    <col min="6416" max="6647" width="7.109375" style="410"/>
    <col min="6648" max="6648" width="4.6640625" style="410" customWidth="1"/>
    <col min="6649" max="6649" width="17" style="410" customWidth="1"/>
    <col min="6650" max="6650" width="22.44140625" style="410" customWidth="1"/>
    <col min="6651" max="6651" width="9.109375" style="410" customWidth="1"/>
    <col min="6652" max="6652" width="8.33203125" style="410" customWidth="1"/>
    <col min="6653" max="6654" width="0" style="410" hidden="1" customWidth="1"/>
    <col min="6655" max="6655" width="9.5546875" style="410" customWidth="1"/>
    <col min="6656" max="6657" width="0" style="410" hidden="1" customWidth="1"/>
    <col min="6658" max="6658" width="9" style="410" customWidth="1"/>
    <col min="6659" max="6659" width="7.5546875" style="410" customWidth="1"/>
    <col min="6660" max="6661" width="9" style="410" customWidth="1"/>
    <col min="6662" max="6662" width="7.88671875" style="410" customWidth="1"/>
    <col min="6663" max="6663" width="9.5546875" style="410" customWidth="1"/>
    <col min="6664" max="6664" width="7.88671875" style="410" customWidth="1"/>
    <col min="6665" max="6665" width="8.5546875" style="410" customWidth="1"/>
    <col min="6666" max="6666" width="8.6640625" style="410" customWidth="1"/>
    <col min="6667" max="6667" width="7.44140625" style="410" customWidth="1"/>
    <col min="6668" max="6668" width="9.5546875" style="410" customWidth="1"/>
    <col min="6669" max="6670" width="18.5546875" style="410" bestFit="1" customWidth="1"/>
    <col min="6671" max="6671" width="14.88671875" style="410" bestFit="1" customWidth="1"/>
    <col min="6672" max="6903" width="7.109375" style="410"/>
    <col min="6904" max="6904" width="4.6640625" style="410" customWidth="1"/>
    <col min="6905" max="6905" width="17" style="410" customWidth="1"/>
    <col min="6906" max="6906" width="22.44140625" style="410" customWidth="1"/>
    <col min="6907" max="6907" width="9.109375" style="410" customWidth="1"/>
    <col min="6908" max="6908" width="8.33203125" style="410" customWidth="1"/>
    <col min="6909" max="6910" width="0" style="410" hidden="1" customWidth="1"/>
    <col min="6911" max="6911" width="9.5546875" style="410" customWidth="1"/>
    <col min="6912" max="6913" width="0" style="410" hidden="1" customWidth="1"/>
    <col min="6914" max="6914" width="9" style="410" customWidth="1"/>
    <col min="6915" max="6915" width="7.5546875" style="410" customWidth="1"/>
    <col min="6916" max="6917" width="9" style="410" customWidth="1"/>
    <col min="6918" max="6918" width="7.88671875" style="410" customWidth="1"/>
    <col min="6919" max="6919" width="9.5546875" style="410" customWidth="1"/>
    <col min="6920" max="6920" width="7.88671875" style="410" customWidth="1"/>
    <col min="6921" max="6921" width="8.5546875" style="410" customWidth="1"/>
    <col min="6922" max="6922" width="8.6640625" style="410" customWidth="1"/>
    <col min="6923" max="6923" width="7.44140625" style="410" customWidth="1"/>
    <col min="6924" max="6924" width="9.5546875" style="410" customWidth="1"/>
    <col min="6925" max="6926" width="18.5546875" style="410" bestFit="1" customWidth="1"/>
    <col min="6927" max="6927" width="14.88671875" style="410" bestFit="1" customWidth="1"/>
    <col min="6928" max="7159" width="7.109375" style="410"/>
    <col min="7160" max="7160" width="4.6640625" style="410" customWidth="1"/>
    <col min="7161" max="7161" width="17" style="410" customWidth="1"/>
    <col min="7162" max="7162" width="22.44140625" style="410" customWidth="1"/>
    <col min="7163" max="7163" width="9.109375" style="410" customWidth="1"/>
    <col min="7164" max="7164" width="8.33203125" style="410" customWidth="1"/>
    <col min="7165" max="7166" width="0" style="410" hidden="1" customWidth="1"/>
    <col min="7167" max="7167" width="9.5546875" style="410" customWidth="1"/>
    <col min="7168" max="7169" width="0" style="410" hidden="1" customWidth="1"/>
    <col min="7170" max="7170" width="9" style="410" customWidth="1"/>
    <col min="7171" max="7171" width="7.5546875" style="410" customWidth="1"/>
    <col min="7172" max="7173" width="9" style="410" customWidth="1"/>
    <col min="7174" max="7174" width="7.88671875" style="410" customWidth="1"/>
    <col min="7175" max="7175" width="9.5546875" style="410" customWidth="1"/>
    <col min="7176" max="7176" width="7.88671875" style="410" customWidth="1"/>
    <col min="7177" max="7177" width="8.5546875" style="410" customWidth="1"/>
    <col min="7178" max="7178" width="8.6640625" style="410" customWidth="1"/>
    <col min="7179" max="7179" width="7.44140625" style="410" customWidth="1"/>
    <col min="7180" max="7180" width="9.5546875" style="410" customWidth="1"/>
    <col min="7181" max="7182" width="18.5546875" style="410" bestFit="1" customWidth="1"/>
    <col min="7183" max="7183" width="14.88671875" style="410" bestFit="1" customWidth="1"/>
    <col min="7184" max="7415" width="7.109375" style="410"/>
    <col min="7416" max="7416" width="4.6640625" style="410" customWidth="1"/>
    <col min="7417" max="7417" width="17" style="410" customWidth="1"/>
    <col min="7418" max="7418" width="22.44140625" style="410" customWidth="1"/>
    <col min="7419" max="7419" width="9.109375" style="410" customWidth="1"/>
    <col min="7420" max="7420" width="8.33203125" style="410" customWidth="1"/>
    <col min="7421" max="7422" width="0" style="410" hidden="1" customWidth="1"/>
    <col min="7423" max="7423" width="9.5546875" style="410" customWidth="1"/>
    <col min="7424" max="7425" width="0" style="410" hidden="1" customWidth="1"/>
    <col min="7426" max="7426" width="9" style="410" customWidth="1"/>
    <col min="7427" max="7427" width="7.5546875" style="410" customWidth="1"/>
    <col min="7428" max="7429" width="9" style="410" customWidth="1"/>
    <col min="7430" max="7430" width="7.88671875" style="410" customWidth="1"/>
    <col min="7431" max="7431" width="9.5546875" style="410" customWidth="1"/>
    <col min="7432" max="7432" width="7.88671875" style="410" customWidth="1"/>
    <col min="7433" max="7433" width="8.5546875" style="410" customWidth="1"/>
    <col min="7434" max="7434" width="8.6640625" style="410" customWidth="1"/>
    <col min="7435" max="7435" width="7.44140625" style="410" customWidth="1"/>
    <col min="7436" max="7436" width="9.5546875" style="410" customWidth="1"/>
    <col min="7437" max="7438" width="18.5546875" style="410" bestFit="1" customWidth="1"/>
    <col min="7439" max="7439" width="14.88671875" style="410" bestFit="1" customWidth="1"/>
    <col min="7440" max="7671" width="7.109375" style="410"/>
    <col min="7672" max="7672" width="4.6640625" style="410" customWidth="1"/>
    <col min="7673" max="7673" width="17" style="410" customWidth="1"/>
    <col min="7674" max="7674" width="22.44140625" style="410" customWidth="1"/>
    <col min="7675" max="7675" width="9.109375" style="410" customWidth="1"/>
    <col min="7676" max="7676" width="8.33203125" style="410" customWidth="1"/>
    <col min="7677" max="7678" width="0" style="410" hidden="1" customWidth="1"/>
    <col min="7679" max="7679" width="9.5546875" style="410" customWidth="1"/>
    <col min="7680" max="7681" width="0" style="410" hidden="1" customWidth="1"/>
    <col min="7682" max="7682" width="9" style="410" customWidth="1"/>
    <col min="7683" max="7683" width="7.5546875" style="410" customWidth="1"/>
    <col min="7684" max="7685" width="9" style="410" customWidth="1"/>
    <col min="7686" max="7686" width="7.88671875" style="410" customWidth="1"/>
    <col min="7687" max="7687" width="9.5546875" style="410" customWidth="1"/>
    <col min="7688" max="7688" width="7.88671875" style="410" customWidth="1"/>
    <col min="7689" max="7689" width="8.5546875" style="410" customWidth="1"/>
    <col min="7690" max="7690" width="8.6640625" style="410" customWidth="1"/>
    <col min="7691" max="7691" width="7.44140625" style="410" customWidth="1"/>
    <col min="7692" max="7692" width="9.5546875" style="410" customWidth="1"/>
    <col min="7693" max="7694" width="18.5546875" style="410" bestFit="1" customWidth="1"/>
    <col min="7695" max="7695" width="14.88671875" style="410" bestFit="1" customWidth="1"/>
    <col min="7696" max="7927" width="7.109375" style="410"/>
    <col min="7928" max="7928" width="4.6640625" style="410" customWidth="1"/>
    <col min="7929" max="7929" width="17" style="410" customWidth="1"/>
    <col min="7930" max="7930" width="22.44140625" style="410" customWidth="1"/>
    <col min="7931" max="7931" width="9.109375" style="410" customWidth="1"/>
    <col min="7932" max="7932" width="8.33203125" style="410" customWidth="1"/>
    <col min="7933" max="7934" width="0" style="410" hidden="1" customWidth="1"/>
    <col min="7935" max="7935" width="9.5546875" style="410" customWidth="1"/>
    <col min="7936" max="7937" width="0" style="410" hidden="1" customWidth="1"/>
    <col min="7938" max="7938" width="9" style="410" customWidth="1"/>
    <col min="7939" max="7939" width="7.5546875" style="410" customWidth="1"/>
    <col min="7940" max="7941" width="9" style="410" customWidth="1"/>
    <col min="7942" max="7942" width="7.88671875" style="410" customWidth="1"/>
    <col min="7943" max="7943" width="9.5546875" style="410" customWidth="1"/>
    <col min="7944" max="7944" width="7.88671875" style="410" customWidth="1"/>
    <col min="7945" max="7945" width="8.5546875" style="410" customWidth="1"/>
    <col min="7946" max="7946" width="8.6640625" style="410" customWidth="1"/>
    <col min="7947" max="7947" width="7.44140625" style="410" customWidth="1"/>
    <col min="7948" max="7948" width="9.5546875" style="410" customWidth="1"/>
    <col min="7949" max="7950" width="18.5546875" style="410" bestFit="1" customWidth="1"/>
    <col min="7951" max="7951" width="14.88671875" style="410" bestFit="1" customWidth="1"/>
    <col min="7952" max="8183" width="7.109375" style="410"/>
    <col min="8184" max="8184" width="4.6640625" style="410" customWidth="1"/>
    <col min="8185" max="8185" width="17" style="410" customWidth="1"/>
    <col min="8186" max="8186" width="22.44140625" style="410" customWidth="1"/>
    <col min="8187" max="8187" width="9.109375" style="410" customWidth="1"/>
    <col min="8188" max="8188" width="8.33203125" style="410" customWidth="1"/>
    <col min="8189" max="8190" width="0" style="410" hidden="1" customWidth="1"/>
    <col min="8191" max="8191" width="9.5546875" style="410" customWidth="1"/>
    <col min="8192" max="8193" width="0" style="410" hidden="1" customWidth="1"/>
    <col min="8194" max="8194" width="9" style="410" customWidth="1"/>
    <col min="8195" max="8195" width="7.5546875" style="410" customWidth="1"/>
    <col min="8196" max="8197" width="9" style="410" customWidth="1"/>
    <col min="8198" max="8198" width="7.88671875" style="410" customWidth="1"/>
    <col min="8199" max="8199" width="9.5546875" style="410" customWidth="1"/>
    <col min="8200" max="8200" width="7.88671875" style="410" customWidth="1"/>
    <col min="8201" max="8201" width="8.5546875" style="410" customWidth="1"/>
    <col min="8202" max="8202" width="8.6640625" style="410" customWidth="1"/>
    <col min="8203" max="8203" width="7.44140625" style="410" customWidth="1"/>
    <col min="8204" max="8204" width="9.5546875" style="410" customWidth="1"/>
    <col min="8205" max="8206" width="18.5546875" style="410" bestFit="1" customWidth="1"/>
    <col min="8207" max="8207" width="14.88671875" style="410" bestFit="1" customWidth="1"/>
    <col min="8208" max="8439" width="7.109375" style="410"/>
    <col min="8440" max="8440" width="4.6640625" style="410" customWidth="1"/>
    <col min="8441" max="8441" width="17" style="410" customWidth="1"/>
    <col min="8442" max="8442" width="22.44140625" style="410" customWidth="1"/>
    <col min="8443" max="8443" width="9.109375" style="410" customWidth="1"/>
    <col min="8444" max="8444" width="8.33203125" style="410" customWidth="1"/>
    <col min="8445" max="8446" width="0" style="410" hidden="1" customWidth="1"/>
    <col min="8447" max="8447" width="9.5546875" style="410" customWidth="1"/>
    <col min="8448" max="8449" width="0" style="410" hidden="1" customWidth="1"/>
    <col min="8450" max="8450" width="9" style="410" customWidth="1"/>
    <col min="8451" max="8451" width="7.5546875" style="410" customWidth="1"/>
    <col min="8452" max="8453" width="9" style="410" customWidth="1"/>
    <col min="8454" max="8454" width="7.88671875" style="410" customWidth="1"/>
    <col min="8455" max="8455" width="9.5546875" style="410" customWidth="1"/>
    <col min="8456" max="8456" width="7.88671875" style="410" customWidth="1"/>
    <col min="8457" max="8457" width="8.5546875" style="410" customWidth="1"/>
    <col min="8458" max="8458" width="8.6640625" style="410" customWidth="1"/>
    <col min="8459" max="8459" width="7.44140625" style="410" customWidth="1"/>
    <col min="8460" max="8460" width="9.5546875" style="410" customWidth="1"/>
    <col min="8461" max="8462" width="18.5546875" style="410" bestFit="1" customWidth="1"/>
    <col min="8463" max="8463" width="14.88671875" style="410" bestFit="1" customWidth="1"/>
    <col min="8464" max="8695" width="7.109375" style="410"/>
    <col min="8696" max="8696" width="4.6640625" style="410" customWidth="1"/>
    <col min="8697" max="8697" width="17" style="410" customWidth="1"/>
    <col min="8698" max="8698" width="22.44140625" style="410" customWidth="1"/>
    <col min="8699" max="8699" width="9.109375" style="410" customWidth="1"/>
    <col min="8700" max="8700" width="8.33203125" style="410" customWidth="1"/>
    <col min="8701" max="8702" width="0" style="410" hidden="1" customWidth="1"/>
    <col min="8703" max="8703" width="9.5546875" style="410" customWidth="1"/>
    <col min="8704" max="8705" width="0" style="410" hidden="1" customWidth="1"/>
    <col min="8706" max="8706" width="9" style="410" customWidth="1"/>
    <col min="8707" max="8707" width="7.5546875" style="410" customWidth="1"/>
    <col min="8708" max="8709" width="9" style="410" customWidth="1"/>
    <col min="8710" max="8710" width="7.88671875" style="410" customWidth="1"/>
    <col min="8711" max="8711" width="9.5546875" style="410" customWidth="1"/>
    <col min="8712" max="8712" width="7.88671875" style="410" customWidth="1"/>
    <col min="8713" max="8713" width="8.5546875" style="410" customWidth="1"/>
    <col min="8714" max="8714" width="8.6640625" style="410" customWidth="1"/>
    <col min="8715" max="8715" width="7.44140625" style="410" customWidth="1"/>
    <col min="8716" max="8716" width="9.5546875" style="410" customWidth="1"/>
    <col min="8717" max="8718" width="18.5546875" style="410" bestFit="1" customWidth="1"/>
    <col min="8719" max="8719" width="14.88671875" style="410" bestFit="1" customWidth="1"/>
    <col min="8720" max="8951" width="7.109375" style="410"/>
    <col min="8952" max="8952" width="4.6640625" style="410" customWidth="1"/>
    <col min="8953" max="8953" width="17" style="410" customWidth="1"/>
    <col min="8954" max="8954" width="22.44140625" style="410" customWidth="1"/>
    <col min="8955" max="8955" width="9.109375" style="410" customWidth="1"/>
    <col min="8956" max="8956" width="8.33203125" style="410" customWidth="1"/>
    <col min="8957" max="8958" width="0" style="410" hidden="1" customWidth="1"/>
    <col min="8959" max="8959" width="9.5546875" style="410" customWidth="1"/>
    <col min="8960" max="8961" width="0" style="410" hidden="1" customWidth="1"/>
    <col min="8962" max="8962" width="9" style="410" customWidth="1"/>
    <col min="8963" max="8963" width="7.5546875" style="410" customWidth="1"/>
    <col min="8964" max="8965" width="9" style="410" customWidth="1"/>
    <col min="8966" max="8966" width="7.88671875" style="410" customWidth="1"/>
    <col min="8967" max="8967" width="9.5546875" style="410" customWidth="1"/>
    <col min="8968" max="8968" width="7.88671875" style="410" customWidth="1"/>
    <col min="8969" max="8969" width="8.5546875" style="410" customWidth="1"/>
    <col min="8970" max="8970" width="8.6640625" style="410" customWidth="1"/>
    <col min="8971" max="8971" width="7.44140625" style="410" customWidth="1"/>
    <col min="8972" max="8972" width="9.5546875" style="410" customWidth="1"/>
    <col min="8973" max="8974" width="18.5546875" style="410" bestFit="1" customWidth="1"/>
    <col min="8975" max="8975" width="14.88671875" style="410" bestFit="1" customWidth="1"/>
    <col min="8976" max="9207" width="7.109375" style="410"/>
    <col min="9208" max="9208" width="4.6640625" style="410" customWidth="1"/>
    <col min="9209" max="9209" width="17" style="410" customWidth="1"/>
    <col min="9210" max="9210" width="22.44140625" style="410" customWidth="1"/>
    <col min="9211" max="9211" width="9.109375" style="410" customWidth="1"/>
    <col min="9212" max="9212" width="8.33203125" style="410" customWidth="1"/>
    <col min="9213" max="9214" width="0" style="410" hidden="1" customWidth="1"/>
    <col min="9215" max="9215" width="9.5546875" style="410" customWidth="1"/>
    <col min="9216" max="9217" width="0" style="410" hidden="1" customWidth="1"/>
    <col min="9218" max="9218" width="9" style="410" customWidth="1"/>
    <col min="9219" max="9219" width="7.5546875" style="410" customWidth="1"/>
    <col min="9220" max="9221" width="9" style="410" customWidth="1"/>
    <col min="9222" max="9222" width="7.88671875" style="410" customWidth="1"/>
    <col min="9223" max="9223" width="9.5546875" style="410" customWidth="1"/>
    <col min="9224" max="9224" width="7.88671875" style="410" customWidth="1"/>
    <col min="9225" max="9225" width="8.5546875" style="410" customWidth="1"/>
    <col min="9226" max="9226" width="8.6640625" style="410" customWidth="1"/>
    <col min="9227" max="9227" width="7.44140625" style="410" customWidth="1"/>
    <col min="9228" max="9228" width="9.5546875" style="410" customWidth="1"/>
    <col min="9229" max="9230" width="18.5546875" style="410" bestFit="1" customWidth="1"/>
    <col min="9231" max="9231" width="14.88671875" style="410" bestFit="1" customWidth="1"/>
    <col min="9232" max="9463" width="7.109375" style="410"/>
    <col min="9464" max="9464" width="4.6640625" style="410" customWidth="1"/>
    <col min="9465" max="9465" width="17" style="410" customWidth="1"/>
    <col min="9466" max="9466" width="22.44140625" style="410" customWidth="1"/>
    <col min="9467" max="9467" width="9.109375" style="410" customWidth="1"/>
    <col min="9468" max="9468" width="8.33203125" style="410" customWidth="1"/>
    <col min="9469" max="9470" width="0" style="410" hidden="1" customWidth="1"/>
    <col min="9471" max="9471" width="9.5546875" style="410" customWidth="1"/>
    <col min="9472" max="9473" width="0" style="410" hidden="1" customWidth="1"/>
    <col min="9474" max="9474" width="9" style="410" customWidth="1"/>
    <col min="9475" max="9475" width="7.5546875" style="410" customWidth="1"/>
    <col min="9476" max="9477" width="9" style="410" customWidth="1"/>
    <col min="9478" max="9478" width="7.88671875" style="410" customWidth="1"/>
    <col min="9479" max="9479" width="9.5546875" style="410" customWidth="1"/>
    <col min="9480" max="9480" width="7.88671875" style="410" customWidth="1"/>
    <col min="9481" max="9481" width="8.5546875" style="410" customWidth="1"/>
    <col min="9482" max="9482" width="8.6640625" style="410" customWidth="1"/>
    <col min="9483" max="9483" width="7.44140625" style="410" customWidth="1"/>
    <col min="9484" max="9484" width="9.5546875" style="410" customWidth="1"/>
    <col min="9485" max="9486" width="18.5546875" style="410" bestFit="1" customWidth="1"/>
    <col min="9487" max="9487" width="14.88671875" style="410" bestFit="1" customWidth="1"/>
    <col min="9488" max="9719" width="7.109375" style="410"/>
    <col min="9720" max="9720" width="4.6640625" style="410" customWidth="1"/>
    <col min="9721" max="9721" width="17" style="410" customWidth="1"/>
    <col min="9722" max="9722" width="22.44140625" style="410" customWidth="1"/>
    <col min="9723" max="9723" width="9.109375" style="410" customWidth="1"/>
    <col min="9724" max="9724" width="8.33203125" style="410" customWidth="1"/>
    <col min="9725" max="9726" width="0" style="410" hidden="1" customWidth="1"/>
    <col min="9727" max="9727" width="9.5546875" style="410" customWidth="1"/>
    <col min="9728" max="9729" width="0" style="410" hidden="1" customWidth="1"/>
    <col min="9730" max="9730" width="9" style="410" customWidth="1"/>
    <col min="9731" max="9731" width="7.5546875" style="410" customWidth="1"/>
    <col min="9732" max="9733" width="9" style="410" customWidth="1"/>
    <col min="9734" max="9734" width="7.88671875" style="410" customWidth="1"/>
    <col min="9735" max="9735" width="9.5546875" style="410" customWidth="1"/>
    <col min="9736" max="9736" width="7.88671875" style="410" customWidth="1"/>
    <col min="9737" max="9737" width="8.5546875" style="410" customWidth="1"/>
    <col min="9738" max="9738" width="8.6640625" style="410" customWidth="1"/>
    <col min="9739" max="9739" width="7.44140625" style="410" customWidth="1"/>
    <col min="9740" max="9740" width="9.5546875" style="410" customWidth="1"/>
    <col min="9741" max="9742" width="18.5546875" style="410" bestFit="1" customWidth="1"/>
    <col min="9743" max="9743" width="14.88671875" style="410" bestFit="1" customWidth="1"/>
    <col min="9744" max="9975" width="7.109375" style="410"/>
    <col min="9976" max="9976" width="4.6640625" style="410" customWidth="1"/>
    <col min="9977" max="9977" width="17" style="410" customWidth="1"/>
    <col min="9978" max="9978" width="22.44140625" style="410" customWidth="1"/>
    <col min="9979" max="9979" width="9.109375" style="410" customWidth="1"/>
    <col min="9980" max="9980" width="8.33203125" style="410" customWidth="1"/>
    <col min="9981" max="9982" width="0" style="410" hidden="1" customWidth="1"/>
    <col min="9983" max="9983" width="9.5546875" style="410" customWidth="1"/>
    <col min="9984" max="9985" width="0" style="410" hidden="1" customWidth="1"/>
    <col min="9986" max="9986" width="9" style="410" customWidth="1"/>
    <col min="9987" max="9987" width="7.5546875" style="410" customWidth="1"/>
    <col min="9988" max="9989" width="9" style="410" customWidth="1"/>
    <col min="9990" max="9990" width="7.88671875" style="410" customWidth="1"/>
    <col min="9991" max="9991" width="9.5546875" style="410" customWidth="1"/>
    <col min="9992" max="9992" width="7.88671875" style="410" customWidth="1"/>
    <col min="9993" max="9993" width="8.5546875" style="410" customWidth="1"/>
    <col min="9994" max="9994" width="8.6640625" style="410" customWidth="1"/>
    <col min="9995" max="9995" width="7.44140625" style="410" customWidth="1"/>
    <col min="9996" max="9996" width="9.5546875" style="410" customWidth="1"/>
    <col min="9997" max="9998" width="18.5546875" style="410" bestFit="1" customWidth="1"/>
    <col min="9999" max="9999" width="14.88671875" style="410" bestFit="1" customWidth="1"/>
    <col min="10000" max="10231" width="7.109375" style="410"/>
    <col min="10232" max="10232" width="4.6640625" style="410" customWidth="1"/>
    <col min="10233" max="10233" width="17" style="410" customWidth="1"/>
    <col min="10234" max="10234" width="22.44140625" style="410" customWidth="1"/>
    <col min="10235" max="10235" width="9.109375" style="410" customWidth="1"/>
    <col min="10236" max="10236" width="8.33203125" style="410" customWidth="1"/>
    <col min="10237" max="10238" width="0" style="410" hidden="1" customWidth="1"/>
    <col min="10239" max="10239" width="9.5546875" style="410" customWidth="1"/>
    <col min="10240" max="10241" width="0" style="410" hidden="1" customWidth="1"/>
    <col min="10242" max="10242" width="9" style="410" customWidth="1"/>
    <col min="10243" max="10243" width="7.5546875" style="410" customWidth="1"/>
    <col min="10244" max="10245" width="9" style="410" customWidth="1"/>
    <col min="10246" max="10246" width="7.88671875" style="410" customWidth="1"/>
    <col min="10247" max="10247" width="9.5546875" style="410" customWidth="1"/>
    <col min="10248" max="10248" width="7.88671875" style="410" customWidth="1"/>
    <col min="10249" max="10249" width="8.5546875" style="410" customWidth="1"/>
    <col min="10250" max="10250" width="8.6640625" style="410" customWidth="1"/>
    <col min="10251" max="10251" width="7.44140625" style="410" customWidth="1"/>
    <col min="10252" max="10252" width="9.5546875" style="410" customWidth="1"/>
    <col min="10253" max="10254" width="18.5546875" style="410" bestFit="1" customWidth="1"/>
    <col min="10255" max="10255" width="14.88671875" style="410" bestFit="1" customWidth="1"/>
    <col min="10256" max="10487" width="7.109375" style="410"/>
    <col min="10488" max="10488" width="4.6640625" style="410" customWidth="1"/>
    <col min="10489" max="10489" width="17" style="410" customWidth="1"/>
    <col min="10490" max="10490" width="22.44140625" style="410" customWidth="1"/>
    <col min="10491" max="10491" width="9.109375" style="410" customWidth="1"/>
    <col min="10492" max="10492" width="8.33203125" style="410" customWidth="1"/>
    <col min="10493" max="10494" width="0" style="410" hidden="1" customWidth="1"/>
    <col min="10495" max="10495" width="9.5546875" style="410" customWidth="1"/>
    <col min="10496" max="10497" width="0" style="410" hidden="1" customWidth="1"/>
    <col min="10498" max="10498" width="9" style="410" customWidth="1"/>
    <col min="10499" max="10499" width="7.5546875" style="410" customWidth="1"/>
    <col min="10500" max="10501" width="9" style="410" customWidth="1"/>
    <col min="10502" max="10502" width="7.88671875" style="410" customWidth="1"/>
    <col min="10503" max="10503" width="9.5546875" style="410" customWidth="1"/>
    <col min="10504" max="10504" width="7.88671875" style="410" customWidth="1"/>
    <col min="10505" max="10505" width="8.5546875" style="410" customWidth="1"/>
    <col min="10506" max="10506" width="8.6640625" style="410" customWidth="1"/>
    <col min="10507" max="10507" width="7.44140625" style="410" customWidth="1"/>
    <col min="10508" max="10508" width="9.5546875" style="410" customWidth="1"/>
    <col min="10509" max="10510" width="18.5546875" style="410" bestFit="1" customWidth="1"/>
    <col min="10511" max="10511" width="14.88671875" style="410" bestFit="1" customWidth="1"/>
    <col min="10512" max="10743" width="7.109375" style="410"/>
    <col min="10744" max="10744" width="4.6640625" style="410" customWidth="1"/>
    <col min="10745" max="10745" width="17" style="410" customWidth="1"/>
    <col min="10746" max="10746" width="22.44140625" style="410" customWidth="1"/>
    <col min="10747" max="10747" width="9.109375" style="410" customWidth="1"/>
    <col min="10748" max="10748" width="8.33203125" style="410" customWidth="1"/>
    <col min="10749" max="10750" width="0" style="410" hidden="1" customWidth="1"/>
    <col min="10751" max="10751" width="9.5546875" style="410" customWidth="1"/>
    <col min="10752" max="10753" width="0" style="410" hidden="1" customWidth="1"/>
    <col min="10754" max="10754" width="9" style="410" customWidth="1"/>
    <col min="10755" max="10755" width="7.5546875" style="410" customWidth="1"/>
    <col min="10756" max="10757" width="9" style="410" customWidth="1"/>
    <col min="10758" max="10758" width="7.88671875" style="410" customWidth="1"/>
    <col min="10759" max="10759" width="9.5546875" style="410" customWidth="1"/>
    <col min="10760" max="10760" width="7.88671875" style="410" customWidth="1"/>
    <col min="10761" max="10761" width="8.5546875" style="410" customWidth="1"/>
    <col min="10762" max="10762" width="8.6640625" style="410" customWidth="1"/>
    <col min="10763" max="10763" width="7.44140625" style="410" customWidth="1"/>
    <col min="10764" max="10764" width="9.5546875" style="410" customWidth="1"/>
    <col min="10765" max="10766" width="18.5546875" style="410" bestFit="1" customWidth="1"/>
    <col min="10767" max="10767" width="14.88671875" style="410" bestFit="1" customWidth="1"/>
    <col min="10768" max="10999" width="7.109375" style="410"/>
    <col min="11000" max="11000" width="4.6640625" style="410" customWidth="1"/>
    <col min="11001" max="11001" width="17" style="410" customWidth="1"/>
    <col min="11002" max="11002" width="22.44140625" style="410" customWidth="1"/>
    <col min="11003" max="11003" width="9.109375" style="410" customWidth="1"/>
    <col min="11004" max="11004" width="8.33203125" style="410" customWidth="1"/>
    <col min="11005" max="11006" width="0" style="410" hidden="1" customWidth="1"/>
    <col min="11007" max="11007" width="9.5546875" style="410" customWidth="1"/>
    <col min="11008" max="11009" width="0" style="410" hidden="1" customWidth="1"/>
    <col min="11010" max="11010" width="9" style="410" customWidth="1"/>
    <col min="11011" max="11011" width="7.5546875" style="410" customWidth="1"/>
    <col min="11012" max="11013" width="9" style="410" customWidth="1"/>
    <col min="11014" max="11014" width="7.88671875" style="410" customWidth="1"/>
    <col min="11015" max="11015" width="9.5546875" style="410" customWidth="1"/>
    <col min="11016" max="11016" width="7.88671875" style="410" customWidth="1"/>
    <col min="11017" max="11017" width="8.5546875" style="410" customWidth="1"/>
    <col min="11018" max="11018" width="8.6640625" style="410" customWidth="1"/>
    <col min="11019" max="11019" width="7.44140625" style="410" customWidth="1"/>
    <col min="11020" max="11020" width="9.5546875" style="410" customWidth="1"/>
    <col min="11021" max="11022" width="18.5546875" style="410" bestFit="1" customWidth="1"/>
    <col min="11023" max="11023" width="14.88671875" style="410" bestFit="1" customWidth="1"/>
    <col min="11024" max="11255" width="7.109375" style="410"/>
    <col min="11256" max="11256" width="4.6640625" style="410" customWidth="1"/>
    <col min="11257" max="11257" width="17" style="410" customWidth="1"/>
    <col min="11258" max="11258" width="22.44140625" style="410" customWidth="1"/>
    <col min="11259" max="11259" width="9.109375" style="410" customWidth="1"/>
    <col min="11260" max="11260" width="8.33203125" style="410" customWidth="1"/>
    <col min="11261" max="11262" width="0" style="410" hidden="1" customWidth="1"/>
    <col min="11263" max="11263" width="9.5546875" style="410" customWidth="1"/>
    <col min="11264" max="11265" width="0" style="410" hidden="1" customWidth="1"/>
    <col min="11266" max="11266" width="9" style="410" customWidth="1"/>
    <col min="11267" max="11267" width="7.5546875" style="410" customWidth="1"/>
    <col min="11268" max="11269" width="9" style="410" customWidth="1"/>
    <col min="11270" max="11270" width="7.88671875" style="410" customWidth="1"/>
    <col min="11271" max="11271" width="9.5546875" style="410" customWidth="1"/>
    <col min="11272" max="11272" width="7.88671875" style="410" customWidth="1"/>
    <col min="11273" max="11273" width="8.5546875" style="410" customWidth="1"/>
    <col min="11274" max="11274" width="8.6640625" style="410" customWidth="1"/>
    <col min="11275" max="11275" width="7.44140625" style="410" customWidth="1"/>
    <col min="11276" max="11276" width="9.5546875" style="410" customWidth="1"/>
    <col min="11277" max="11278" width="18.5546875" style="410" bestFit="1" customWidth="1"/>
    <col min="11279" max="11279" width="14.88671875" style="410" bestFit="1" customWidth="1"/>
    <col min="11280" max="11511" width="7.109375" style="410"/>
    <col min="11512" max="11512" width="4.6640625" style="410" customWidth="1"/>
    <col min="11513" max="11513" width="17" style="410" customWidth="1"/>
    <col min="11514" max="11514" width="22.44140625" style="410" customWidth="1"/>
    <col min="11515" max="11515" width="9.109375" style="410" customWidth="1"/>
    <col min="11516" max="11516" width="8.33203125" style="410" customWidth="1"/>
    <col min="11517" max="11518" width="0" style="410" hidden="1" customWidth="1"/>
    <col min="11519" max="11519" width="9.5546875" style="410" customWidth="1"/>
    <col min="11520" max="11521" width="0" style="410" hidden="1" customWidth="1"/>
    <col min="11522" max="11522" width="9" style="410" customWidth="1"/>
    <col min="11523" max="11523" width="7.5546875" style="410" customWidth="1"/>
    <col min="11524" max="11525" width="9" style="410" customWidth="1"/>
    <col min="11526" max="11526" width="7.88671875" style="410" customWidth="1"/>
    <col min="11527" max="11527" width="9.5546875" style="410" customWidth="1"/>
    <col min="11528" max="11528" width="7.88671875" style="410" customWidth="1"/>
    <col min="11529" max="11529" width="8.5546875" style="410" customWidth="1"/>
    <col min="11530" max="11530" width="8.6640625" style="410" customWidth="1"/>
    <col min="11531" max="11531" width="7.44140625" style="410" customWidth="1"/>
    <col min="11532" max="11532" width="9.5546875" style="410" customWidth="1"/>
    <col min="11533" max="11534" width="18.5546875" style="410" bestFit="1" customWidth="1"/>
    <col min="11535" max="11535" width="14.88671875" style="410" bestFit="1" customWidth="1"/>
    <col min="11536" max="11767" width="7.109375" style="410"/>
    <col min="11768" max="11768" width="4.6640625" style="410" customWidth="1"/>
    <col min="11769" max="11769" width="17" style="410" customWidth="1"/>
    <col min="11770" max="11770" width="22.44140625" style="410" customWidth="1"/>
    <col min="11771" max="11771" width="9.109375" style="410" customWidth="1"/>
    <col min="11772" max="11772" width="8.33203125" style="410" customWidth="1"/>
    <col min="11773" max="11774" width="0" style="410" hidden="1" customWidth="1"/>
    <col min="11775" max="11775" width="9.5546875" style="410" customWidth="1"/>
    <col min="11776" max="11777" width="0" style="410" hidden="1" customWidth="1"/>
    <col min="11778" max="11778" width="9" style="410" customWidth="1"/>
    <col min="11779" max="11779" width="7.5546875" style="410" customWidth="1"/>
    <col min="11780" max="11781" width="9" style="410" customWidth="1"/>
    <col min="11782" max="11782" width="7.88671875" style="410" customWidth="1"/>
    <col min="11783" max="11783" width="9.5546875" style="410" customWidth="1"/>
    <col min="11784" max="11784" width="7.88671875" style="410" customWidth="1"/>
    <col min="11785" max="11785" width="8.5546875" style="410" customWidth="1"/>
    <col min="11786" max="11786" width="8.6640625" style="410" customWidth="1"/>
    <col min="11787" max="11787" width="7.44140625" style="410" customWidth="1"/>
    <col min="11788" max="11788" width="9.5546875" style="410" customWidth="1"/>
    <col min="11789" max="11790" width="18.5546875" style="410" bestFit="1" customWidth="1"/>
    <col min="11791" max="11791" width="14.88671875" style="410" bestFit="1" customWidth="1"/>
    <col min="11792" max="12023" width="7.109375" style="410"/>
    <col min="12024" max="12024" width="4.6640625" style="410" customWidth="1"/>
    <col min="12025" max="12025" width="17" style="410" customWidth="1"/>
    <col min="12026" max="12026" width="22.44140625" style="410" customWidth="1"/>
    <col min="12027" max="12027" width="9.109375" style="410" customWidth="1"/>
    <col min="12028" max="12028" width="8.33203125" style="410" customWidth="1"/>
    <col min="12029" max="12030" width="0" style="410" hidden="1" customWidth="1"/>
    <col min="12031" max="12031" width="9.5546875" style="410" customWidth="1"/>
    <col min="12032" max="12033" width="0" style="410" hidden="1" customWidth="1"/>
    <col min="12034" max="12034" width="9" style="410" customWidth="1"/>
    <col min="12035" max="12035" width="7.5546875" style="410" customWidth="1"/>
    <col min="12036" max="12037" width="9" style="410" customWidth="1"/>
    <col min="12038" max="12038" width="7.88671875" style="410" customWidth="1"/>
    <col min="12039" max="12039" width="9.5546875" style="410" customWidth="1"/>
    <col min="12040" max="12040" width="7.88671875" style="410" customWidth="1"/>
    <col min="12041" max="12041" width="8.5546875" style="410" customWidth="1"/>
    <col min="12042" max="12042" width="8.6640625" style="410" customWidth="1"/>
    <col min="12043" max="12043" width="7.44140625" style="410" customWidth="1"/>
    <col min="12044" max="12044" width="9.5546875" style="410" customWidth="1"/>
    <col min="12045" max="12046" width="18.5546875" style="410" bestFit="1" customWidth="1"/>
    <col min="12047" max="12047" width="14.88671875" style="410" bestFit="1" customWidth="1"/>
    <col min="12048" max="12279" width="7.109375" style="410"/>
    <col min="12280" max="12280" width="4.6640625" style="410" customWidth="1"/>
    <col min="12281" max="12281" width="17" style="410" customWidth="1"/>
    <col min="12282" max="12282" width="22.44140625" style="410" customWidth="1"/>
    <col min="12283" max="12283" width="9.109375" style="410" customWidth="1"/>
    <col min="12284" max="12284" width="8.33203125" style="410" customWidth="1"/>
    <col min="12285" max="12286" width="0" style="410" hidden="1" customWidth="1"/>
    <col min="12287" max="12287" width="9.5546875" style="410" customWidth="1"/>
    <col min="12288" max="12289" width="0" style="410" hidden="1" customWidth="1"/>
    <col min="12290" max="12290" width="9" style="410" customWidth="1"/>
    <col min="12291" max="12291" width="7.5546875" style="410" customWidth="1"/>
    <col min="12292" max="12293" width="9" style="410" customWidth="1"/>
    <col min="12294" max="12294" width="7.88671875" style="410" customWidth="1"/>
    <col min="12295" max="12295" width="9.5546875" style="410" customWidth="1"/>
    <col min="12296" max="12296" width="7.88671875" style="410" customWidth="1"/>
    <col min="12297" max="12297" width="8.5546875" style="410" customWidth="1"/>
    <col min="12298" max="12298" width="8.6640625" style="410" customWidth="1"/>
    <col min="12299" max="12299" width="7.44140625" style="410" customWidth="1"/>
    <col min="12300" max="12300" width="9.5546875" style="410" customWidth="1"/>
    <col min="12301" max="12302" width="18.5546875" style="410" bestFit="1" customWidth="1"/>
    <col min="12303" max="12303" width="14.88671875" style="410" bestFit="1" customWidth="1"/>
    <col min="12304" max="12535" width="7.109375" style="410"/>
    <col min="12536" max="12536" width="4.6640625" style="410" customWidth="1"/>
    <col min="12537" max="12537" width="17" style="410" customWidth="1"/>
    <col min="12538" max="12538" width="22.44140625" style="410" customWidth="1"/>
    <col min="12539" max="12539" width="9.109375" style="410" customWidth="1"/>
    <col min="12540" max="12540" width="8.33203125" style="410" customWidth="1"/>
    <col min="12541" max="12542" width="0" style="410" hidden="1" customWidth="1"/>
    <col min="12543" max="12543" width="9.5546875" style="410" customWidth="1"/>
    <col min="12544" max="12545" width="0" style="410" hidden="1" customWidth="1"/>
    <col min="12546" max="12546" width="9" style="410" customWidth="1"/>
    <col min="12547" max="12547" width="7.5546875" style="410" customWidth="1"/>
    <col min="12548" max="12549" width="9" style="410" customWidth="1"/>
    <col min="12550" max="12550" width="7.88671875" style="410" customWidth="1"/>
    <col min="12551" max="12551" width="9.5546875" style="410" customWidth="1"/>
    <col min="12552" max="12552" width="7.88671875" style="410" customWidth="1"/>
    <col min="12553" max="12553" width="8.5546875" style="410" customWidth="1"/>
    <col min="12554" max="12554" width="8.6640625" style="410" customWidth="1"/>
    <col min="12555" max="12555" width="7.44140625" style="410" customWidth="1"/>
    <col min="12556" max="12556" width="9.5546875" style="410" customWidth="1"/>
    <col min="12557" max="12558" width="18.5546875" style="410" bestFit="1" customWidth="1"/>
    <col min="12559" max="12559" width="14.88671875" style="410" bestFit="1" customWidth="1"/>
    <col min="12560" max="12791" width="7.109375" style="410"/>
    <col min="12792" max="12792" width="4.6640625" style="410" customWidth="1"/>
    <col min="12793" max="12793" width="17" style="410" customWidth="1"/>
    <col min="12794" max="12794" width="22.44140625" style="410" customWidth="1"/>
    <col min="12795" max="12795" width="9.109375" style="410" customWidth="1"/>
    <col min="12796" max="12796" width="8.33203125" style="410" customWidth="1"/>
    <col min="12797" max="12798" width="0" style="410" hidden="1" customWidth="1"/>
    <col min="12799" max="12799" width="9.5546875" style="410" customWidth="1"/>
    <col min="12800" max="12801" width="0" style="410" hidden="1" customWidth="1"/>
    <col min="12802" max="12802" width="9" style="410" customWidth="1"/>
    <col min="12803" max="12803" width="7.5546875" style="410" customWidth="1"/>
    <col min="12804" max="12805" width="9" style="410" customWidth="1"/>
    <col min="12806" max="12806" width="7.88671875" style="410" customWidth="1"/>
    <col min="12807" max="12807" width="9.5546875" style="410" customWidth="1"/>
    <col min="12808" max="12808" width="7.88671875" style="410" customWidth="1"/>
    <col min="12809" max="12809" width="8.5546875" style="410" customWidth="1"/>
    <col min="12810" max="12810" width="8.6640625" style="410" customWidth="1"/>
    <col min="12811" max="12811" width="7.44140625" style="410" customWidth="1"/>
    <col min="12812" max="12812" width="9.5546875" style="410" customWidth="1"/>
    <col min="12813" max="12814" width="18.5546875" style="410" bestFit="1" customWidth="1"/>
    <col min="12815" max="12815" width="14.88671875" style="410" bestFit="1" customWidth="1"/>
    <col min="12816" max="13047" width="7.109375" style="410"/>
    <col min="13048" max="13048" width="4.6640625" style="410" customWidth="1"/>
    <col min="13049" max="13049" width="17" style="410" customWidth="1"/>
    <col min="13050" max="13050" width="22.44140625" style="410" customWidth="1"/>
    <col min="13051" max="13051" width="9.109375" style="410" customWidth="1"/>
    <col min="13052" max="13052" width="8.33203125" style="410" customWidth="1"/>
    <col min="13053" max="13054" width="0" style="410" hidden="1" customWidth="1"/>
    <col min="13055" max="13055" width="9.5546875" style="410" customWidth="1"/>
    <col min="13056" max="13057" width="0" style="410" hidden="1" customWidth="1"/>
    <col min="13058" max="13058" width="9" style="410" customWidth="1"/>
    <col min="13059" max="13059" width="7.5546875" style="410" customWidth="1"/>
    <col min="13060" max="13061" width="9" style="410" customWidth="1"/>
    <col min="13062" max="13062" width="7.88671875" style="410" customWidth="1"/>
    <col min="13063" max="13063" width="9.5546875" style="410" customWidth="1"/>
    <col min="13064" max="13064" width="7.88671875" style="410" customWidth="1"/>
    <col min="13065" max="13065" width="8.5546875" style="410" customWidth="1"/>
    <col min="13066" max="13066" width="8.6640625" style="410" customWidth="1"/>
    <col min="13067" max="13067" width="7.44140625" style="410" customWidth="1"/>
    <col min="13068" max="13068" width="9.5546875" style="410" customWidth="1"/>
    <col min="13069" max="13070" width="18.5546875" style="410" bestFit="1" customWidth="1"/>
    <col min="13071" max="13071" width="14.88671875" style="410" bestFit="1" customWidth="1"/>
    <col min="13072" max="13303" width="7.109375" style="410"/>
    <col min="13304" max="13304" width="4.6640625" style="410" customWidth="1"/>
    <col min="13305" max="13305" width="17" style="410" customWidth="1"/>
    <col min="13306" max="13306" width="22.44140625" style="410" customWidth="1"/>
    <col min="13307" max="13307" width="9.109375" style="410" customWidth="1"/>
    <col min="13308" max="13308" width="8.33203125" style="410" customWidth="1"/>
    <col min="13309" max="13310" width="0" style="410" hidden="1" customWidth="1"/>
    <col min="13311" max="13311" width="9.5546875" style="410" customWidth="1"/>
    <col min="13312" max="13313" width="0" style="410" hidden="1" customWidth="1"/>
    <col min="13314" max="13314" width="9" style="410" customWidth="1"/>
    <col min="13315" max="13315" width="7.5546875" style="410" customWidth="1"/>
    <col min="13316" max="13317" width="9" style="410" customWidth="1"/>
    <col min="13318" max="13318" width="7.88671875" style="410" customWidth="1"/>
    <col min="13319" max="13319" width="9.5546875" style="410" customWidth="1"/>
    <col min="13320" max="13320" width="7.88671875" style="410" customWidth="1"/>
    <col min="13321" max="13321" width="8.5546875" style="410" customWidth="1"/>
    <col min="13322" max="13322" width="8.6640625" style="410" customWidth="1"/>
    <col min="13323" max="13323" width="7.44140625" style="410" customWidth="1"/>
    <col min="13324" max="13324" width="9.5546875" style="410" customWidth="1"/>
    <col min="13325" max="13326" width="18.5546875" style="410" bestFit="1" customWidth="1"/>
    <col min="13327" max="13327" width="14.88671875" style="410" bestFit="1" customWidth="1"/>
    <col min="13328" max="13559" width="7.109375" style="410"/>
    <col min="13560" max="13560" width="4.6640625" style="410" customWidth="1"/>
    <col min="13561" max="13561" width="17" style="410" customWidth="1"/>
    <col min="13562" max="13562" width="22.44140625" style="410" customWidth="1"/>
    <col min="13563" max="13563" width="9.109375" style="410" customWidth="1"/>
    <col min="13564" max="13564" width="8.33203125" style="410" customWidth="1"/>
    <col min="13565" max="13566" width="0" style="410" hidden="1" customWidth="1"/>
    <col min="13567" max="13567" width="9.5546875" style="410" customWidth="1"/>
    <col min="13568" max="13569" width="0" style="410" hidden="1" customWidth="1"/>
    <col min="13570" max="13570" width="9" style="410" customWidth="1"/>
    <col min="13571" max="13571" width="7.5546875" style="410" customWidth="1"/>
    <col min="13572" max="13573" width="9" style="410" customWidth="1"/>
    <col min="13574" max="13574" width="7.88671875" style="410" customWidth="1"/>
    <col min="13575" max="13575" width="9.5546875" style="410" customWidth="1"/>
    <col min="13576" max="13576" width="7.88671875" style="410" customWidth="1"/>
    <col min="13577" max="13577" width="8.5546875" style="410" customWidth="1"/>
    <col min="13578" max="13578" width="8.6640625" style="410" customWidth="1"/>
    <col min="13579" max="13579" width="7.44140625" style="410" customWidth="1"/>
    <col min="13580" max="13580" width="9.5546875" style="410" customWidth="1"/>
    <col min="13581" max="13582" width="18.5546875" style="410" bestFit="1" customWidth="1"/>
    <col min="13583" max="13583" width="14.88671875" style="410" bestFit="1" customWidth="1"/>
    <col min="13584" max="13815" width="7.109375" style="410"/>
    <col min="13816" max="13816" width="4.6640625" style="410" customWidth="1"/>
    <col min="13817" max="13817" width="17" style="410" customWidth="1"/>
    <col min="13818" max="13818" width="22.44140625" style="410" customWidth="1"/>
    <col min="13819" max="13819" width="9.109375" style="410" customWidth="1"/>
    <col min="13820" max="13820" width="8.33203125" style="410" customWidth="1"/>
    <col min="13821" max="13822" width="0" style="410" hidden="1" customWidth="1"/>
    <col min="13823" max="13823" width="9.5546875" style="410" customWidth="1"/>
    <col min="13824" max="13825" width="0" style="410" hidden="1" customWidth="1"/>
    <col min="13826" max="13826" width="9" style="410" customWidth="1"/>
    <col min="13827" max="13827" width="7.5546875" style="410" customWidth="1"/>
    <col min="13828" max="13829" width="9" style="410" customWidth="1"/>
    <col min="13830" max="13830" width="7.88671875" style="410" customWidth="1"/>
    <col min="13831" max="13831" width="9.5546875" style="410" customWidth="1"/>
    <col min="13832" max="13832" width="7.88671875" style="410" customWidth="1"/>
    <col min="13833" max="13833" width="8.5546875" style="410" customWidth="1"/>
    <col min="13834" max="13834" width="8.6640625" style="410" customWidth="1"/>
    <col min="13835" max="13835" width="7.44140625" style="410" customWidth="1"/>
    <col min="13836" max="13836" width="9.5546875" style="410" customWidth="1"/>
    <col min="13837" max="13838" width="18.5546875" style="410" bestFit="1" customWidth="1"/>
    <col min="13839" max="13839" width="14.88671875" style="410" bestFit="1" customWidth="1"/>
    <col min="13840" max="14071" width="7.109375" style="410"/>
    <col min="14072" max="14072" width="4.6640625" style="410" customWidth="1"/>
    <col min="14073" max="14073" width="17" style="410" customWidth="1"/>
    <col min="14074" max="14074" width="22.44140625" style="410" customWidth="1"/>
    <col min="14075" max="14075" width="9.109375" style="410" customWidth="1"/>
    <col min="14076" max="14076" width="8.33203125" style="410" customWidth="1"/>
    <col min="14077" max="14078" width="0" style="410" hidden="1" customWidth="1"/>
    <col min="14079" max="14079" width="9.5546875" style="410" customWidth="1"/>
    <col min="14080" max="14081" width="0" style="410" hidden="1" customWidth="1"/>
    <col min="14082" max="14082" width="9" style="410" customWidth="1"/>
    <col min="14083" max="14083" width="7.5546875" style="410" customWidth="1"/>
    <col min="14084" max="14085" width="9" style="410" customWidth="1"/>
    <col min="14086" max="14086" width="7.88671875" style="410" customWidth="1"/>
    <col min="14087" max="14087" width="9.5546875" style="410" customWidth="1"/>
    <col min="14088" max="14088" width="7.88671875" style="410" customWidth="1"/>
    <col min="14089" max="14089" width="8.5546875" style="410" customWidth="1"/>
    <col min="14090" max="14090" width="8.6640625" style="410" customWidth="1"/>
    <col min="14091" max="14091" width="7.44140625" style="410" customWidth="1"/>
    <col min="14092" max="14092" width="9.5546875" style="410" customWidth="1"/>
    <col min="14093" max="14094" width="18.5546875" style="410" bestFit="1" customWidth="1"/>
    <col min="14095" max="14095" width="14.88671875" style="410" bestFit="1" customWidth="1"/>
    <col min="14096" max="14327" width="7.109375" style="410"/>
    <col min="14328" max="14328" width="4.6640625" style="410" customWidth="1"/>
    <col min="14329" max="14329" width="17" style="410" customWidth="1"/>
    <col min="14330" max="14330" width="22.44140625" style="410" customWidth="1"/>
    <col min="14331" max="14331" width="9.109375" style="410" customWidth="1"/>
    <col min="14332" max="14332" width="8.33203125" style="410" customWidth="1"/>
    <col min="14333" max="14334" width="0" style="410" hidden="1" customWidth="1"/>
    <col min="14335" max="14335" width="9.5546875" style="410" customWidth="1"/>
    <col min="14336" max="14337" width="0" style="410" hidden="1" customWidth="1"/>
    <col min="14338" max="14338" width="9" style="410" customWidth="1"/>
    <col min="14339" max="14339" width="7.5546875" style="410" customWidth="1"/>
    <col min="14340" max="14341" width="9" style="410" customWidth="1"/>
    <col min="14342" max="14342" width="7.88671875" style="410" customWidth="1"/>
    <col min="14343" max="14343" width="9.5546875" style="410" customWidth="1"/>
    <col min="14344" max="14344" width="7.88671875" style="410" customWidth="1"/>
    <col min="14345" max="14345" width="8.5546875" style="410" customWidth="1"/>
    <col min="14346" max="14346" width="8.6640625" style="410" customWidth="1"/>
    <col min="14347" max="14347" width="7.44140625" style="410" customWidth="1"/>
    <col min="14348" max="14348" width="9.5546875" style="410" customWidth="1"/>
    <col min="14349" max="14350" width="18.5546875" style="410" bestFit="1" customWidth="1"/>
    <col min="14351" max="14351" width="14.88671875" style="410" bestFit="1" customWidth="1"/>
    <col min="14352" max="14583" width="7.109375" style="410"/>
    <col min="14584" max="14584" width="4.6640625" style="410" customWidth="1"/>
    <col min="14585" max="14585" width="17" style="410" customWidth="1"/>
    <col min="14586" max="14586" width="22.44140625" style="410" customWidth="1"/>
    <col min="14587" max="14587" width="9.109375" style="410" customWidth="1"/>
    <col min="14588" max="14588" width="8.33203125" style="410" customWidth="1"/>
    <col min="14589" max="14590" width="0" style="410" hidden="1" customWidth="1"/>
    <col min="14591" max="14591" width="9.5546875" style="410" customWidth="1"/>
    <col min="14592" max="14593" width="0" style="410" hidden="1" customWidth="1"/>
    <col min="14594" max="14594" width="9" style="410" customWidth="1"/>
    <col min="14595" max="14595" width="7.5546875" style="410" customWidth="1"/>
    <col min="14596" max="14597" width="9" style="410" customWidth="1"/>
    <col min="14598" max="14598" width="7.88671875" style="410" customWidth="1"/>
    <col min="14599" max="14599" width="9.5546875" style="410" customWidth="1"/>
    <col min="14600" max="14600" width="7.88671875" style="410" customWidth="1"/>
    <col min="14601" max="14601" width="8.5546875" style="410" customWidth="1"/>
    <col min="14602" max="14602" width="8.6640625" style="410" customWidth="1"/>
    <col min="14603" max="14603" width="7.44140625" style="410" customWidth="1"/>
    <col min="14604" max="14604" width="9.5546875" style="410" customWidth="1"/>
    <col min="14605" max="14606" width="18.5546875" style="410" bestFit="1" customWidth="1"/>
    <col min="14607" max="14607" width="14.88671875" style="410" bestFit="1" customWidth="1"/>
    <col min="14608" max="14839" width="7.109375" style="410"/>
    <col min="14840" max="14840" width="4.6640625" style="410" customWidth="1"/>
    <col min="14841" max="14841" width="17" style="410" customWidth="1"/>
    <col min="14842" max="14842" width="22.44140625" style="410" customWidth="1"/>
    <col min="14843" max="14843" width="9.109375" style="410" customWidth="1"/>
    <col min="14844" max="14844" width="8.33203125" style="410" customWidth="1"/>
    <col min="14845" max="14846" width="0" style="410" hidden="1" customWidth="1"/>
    <col min="14847" max="14847" width="9.5546875" style="410" customWidth="1"/>
    <col min="14848" max="14849" width="0" style="410" hidden="1" customWidth="1"/>
    <col min="14850" max="14850" width="9" style="410" customWidth="1"/>
    <col min="14851" max="14851" width="7.5546875" style="410" customWidth="1"/>
    <col min="14852" max="14853" width="9" style="410" customWidth="1"/>
    <col min="14854" max="14854" width="7.88671875" style="410" customWidth="1"/>
    <col min="14855" max="14855" width="9.5546875" style="410" customWidth="1"/>
    <col min="14856" max="14856" width="7.88671875" style="410" customWidth="1"/>
    <col min="14857" max="14857" width="8.5546875" style="410" customWidth="1"/>
    <col min="14858" max="14858" width="8.6640625" style="410" customWidth="1"/>
    <col min="14859" max="14859" width="7.44140625" style="410" customWidth="1"/>
    <col min="14860" max="14860" width="9.5546875" style="410" customWidth="1"/>
    <col min="14861" max="14862" width="18.5546875" style="410" bestFit="1" customWidth="1"/>
    <col min="14863" max="14863" width="14.88671875" style="410" bestFit="1" customWidth="1"/>
    <col min="14864" max="15095" width="7.109375" style="410"/>
    <col min="15096" max="15096" width="4.6640625" style="410" customWidth="1"/>
    <col min="15097" max="15097" width="17" style="410" customWidth="1"/>
    <col min="15098" max="15098" width="22.44140625" style="410" customWidth="1"/>
    <col min="15099" max="15099" width="9.109375" style="410" customWidth="1"/>
    <col min="15100" max="15100" width="8.33203125" style="410" customWidth="1"/>
    <col min="15101" max="15102" width="0" style="410" hidden="1" customWidth="1"/>
    <col min="15103" max="15103" width="9.5546875" style="410" customWidth="1"/>
    <col min="15104" max="15105" width="0" style="410" hidden="1" customWidth="1"/>
    <col min="15106" max="15106" width="9" style="410" customWidth="1"/>
    <col min="15107" max="15107" width="7.5546875" style="410" customWidth="1"/>
    <col min="15108" max="15109" width="9" style="410" customWidth="1"/>
    <col min="15110" max="15110" width="7.88671875" style="410" customWidth="1"/>
    <col min="15111" max="15111" width="9.5546875" style="410" customWidth="1"/>
    <col min="15112" max="15112" width="7.88671875" style="410" customWidth="1"/>
    <col min="15113" max="15113" width="8.5546875" style="410" customWidth="1"/>
    <col min="15114" max="15114" width="8.6640625" style="410" customWidth="1"/>
    <col min="15115" max="15115" width="7.44140625" style="410" customWidth="1"/>
    <col min="15116" max="15116" width="9.5546875" style="410" customWidth="1"/>
    <col min="15117" max="15118" width="18.5546875" style="410" bestFit="1" customWidth="1"/>
    <col min="15119" max="15119" width="14.88671875" style="410" bestFit="1" customWidth="1"/>
    <col min="15120" max="15351" width="7.109375" style="410"/>
    <col min="15352" max="15352" width="4.6640625" style="410" customWidth="1"/>
    <col min="15353" max="15353" width="17" style="410" customWidth="1"/>
    <col min="15354" max="15354" width="22.44140625" style="410" customWidth="1"/>
    <col min="15355" max="15355" width="9.109375" style="410" customWidth="1"/>
    <col min="15356" max="15356" width="8.33203125" style="410" customWidth="1"/>
    <col min="15357" max="15358" width="0" style="410" hidden="1" customWidth="1"/>
    <col min="15359" max="15359" width="9.5546875" style="410" customWidth="1"/>
    <col min="15360" max="15361" width="0" style="410" hidden="1" customWidth="1"/>
    <col min="15362" max="15362" width="9" style="410" customWidth="1"/>
    <col min="15363" max="15363" width="7.5546875" style="410" customWidth="1"/>
    <col min="15364" max="15365" width="9" style="410" customWidth="1"/>
    <col min="15366" max="15366" width="7.88671875" style="410" customWidth="1"/>
    <col min="15367" max="15367" width="9.5546875" style="410" customWidth="1"/>
    <col min="15368" max="15368" width="7.88671875" style="410" customWidth="1"/>
    <col min="15369" max="15369" width="8.5546875" style="410" customWidth="1"/>
    <col min="15370" max="15370" width="8.6640625" style="410" customWidth="1"/>
    <col min="15371" max="15371" width="7.44140625" style="410" customWidth="1"/>
    <col min="15372" max="15372" width="9.5546875" style="410" customWidth="1"/>
    <col min="15373" max="15374" width="18.5546875" style="410" bestFit="1" customWidth="1"/>
    <col min="15375" max="15375" width="14.88671875" style="410" bestFit="1" customWidth="1"/>
    <col min="15376" max="15607" width="7.109375" style="410"/>
    <col min="15608" max="15608" width="4.6640625" style="410" customWidth="1"/>
    <col min="15609" max="15609" width="17" style="410" customWidth="1"/>
    <col min="15610" max="15610" width="22.44140625" style="410" customWidth="1"/>
    <col min="15611" max="15611" width="9.109375" style="410" customWidth="1"/>
    <col min="15612" max="15612" width="8.33203125" style="410" customWidth="1"/>
    <col min="15613" max="15614" width="0" style="410" hidden="1" customWidth="1"/>
    <col min="15615" max="15615" width="9.5546875" style="410" customWidth="1"/>
    <col min="15616" max="15617" width="0" style="410" hidden="1" customWidth="1"/>
    <col min="15618" max="15618" width="9" style="410" customWidth="1"/>
    <col min="15619" max="15619" width="7.5546875" style="410" customWidth="1"/>
    <col min="15620" max="15621" width="9" style="410" customWidth="1"/>
    <col min="15622" max="15622" width="7.88671875" style="410" customWidth="1"/>
    <col min="15623" max="15623" width="9.5546875" style="410" customWidth="1"/>
    <col min="15624" max="15624" width="7.88671875" style="410" customWidth="1"/>
    <col min="15625" max="15625" width="8.5546875" style="410" customWidth="1"/>
    <col min="15626" max="15626" width="8.6640625" style="410" customWidth="1"/>
    <col min="15627" max="15627" width="7.44140625" style="410" customWidth="1"/>
    <col min="15628" max="15628" width="9.5546875" style="410" customWidth="1"/>
    <col min="15629" max="15630" width="18.5546875" style="410" bestFit="1" customWidth="1"/>
    <col min="15631" max="15631" width="14.88671875" style="410" bestFit="1" customWidth="1"/>
    <col min="15632" max="15863" width="7.109375" style="410"/>
    <col min="15864" max="15864" width="4.6640625" style="410" customWidth="1"/>
    <col min="15865" max="15865" width="17" style="410" customWidth="1"/>
    <col min="15866" max="15866" width="22.44140625" style="410" customWidth="1"/>
    <col min="15867" max="15867" width="9.109375" style="410" customWidth="1"/>
    <col min="15868" max="15868" width="8.33203125" style="410" customWidth="1"/>
    <col min="15869" max="15870" width="0" style="410" hidden="1" customWidth="1"/>
    <col min="15871" max="15871" width="9.5546875" style="410" customWidth="1"/>
    <col min="15872" max="15873" width="0" style="410" hidden="1" customWidth="1"/>
    <col min="15874" max="15874" width="9" style="410" customWidth="1"/>
    <col min="15875" max="15875" width="7.5546875" style="410" customWidth="1"/>
    <col min="15876" max="15877" width="9" style="410" customWidth="1"/>
    <col min="15878" max="15878" width="7.88671875" style="410" customWidth="1"/>
    <col min="15879" max="15879" width="9.5546875" style="410" customWidth="1"/>
    <col min="15880" max="15880" width="7.88671875" style="410" customWidth="1"/>
    <col min="15881" max="15881" width="8.5546875" style="410" customWidth="1"/>
    <col min="15882" max="15882" width="8.6640625" style="410" customWidth="1"/>
    <col min="15883" max="15883" width="7.44140625" style="410" customWidth="1"/>
    <col min="15884" max="15884" width="9.5546875" style="410" customWidth="1"/>
    <col min="15885" max="15886" width="18.5546875" style="410" bestFit="1" customWidth="1"/>
    <col min="15887" max="15887" width="14.88671875" style="410" bestFit="1" customWidth="1"/>
    <col min="15888" max="16119" width="7.109375" style="410"/>
    <col min="16120" max="16120" width="4.6640625" style="410" customWidth="1"/>
    <col min="16121" max="16121" width="17" style="410" customWidth="1"/>
    <col min="16122" max="16122" width="22.44140625" style="410" customWidth="1"/>
    <col min="16123" max="16123" width="9.109375" style="410" customWidth="1"/>
    <col min="16124" max="16124" width="8.33203125" style="410" customWidth="1"/>
    <col min="16125" max="16126" width="0" style="410" hidden="1" customWidth="1"/>
    <col min="16127" max="16127" width="9.5546875" style="410" customWidth="1"/>
    <col min="16128" max="16129" width="0" style="410" hidden="1" customWidth="1"/>
    <col min="16130" max="16130" width="9" style="410" customWidth="1"/>
    <col min="16131" max="16131" width="7.5546875" style="410" customWidth="1"/>
    <col min="16132" max="16133" width="9" style="410" customWidth="1"/>
    <col min="16134" max="16134" width="7.88671875" style="410" customWidth="1"/>
    <col min="16135" max="16135" width="9.5546875" style="410" customWidth="1"/>
    <col min="16136" max="16136" width="7.88671875" style="410" customWidth="1"/>
    <col min="16137" max="16137" width="8.5546875" style="410" customWidth="1"/>
    <col min="16138" max="16138" width="8.6640625" style="410" customWidth="1"/>
    <col min="16139" max="16139" width="7.44140625" style="410" customWidth="1"/>
    <col min="16140" max="16140" width="9.5546875" style="410" customWidth="1"/>
    <col min="16141" max="16142" width="18.5546875" style="410" bestFit="1" customWidth="1"/>
    <col min="16143" max="16143" width="14.88671875" style="410" bestFit="1" customWidth="1"/>
    <col min="16144" max="16384" width="7.109375" style="410"/>
  </cols>
  <sheetData>
    <row r="1" spans="1:19" x14ac:dyDescent="0.25">
      <c r="A1" s="825" t="s">
        <v>85</v>
      </c>
      <c r="B1" s="825"/>
      <c r="C1" s="825"/>
      <c r="D1" s="825"/>
      <c r="E1" s="825"/>
      <c r="F1" s="825"/>
      <c r="G1" s="825"/>
      <c r="H1" s="825"/>
      <c r="I1" s="825"/>
      <c r="J1" s="825"/>
      <c r="K1" s="825"/>
      <c r="L1" s="825"/>
      <c r="M1" s="825"/>
      <c r="N1" s="825"/>
      <c r="O1" s="825"/>
      <c r="P1" s="825"/>
      <c r="Q1" s="825"/>
      <c r="R1" s="825"/>
      <c r="S1" s="825"/>
    </row>
    <row r="2" spans="1:19" x14ac:dyDescent="0.25">
      <c r="A2" s="826" t="s">
        <v>287</v>
      </c>
      <c r="B2" s="826"/>
      <c r="C2" s="826"/>
      <c r="D2" s="826"/>
      <c r="E2" s="826"/>
      <c r="F2" s="826"/>
      <c r="G2" s="826"/>
      <c r="H2" s="826"/>
      <c r="I2" s="826"/>
      <c r="J2" s="826"/>
      <c r="K2" s="826"/>
      <c r="L2" s="826"/>
      <c r="M2" s="826"/>
      <c r="N2" s="826"/>
      <c r="O2" s="826"/>
      <c r="P2" s="826"/>
      <c r="Q2" s="826"/>
      <c r="R2" s="826"/>
      <c r="S2" s="826"/>
    </row>
    <row r="3" spans="1:19" x14ac:dyDescent="0.25">
      <c r="A3" s="826" t="str">
        <f>'Anx A'!A3:H3</f>
        <v>Project Control Unit:-  Dev of C-15 Islamabad</v>
      </c>
      <c r="B3" s="826"/>
      <c r="C3" s="826"/>
      <c r="D3" s="826"/>
      <c r="E3" s="826"/>
      <c r="F3" s="826"/>
      <c r="G3" s="826"/>
      <c r="H3" s="826"/>
      <c r="I3" s="826"/>
      <c r="J3" s="826"/>
      <c r="K3" s="826"/>
      <c r="L3" s="826"/>
      <c r="M3" s="826"/>
      <c r="N3" s="826"/>
      <c r="O3" s="826"/>
      <c r="P3" s="826"/>
      <c r="Q3" s="826"/>
      <c r="R3" s="826"/>
      <c r="S3" s="826"/>
    </row>
    <row r="4" spans="1:19" x14ac:dyDescent="0.25">
      <c r="A4" s="827"/>
      <c r="B4" s="827"/>
      <c r="C4" s="827"/>
      <c r="D4" s="827"/>
      <c r="E4" s="827"/>
      <c r="F4" s="827"/>
      <c r="G4" s="827"/>
      <c r="H4" s="827"/>
      <c r="I4" s="827"/>
      <c r="J4" s="827"/>
      <c r="K4" s="827"/>
      <c r="L4" s="827"/>
      <c r="M4" s="827"/>
      <c r="N4" s="827"/>
      <c r="O4" s="827"/>
      <c r="P4" s="827"/>
      <c r="Q4" s="827"/>
      <c r="R4" s="827"/>
      <c r="S4" s="827"/>
    </row>
    <row r="5" spans="1:19" s="411" customFormat="1" ht="18" customHeight="1" x14ac:dyDescent="0.3">
      <c r="A5" s="828" t="s">
        <v>6</v>
      </c>
      <c r="B5" s="828" t="s">
        <v>212</v>
      </c>
      <c r="C5" s="830" t="s">
        <v>15</v>
      </c>
      <c r="D5" s="831"/>
      <c r="E5" s="831"/>
      <c r="F5" s="831"/>
      <c r="G5" s="831"/>
      <c r="H5" s="831"/>
      <c r="I5" s="832"/>
      <c r="J5" s="830" t="s">
        <v>50</v>
      </c>
      <c r="K5" s="831"/>
      <c r="L5" s="831"/>
      <c r="M5" s="831"/>
      <c r="N5" s="832"/>
      <c r="O5" s="830" t="s">
        <v>51</v>
      </c>
      <c r="P5" s="831"/>
      <c r="Q5" s="831"/>
      <c r="R5" s="831"/>
      <c r="S5" s="832"/>
    </row>
    <row r="6" spans="1:19" s="411" customFormat="1" ht="64.5" customHeight="1" x14ac:dyDescent="0.3">
      <c r="A6" s="829"/>
      <c r="B6" s="829"/>
      <c r="C6" s="412" t="s">
        <v>28</v>
      </c>
      <c r="D6" s="412" t="s">
        <v>374</v>
      </c>
      <c r="E6" s="412" t="s">
        <v>323</v>
      </c>
      <c r="F6" s="413" t="s">
        <v>81</v>
      </c>
      <c r="G6" s="413" t="s">
        <v>334</v>
      </c>
      <c r="H6" s="412" t="s">
        <v>335</v>
      </c>
      <c r="I6" s="413" t="s">
        <v>178</v>
      </c>
      <c r="J6" s="412" t="s">
        <v>28</v>
      </c>
      <c r="K6" s="413" t="s">
        <v>83</v>
      </c>
      <c r="L6" s="413" t="s">
        <v>81</v>
      </c>
      <c r="M6" s="413" t="s">
        <v>82</v>
      </c>
      <c r="N6" s="413" t="s">
        <v>178</v>
      </c>
      <c r="O6" s="412" t="s">
        <v>28</v>
      </c>
      <c r="P6" s="413" t="s">
        <v>375</v>
      </c>
      <c r="Q6" s="414" t="s">
        <v>81</v>
      </c>
      <c r="R6" s="413" t="s">
        <v>82</v>
      </c>
      <c r="S6" s="413" t="s">
        <v>178</v>
      </c>
    </row>
    <row r="7" spans="1:19" s="417" customFormat="1" ht="98.25" customHeight="1" thickBot="1" x14ac:dyDescent="0.3">
      <c r="A7" s="415" t="s">
        <v>40</v>
      </c>
      <c r="B7" s="416"/>
      <c r="C7" s="449"/>
      <c r="D7" s="450">
        <v>0</v>
      </c>
      <c r="E7" s="450" t="e">
        <f>#REF!</f>
        <v>#REF!</v>
      </c>
      <c r="F7" s="451">
        <v>0</v>
      </c>
      <c r="G7" s="450" t="e">
        <f>#REF!+#REF!</f>
        <v>#REF!</v>
      </c>
      <c r="H7" s="450" t="e">
        <f>#REF!+#REF!</f>
        <v>#REF!</v>
      </c>
      <c r="I7" s="450">
        <v>0</v>
      </c>
      <c r="J7" s="450">
        <v>0</v>
      </c>
      <c r="K7" s="450">
        <v>0</v>
      </c>
      <c r="L7" s="450">
        <v>0</v>
      </c>
      <c r="M7" s="450">
        <v>0</v>
      </c>
      <c r="N7" s="450">
        <v>0</v>
      </c>
      <c r="O7" s="450">
        <v>0</v>
      </c>
      <c r="P7" s="450">
        <v>0</v>
      </c>
      <c r="Q7" s="450">
        <v>0</v>
      </c>
      <c r="R7" s="450">
        <v>0</v>
      </c>
      <c r="S7" s="450">
        <f>P7+Q7</f>
        <v>0</v>
      </c>
    </row>
    <row r="8" spans="1:19" ht="17.25" customHeight="1" thickTop="1" x14ac:dyDescent="0.25">
      <c r="A8" s="824"/>
      <c r="B8" s="824"/>
      <c r="C8" s="824"/>
      <c r="D8" s="824"/>
      <c r="E8" s="824"/>
      <c r="F8" s="824"/>
      <c r="G8" s="824"/>
      <c r="H8" s="824"/>
      <c r="I8" s="824"/>
      <c r="J8" s="824"/>
      <c r="K8" s="824"/>
      <c r="L8" s="824"/>
      <c r="M8" s="824"/>
      <c r="N8" s="824"/>
      <c r="O8" s="824"/>
      <c r="P8" s="824"/>
      <c r="Q8" s="824"/>
      <c r="R8" s="824"/>
      <c r="S8" s="824"/>
    </row>
    <row r="9" spans="1:19" ht="98.25" customHeight="1" x14ac:dyDescent="0.25">
      <c r="A9" s="823"/>
      <c r="B9" s="823"/>
      <c r="C9" s="823"/>
      <c r="D9" s="823"/>
      <c r="E9" s="823"/>
      <c r="F9" s="823"/>
      <c r="G9" s="823"/>
      <c r="H9" s="823"/>
      <c r="I9" s="823"/>
      <c r="J9" s="823"/>
      <c r="K9" s="823"/>
      <c r="L9" s="823"/>
      <c r="M9" s="823"/>
      <c r="N9" s="823"/>
      <c r="O9" s="823"/>
      <c r="P9" s="823"/>
      <c r="Q9" s="823"/>
      <c r="R9" s="823"/>
      <c r="S9" s="823"/>
    </row>
    <row r="10" spans="1:19" x14ac:dyDescent="0.25">
      <c r="D10" s="419"/>
      <c r="E10" s="419"/>
      <c r="F10" s="420"/>
      <c r="G10" s="420"/>
      <c r="H10" s="420"/>
      <c r="I10" s="421"/>
      <c r="K10" s="421"/>
      <c r="L10" s="421"/>
      <c r="M10" s="422"/>
      <c r="N10" s="422"/>
      <c r="P10" s="421"/>
      <c r="Q10" s="423"/>
      <c r="R10" s="421"/>
      <c r="S10" s="421"/>
    </row>
    <row r="11" spans="1:19" x14ac:dyDescent="0.25">
      <c r="D11" s="419"/>
      <c r="F11" s="421"/>
      <c r="G11" s="421"/>
      <c r="H11" s="421"/>
      <c r="I11" s="421"/>
      <c r="K11" s="421"/>
      <c r="L11" s="421"/>
      <c r="M11" s="421"/>
      <c r="N11" s="422"/>
      <c r="P11" s="421"/>
      <c r="Q11" s="423"/>
      <c r="R11" s="421"/>
      <c r="S11" s="421"/>
    </row>
    <row r="12" spans="1:19" x14ac:dyDescent="0.25">
      <c r="D12" s="419"/>
      <c r="E12" s="419"/>
      <c r="F12" s="421"/>
      <c r="G12" s="421"/>
      <c r="H12" s="421"/>
      <c r="I12" s="421"/>
      <c r="K12" s="421"/>
      <c r="L12" s="421"/>
      <c r="M12" s="421"/>
      <c r="N12" s="421"/>
      <c r="P12" s="421"/>
      <c r="Q12" s="423"/>
      <c r="R12" s="421"/>
      <c r="S12" s="421"/>
    </row>
    <row r="13" spans="1:19" x14ac:dyDescent="0.25">
      <c r="D13" s="419"/>
      <c r="F13" s="421"/>
      <c r="G13" s="421"/>
      <c r="H13" s="421"/>
      <c r="I13" s="421"/>
      <c r="K13" s="421"/>
      <c r="L13" s="421"/>
      <c r="M13" s="421"/>
      <c r="N13" s="421"/>
      <c r="P13" s="421"/>
      <c r="Q13" s="423"/>
      <c r="R13" s="421"/>
      <c r="S13" s="421"/>
    </row>
    <row r="14" spans="1:19" x14ac:dyDescent="0.25">
      <c r="D14" s="419"/>
      <c r="F14" s="421"/>
      <c r="G14" s="421"/>
      <c r="H14" s="421"/>
      <c r="I14" s="421"/>
      <c r="K14" s="421"/>
      <c r="L14" s="421"/>
      <c r="M14" s="421"/>
      <c r="N14" s="421"/>
      <c r="P14" s="421"/>
      <c r="Q14" s="423"/>
      <c r="R14" s="421"/>
      <c r="S14" s="421"/>
    </row>
    <row r="15" spans="1:19" x14ac:dyDescent="0.25">
      <c r="F15" s="421"/>
      <c r="G15" s="421"/>
      <c r="H15" s="421"/>
      <c r="I15" s="421"/>
      <c r="K15" s="421"/>
      <c r="L15" s="421"/>
      <c r="M15" s="421"/>
      <c r="N15" s="421"/>
      <c r="P15" s="421"/>
      <c r="Q15" s="423"/>
      <c r="R15" s="421"/>
      <c r="S15" s="421"/>
    </row>
    <row r="16" spans="1:19" x14ac:dyDescent="0.25">
      <c r="F16" s="421"/>
      <c r="G16" s="421"/>
      <c r="H16" s="421"/>
      <c r="I16" s="421"/>
      <c r="K16" s="421"/>
      <c r="L16" s="421"/>
      <c r="M16" s="421"/>
      <c r="N16" s="422"/>
      <c r="P16" s="421"/>
      <c r="Q16" s="423"/>
      <c r="R16" s="421"/>
      <c r="S16" s="421"/>
    </row>
    <row r="17" spans="1:19" hidden="1" x14ac:dyDescent="0.25">
      <c r="F17" s="421"/>
      <c r="G17" s="421"/>
      <c r="H17" s="421"/>
      <c r="I17" s="421"/>
      <c r="K17" s="421"/>
      <c r="L17" s="421"/>
      <c r="M17" s="421"/>
      <c r="N17" s="422"/>
      <c r="P17" s="421"/>
      <c r="Q17" s="423"/>
      <c r="R17" s="421"/>
      <c r="S17" s="421"/>
    </row>
    <row r="18" spans="1:19" hidden="1" x14ac:dyDescent="0.25">
      <c r="F18" s="421"/>
      <c r="G18" s="421"/>
      <c r="H18" s="421"/>
      <c r="I18" s="421"/>
      <c r="K18" s="421"/>
      <c r="L18" s="421"/>
      <c r="M18" s="421"/>
      <c r="N18" s="421"/>
      <c r="P18" s="421"/>
      <c r="Q18" s="423"/>
      <c r="R18" s="421"/>
      <c r="S18" s="421"/>
    </row>
    <row r="19" spans="1:19" hidden="1" x14ac:dyDescent="0.25">
      <c r="F19" s="421"/>
      <c r="G19" s="421"/>
      <c r="H19" s="421"/>
      <c r="I19" s="421"/>
      <c r="K19" s="421"/>
      <c r="L19" s="421"/>
      <c r="M19" s="421"/>
      <c r="N19" s="421"/>
      <c r="P19" s="421"/>
      <c r="Q19" s="423"/>
      <c r="R19" s="421"/>
      <c r="S19" s="421"/>
    </row>
    <row r="20" spans="1:19" s="421" customFormat="1" hidden="1" x14ac:dyDescent="0.25">
      <c r="A20" s="418"/>
      <c r="B20" s="418"/>
      <c r="C20" s="410"/>
      <c r="D20" s="410"/>
      <c r="E20" s="410"/>
      <c r="J20" s="418"/>
      <c r="O20" s="410"/>
      <c r="Q20" s="423"/>
    </row>
    <row r="21" spans="1:19" hidden="1" x14ac:dyDescent="0.25">
      <c r="F21" s="421"/>
      <c r="G21" s="421"/>
      <c r="H21" s="421"/>
      <c r="I21" s="421"/>
      <c r="K21" s="421"/>
      <c r="L21" s="421"/>
      <c r="M21" s="421"/>
      <c r="N21" s="421"/>
      <c r="P21" s="421"/>
      <c r="Q21" s="423"/>
      <c r="R21" s="421"/>
      <c r="S21" s="421"/>
    </row>
    <row r="22" spans="1:19" hidden="1" x14ac:dyDescent="0.25">
      <c r="F22" s="421"/>
      <c r="G22" s="421"/>
      <c r="H22" s="421"/>
      <c r="I22" s="421"/>
      <c r="K22" s="421"/>
      <c r="L22" s="421"/>
      <c r="M22" s="421"/>
      <c r="N22" s="421"/>
      <c r="P22" s="421"/>
      <c r="Q22" s="423"/>
      <c r="R22" s="421"/>
      <c r="S22" s="421"/>
    </row>
    <row r="23" spans="1:19" hidden="1" x14ac:dyDescent="0.25">
      <c r="F23" s="421"/>
      <c r="G23" s="421"/>
      <c r="H23" s="421"/>
      <c r="I23" s="421"/>
      <c r="K23" s="421"/>
      <c r="L23" s="421"/>
      <c r="M23" s="421"/>
      <c r="N23" s="421"/>
      <c r="P23" s="421"/>
      <c r="Q23" s="423"/>
      <c r="R23" s="421"/>
      <c r="S23" s="421"/>
    </row>
    <row r="24" spans="1:19" hidden="1" x14ac:dyDescent="0.25">
      <c r="F24" s="421"/>
      <c r="G24" s="421"/>
      <c r="H24" s="421"/>
      <c r="I24" s="421"/>
      <c r="K24" s="421"/>
      <c r="L24" s="421"/>
      <c r="M24" s="421"/>
      <c r="N24" s="421"/>
      <c r="P24" s="421"/>
      <c r="Q24" s="423"/>
      <c r="R24" s="421"/>
      <c r="S24" s="421"/>
    </row>
    <row r="25" spans="1:19" hidden="1" x14ac:dyDescent="0.25">
      <c r="F25" s="421"/>
      <c r="G25" s="421"/>
      <c r="H25" s="421"/>
      <c r="I25" s="421"/>
      <c r="K25" s="421"/>
      <c r="L25" s="421"/>
      <c r="M25" s="421"/>
      <c r="N25" s="421"/>
      <c r="P25" s="421"/>
      <c r="Q25" s="423"/>
      <c r="R25" s="421"/>
      <c r="S25" s="421"/>
    </row>
    <row r="26" spans="1:19" hidden="1" x14ac:dyDescent="0.25">
      <c r="F26" s="421"/>
      <c r="G26" s="421"/>
      <c r="H26" s="421"/>
      <c r="I26" s="421"/>
      <c r="K26" s="421"/>
      <c r="L26" s="421"/>
      <c r="M26" s="421"/>
      <c r="N26" s="421"/>
      <c r="P26" s="421"/>
      <c r="Q26" s="423"/>
      <c r="R26" s="421"/>
      <c r="S26" s="421"/>
    </row>
    <row r="27" spans="1:19" hidden="1" x14ac:dyDescent="0.25">
      <c r="F27" s="421"/>
      <c r="G27" s="421"/>
      <c r="H27" s="421"/>
      <c r="I27" s="421"/>
      <c r="K27" s="421"/>
      <c r="L27" s="421"/>
      <c r="M27" s="421"/>
      <c r="N27" s="421"/>
      <c r="P27" s="421"/>
      <c r="Q27" s="423"/>
      <c r="R27" s="421"/>
      <c r="S27" s="421"/>
    </row>
    <row r="28" spans="1:19" hidden="1" x14ac:dyDescent="0.25">
      <c r="F28" s="421"/>
      <c r="G28" s="421"/>
      <c r="H28" s="421"/>
      <c r="I28" s="421"/>
      <c r="K28" s="421"/>
      <c r="L28" s="421"/>
      <c r="M28" s="421"/>
      <c r="N28" s="421"/>
      <c r="P28" s="421"/>
      <c r="Q28" s="423"/>
      <c r="R28" s="421"/>
      <c r="S28" s="421"/>
    </row>
    <row r="29" spans="1:19" hidden="1" x14ac:dyDescent="0.25">
      <c r="F29" s="421"/>
      <c r="G29" s="421"/>
      <c r="H29" s="421"/>
      <c r="I29" s="421"/>
      <c r="K29" s="421"/>
      <c r="L29" s="421"/>
      <c r="M29" s="421"/>
      <c r="N29" s="421"/>
      <c r="P29" s="421"/>
      <c r="Q29" s="423"/>
      <c r="R29" s="421"/>
      <c r="S29" s="421"/>
    </row>
    <row r="30" spans="1:19" hidden="1" x14ac:dyDescent="0.25">
      <c r="F30" s="421"/>
      <c r="G30" s="421"/>
      <c r="H30" s="421"/>
      <c r="I30" s="421"/>
      <c r="K30" s="421"/>
      <c r="L30" s="421"/>
      <c r="M30" s="421"/>
      <c r="N30" s="421"/>
      <c r="P30" s="421"/>
      <c r="Q30" s="423"/>
      <c r="R30" s="421"/>
      <c r="S30" s="421"/>
    </row>
    <row r="31" spans="1:19" hidden="1" x14ac:dyDescent="0.25">
      <c r="F31" s="421"/>
      <c r="G31" s="421"/>
      <c r="H31" s="421"/>
      <c r="I31" s="421"/>
      <c r="K31" s="421"/>
      <c r="L31" s="421"/>
      <c r="M31" s="421"/>
      <c r="N31" s="421"/>
      <c r="P31" s="421"/>
      <c r="Q31" s="423"/>
      <c r="R31" s="421"/>
      <c r="S31" s="421"/>
    </row>
    <row r="32" spans="1:19" hidden="1" x14ac:dyDescent="0.25">
      <c r="F32" s="421"/>
      <c r="G32" s="421"/>
      <c r="H32" s="421"/>
      <c r="I32" s="421"/>
      <c r="K32" s="421"/>
      <c r="L32" s="421"/>
      <c r="M32" s="421"/>
      <c r="N32" s="421"/>
      <c r="P32" s="421"/>
      <c r="Q32" s="423"/>
      <c r="R32" s="421"/>
      <c r="S32" s="421"/>
    </row>
    <row r="33" spans="1:19" hidden="1" x14ac:dyDescent="0.25">
      <c r="F33" s="421"/>
      <c r="G33" s="421"/>
      <c r="H33" s="421"/>
      <c r="I33" s="421"/>
      <c r="K33" s="421"/>
      <c r="L33" s="421"/>
      <c r="M33" s="421"/>
      <c r="N33" s="421"/>
      <c r="P33" s="421"/>
      <c r="Q33" s="423"/>
      <c r="R33" s="421"/>
      <c r="S33" s="421"/>
    </row>
    <row r="34" spans="1:19" hidden="1" x14ac:dyDescent="0.25">
      <c r="F34" s="421"/>
      <c r="G34" s="421"/>
      <c r="H34" s="421"/>
      <c r="I34" s="421"/>
      <c r="K34" s="421"/>
      <c r="L34" s="421"/>
      <c r="M34" s="421"/>
      <c r="N34" s="421"/>
      <c r="P34" s="421"/>
      <c r="Q34" s="423"/>
      <c r="R34" s="421"/>
      <c r="S34" s="421"/>
    </row>
    <row r="35" spans="1:19" x14ac:dyDescent="0.25">
      <c r="F35" s="421"/>
      <c r="G35" s="421"/>
      <c r="H35" s="421"/>
      <c r="I35" s="421"/>
      <c r="K35" s="421"/>
      <c r="L35" s="421"/>
      <c r="M35" s="421"/>
      <c r="N35" s="421"/>
      <c r="P35" s="421"/>
      <c r="Q35" s="423"/>
      <c r="R35" s="421"/>
      <c r="S35" s="421"/>
    </row>
    <row r="36" spans="1:19" x14ac:dyDescent="0.25">
      <c r="F36" s="421"/>
      <c r="G36" s="421"/>
      <c r="H36" s="421"/>
      <c r="I36" s="421"/>
      <c r="K36" s="421"/>
      <c r="L36" s="421"/>
      <c r="M36" s="421"/>
      <c r="N36" s="421"/>
      <c r="P36" s="421"/>
      <c r="Q36" s="423"/>
      <c r="R36" s="421"/>
      <c r="S36" s="421"/>
    </row>
    <row r="37" spans="1:19" x14ac:dyDescent="0.25">
      <c r="F37" s="421"/>
      <c r="G37" s="421"/>
      <c r="H37" s="421"/>
      <c r="I37" s="421"/>
      <c r="K37" s="421"/>
      <c r="L37" s="421"/>
      <c r="M37" s="421"/>
      <c r="N37" s="421"/>
      <c r="P37" s="421"/>
      <c r="Q37" s="423"/>
      <c r="R37" s="421"/>
      <c r="S37" s="421"/>
    </row>
    <row r="38" spans="1:19" s="421" customFormat="1" x14ac:dyDescent="0.25">
      <c r="A38" s="418"/>
      <c r="B38" s="418"/>
      <c r="C38" s="410"/>
      <c r="D38" s="410"/>
      <c r="E38" s="410"/>
      <c r="J38" s="418"/>
      <c r="O38" s="410"/>
      <c r="Q38" s="423"/>
    </row>
    <row r="39" spans="1:19" s="425" customFormat="1" x14ac:dyDescent="0.25">
      <c r="A39" s="418"/>
      <c r="B39" s="418"/>
      <c r="C39" s="410"/>
      <c r="D39" s="410"/>
      <c r="E39" s="410"/>
      <c r="F39" s="424"/>
      <c r="G39" s="424"/>
      <c r="H39" s="424"/>
      <c r="J39" s="418"/>
      <c r="O39" s="410"/>
      <c r="Q39" s="424"/>
    </row>
    <row r="40" spans="1:19" s="425" customFormat="1" x14ac:dyDescent="0.25">
      <c r="A40" s="418"/>
      <c r="B40" s="418"/>
      <c r="C40" s="410"/>
      <c r="D40" s="410"/>
      <c r="E40" s="410"/>
      <c r="F40" s="424"/>
      <c r="G40" s="424"/>
      <c r="H40" s="424"/>
      <c r="J40" s="418"/>
      <c r="O40" s="410"/>
      <c r="Q40" s="424"/>
    </row>
    <row r="41" spans="1:19" s="425" customFormat="1" x14ac:dyDescent="0.25">
      <c r="A41" s="418"/>
      <c r="B41" s="418"/>
      <c r="C41" s="410"/>
      <c r="D41" s="410"/>
      <c r="E41" s="410"/>
      <c r="F41" s="424"/>
      <c r="G41" s="424"/>
      <c r="H41" s="424"/>
      <c r="J41" s="418"/>
      <c r="O41" s="410"/>
      <c r="Q41" s="424"/>
    </row>
    <row r="42" spans="1:19" s="425" customFormat="1" x14ac:dyDescent="0.25">
      <c r="A42" s="418"/>
      <c r="B42" s="418"/>
      <c r="C42" s="410"/>
      <c r="D42" s="410"/>
      <c r="E42" s="410"/>
      <c r="F42" s="424"/>
      <c r="G42" s="424"/>
      <c r="H42" s="424"/>
      <c r="J42" s="418"/>
      <c r="O42" s="410"/>
      <c r="Q42" s="424"/>
    </row>
    <row r="43" spans="1:19" s="425" customFormat="1" x14ac:dyDescent="0.25">
      <c r="A43" s="418"/>
      <c r="B43" s="418"/>
      <c r="C43" s="410"/>
      <c r="D43" s="410"/>
      <c r="E43" s="410"/>
      <c r="F43" s="424"/>
      <c r="G43" s="424"/>
      <c r="H43" s="424"/>
      <c r="J43" s="418"/>
      <c r="O43" s="410"/>
      <c r="Q43" s="424"/>
    </row>
    <row r="44" spans="1:19" s="425" customFormat="1" x14ac:dyDescent="0.25">
      <c r="A44" s="418"/>
      <c r="B44" s="418"/>
      <c r="C44" s="410"/>
      <c r="D44" s="410"/>
      <c r="E44" s="410"/>
      <c r="F44" s="424"/>
      <c r="G44" s="424"/>
      <c r="H44" s="424"/>
      <c r="J44" s="418"/>
      <c r="O44" s="410"/>
      <c r="Q44" s="424"/>
    </row>
    <row r="45" spans="1:19" s="425" customFormat="1" x14ac:dyDescent="0.25">
      <c r="A45" s="418"/>
      <c r="B45" s="418"/>
      <c r="C45" s="410"/>
      <c r="D45" s="410"/>
      <c r="E45" s="410"/>
      <c r="F45" s="424"/>
      <c r="G45" s="424"/>
      <c r="H45" s="424"/>
      <c r="J45" s="418"/>
      <c r="O45" s="410"/>
      <c r="Q45" s="424"/>
    </row>
    <row r="46" spans="1:19" s="425" customFormat="1" x14ac:dyDescent="0.25">
      <c r="A46" s="418"/>
      <c r="B46" s="418"/>
      <c r="C46" s="410"/>
      <c r="D46" s="410"/>
      <c r="E46" s="410"/>
      <c r="F46" s="424"/>
      <c r="G46" s="424"/>
      <c r="H46" s="424"/>
      <c r="J46" s="418"/>
      <c r="O46" s="410"/>
      <c r="Q46" s="424"/>
    </row>
    <row r="47" spans="1:19" s="425" customFormat="1" x14ac:dyDescent="0.25">
      <c r="A47" s="418"/>
      <c r="B47" s="418"/>
      <c r="C47" s="410"/>
      <c r="D47" s="410"/>
      <c r="E47" s="410"/>
      <c r="F47" s="424"/>
      <c r="G47" s="424"/>
      <c r="H47" s="424"/>
      <c r="J47" s="418"/>
      <c r="O47" s="410"/>
      <c r="Q47" s="424"/>
    </row>
    <row r="48" spans="1:19" s="425" customFormat="1" x14ac:dyDescent="0.25">
      <c r="A48" s="418"/>
      <c r="B48" s="418"/>
      <c r="C48" s="410"/>
      <c r="D48" s="410"/>
      <c r="E48" s="410"/>
      <c r="F48" s="424"/>
      <c r="G48" s="424"/>
      <c r="H48" s="424"/>
      <c r="J48" s="418"/>
      <c r="O48" s="410"/>
      <c r="Q48" s="424"/>
    </row>
    <row r="49" spans="1:17" s="425" customFormat="1" x14ac:dyDescent="0.25">
      <c r="A49" s="418"/>
      <c r="B49" s="418"/>
      <c r="C49" s="410"/>
      <c r="D49" s="410"/>
      <c r="E49" s="410"/>
      <c r="F49" s="424"/>
      <c r="G49" s="424"/>
      <c r="H49" s="424"/>
      <c r="J49" s="418"/>
      <c r="O49" s="410"/>
      <c r="Q49" s="424"/>
    </row>
    <row r="50" spans="1:17" s="425" customFormat="1" x14ac:dyDescent="0.25">
      <c r="A50" s="418"/>
      <c r="B50" s="418"/>
      <c r="C50" s="410"/>
      <c r="D50" s="410"/>
      <c r="E50" s="410"/>
      <c r="F50" s="424"/>
      <c r="G50" s="424"/>
      <c r="H50" s="424"/>
      <c r="J50" s="418"/>
      <c r="O50" s="410"/>
      <c r="Q50" s="424"/>
    </row>
    <row r="51" spans="1:17" s="425" customFormat="1" x14ac:dyDescent="0.25">
      <c r="A51" s="418"/>
      <c r="B51" s="418"/>
      <c r="C51" s="410"/>
      <c r="D51" s="410"/>
      <c r="E51" s="410"/>
      <c r="F51" s="424"/>
      <c r="G51" s="424"/>
      <c r="H51" s="424"/>
      <c r="J51" s="418"/>
      <c r="O51" s="410"/>
      <c r="Q51" s="424"/>
    </row>
  </sheetData>
  <mergeCells count="11">
    <mergeCell ref="A9:S9"/>
    <mergeCell ref="A8:S8"/>
    <mergeCell ref="A1:S1"/>
    <mergeCell ref="A2:S2"/>
    <mergeCell ref="A3:S3"/>
    <mergeCell ref="A4:S4"/>
    <mergeCell ref="A5:A6"/>
    <mergeCell ref="B5:B6"/>
    <mergeCell ref="C5:I5"/>
    <mergeCell ref="J5:N5"/>
    <mergeCell ref="O5:S5"/>
  </mergeCells>
  <printOptions horizontalCentered="1"/>
  <pageMargins left="0.15" right="0.16" top="0.26" bottom="0.2" header="0.25" footer="0.16"/>
  <pageSetup paperSize="9" scale="9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O93"/>
  <sheetViews>
    <sheetView view="pageBreakPreview" topLeftCell="C5" zoomScaleNormal="75" zoomScaleSheetLayoutView="100" workbookViewId="0">
      <selection activeCell="N12" sqref="N12"/>
    </sheetView>
  </sheetViews>
  <sheetFormatPr defaultColWidth="9.109375" defaultRowHeight="13.8" x14ac:dyDescent="0.3"/>
  <cols>
    <col min="1" max="1" width="4.6640625" style="6" bestFit="1" customWidth="1"/>
    <col min="2" max="2" width="8.109375" style="6" customWidth="1"/>
    <col min="3" max="3" width="10.6640625" style="6" customWidth="1"/>
    <col min="4" max="4" width="14.109375" style="6" customWidth="1"/>
    <col min="5" max="5" width="18.88671875" style="6" bestFit="1" customWidth="1"/>
    <col min="6" max="6" width="18" style="6" bestFit="1" customWidth="1"/>
    <col min="7" max="9" width="13.5546875" style="6" customWidth="1"/>
    <col min="10" max="10" width="11.44140625" style="6" customWidth="1"/>
    <col min="11" max="12" width="13.5546875" style="6" customWidth="1"/>
    <col min="13" max="13" width="16.6640625" style="6" bestFit="1" customWidth="1"/>
    <col min="14" max="14" width="17.88671875" style="6" customWidth="1"/>
    <col min="15" max="15" width="25.44140625" style="6" customWidth="1"/>
    <col min="16" max="16" width="10.5546875" style="6" bestFit="1" customWidth="1"/>
    <col min="17" max="17" width="14.88671875" style="6" bestFit="1" customWidth="1"/>
    <col min="18" max="16384" width="9.109375" style="6"/>
  </cols>
  <sheetData>
    <row r="1" spans="1:15" ht="18" x14ac:dyDescent="0.35">
      <c r="A1" s="834" t="s">
        <v>43</v>
      </c>
      <c r="B1" s="834"/>
      <c r="C1" s="834"/>
      <c r="D1" s="834"/>
      <c r="E1" s="834"/>
      <c r="F1" s="834"/>
      <c r="G1" s="834"/>
      <c r="H1" s="834"/>
      <c r="I1" s="834"/>
      <c r="J1" s="834"/>
      <c r="K1" s="834"/>
      <c r="L1" s="834"/>
      <c r="M1" s="834"/>
      <c r="N1" s="834"/>
      <c r="O1" s="834"/>
    </row>
    <row r="2" spans="1:15" ht="19.5" customHeight="1" x14ac:dyDescent="0.3">
      <c r="A2" s="835" t="s">
        <v>20</v>
      </c>
      <c r="B2" s="835"/>
      <c r="C2" s="835"/>
      <c r="D2" s="835"/>
      <c r="E2" s="835"/>
      <c r="F2" s="835"/>
      <c r="G2" s="835"/>
      <c r="H2" s="835"/>
      <c r="I2" s="835"/>
      <c r="J2" s="835"/>
      <c r="K2" s="835"/>
      <c r="L2" s="835"/>
      <c r="M2" s="835"/>
      <c r="N2" s="835"/>
      <c r="O2" s="835"/>
    </row>
    <row r="3" spans="1:15" ht="19.5" customHeight="1" x14ac:dyDescent="0.3">
      <c r="A3" s="835" t="str">
        <f>'Anx A'!A3:H3</f>
        <v>Project Control Unit:-  Dev of C-15 Islamabad</v>
      </c>
      <c r="B3" s="835"/>
      <c r="C3" s="835"/>
      <c r="D3" s="835"/>
      <c r="E3" s="835"/>
      <c r="F3" s="835"/>
      <c r="G3" s="835"/>
      <c r="H3" s="835"/>
      <c r="I3" s="835"/>
      <c r="J3" s="835"/>
      <c r="K3" s="835"/>
      <c r="L3" s="835"/>
      <c r="M3" s="835"/>
      <c r="N3" s="835"/>
      <c r="O3" s="835"/>
    </row>
    <row r="4" spans="1:15" ht="19.5" customHeight="1" thickBot="1" x14ac:dyDescent="0.35">
      <c r="A4" s="835"/>
      <c r="B4" s="835"/>
      <c r="C4" s="835"/>
      <c r="D4" s="835"/>
      <c r="E4" s="835"/>
      <c r="F4" s="835"/>
      <c r="G4" s="835"/>
      <c r="H4" s="835"/>
      <c r="I4" s="835"/>
      <c r="J4" s="835"/>
      <c r="K4" s="835"/>
      <c r="L4" s="835"/>
      <c r="M4" s="835"/>
      <c r="N4" s="835"/>
      <c r="O4" s="835"/>
    </row>
    <row r="5" spans="1:15" s="397" customFormat="1" ht="30" customHeight="1" thickTop="1" thickBot="1" x14ac:dyDescent="0.35">
      <c r="A5" s="838" t="s">
        <v>6</v>
      </c>
      <c r="B5" s="838" t="s">
        <v>21</v>
      </c>
      <c r="C5" s="836" t="s">
        <v>86</v>
      </c>
      <c r="D5" s="838" t="s">
        <v>22</v>
      </c>
      <c r="E5" s="836" t="s">
        <v>25</v>
      </c>
      <c r="F5" s="838" t="s">
        <v>132</v>
      </c>
      <c r="G5" s="838" t="s">
        <v>23</v>
      </c>
      <c r="H5" s="838"/>
      <c r="I5" s="838"/>
      <c r="J5" s="838"/>
      <c r="K5" s="838"/>
      <c r="L5" s="838"/>
      <c r="M5" s="836" t="s">
        <v>557</v>
      </c>
      <c r="N5" s="838" t="s">
        <v>31</v>
      </c>
      <c r="O5" s="838" t="s">
        <v>19</v>
      </c>
    </row>
    <row r="6" spans="1:15" s="397" customFormat="1" ht="42.75" customHeight="1" thickTop="1" x14ac:dyDescent="0.3">
      <c r="A6" s="836"/>
      <c r="B6" s="836"/>
      <c r="C6" s="837"/>
      <c r="D6" s="836"/>
      <c r="E6" s="837"/>
      <c r="F6" s="836"/>
      <c r="G6" s="632" t="s">
        <v>24</v>
      </c>
      <c r="H6" s="632" t="s">
        <v>25</v>
      </c>
      <c r="I6" s="632" t="s">
        <v>556</v>
      </c>
      <c r="J6" s="632" t="s">
        <v>351</v>
      </c>
      <c r="K6" s="632" t="s">
        <v>352</v>
      </c>
      <c r="L6" s="632" t="s">
        <v>9</v>
      </c>
      <c r="M6" s="839"/>
      <c r="N6" s="836"/>
      <c r="O6" s="836"/>
    </row>
    <row r="7" spans="1:15" s="397" customFormat="1" ht="42.75" customHeight="1" x14ac:dyDescent="0.3">
      <c r="A7" s="633">
        <v>1</v>
      </c>
      <c r="B7" s="633" t="s">
        <v>548</v>
      </c>
      <c r="C7" s="634"/>
      <c r="D7" s="634"/>
      <c r="E7" s="635">
        <v>79352467</v>
      </c>
      <c r="F7" s="689">
        <v>0</v>
      </c>
      <c r="G7" s="689">
        <v>0</v>
      </c>
      <c r="H7" s="689">
        <v>0</v>
      </c>
      <c r="I7" s="689">
        <v>0</v>
      </c>
      <c r="J7" s="689">
        <v>0</v>
      </c>
      <c r="K7" s="689">
        <v>0</v>
      </c>
      <c r="L7" s="689">
        <v>0</v>
      </c>
      <c r="M7" s="702">
        <v>79352467</v>
      </c>
      <c r="N7" s="635">
        <f>E7</f>
        <v>79352467</v>
      </c>
      <c r="O7" s="631" t="s">
        <v>559</v>
      </c>
    </row>
    <row r="8" spans="1:15" s="397" customFormat="1" ht="42.75" customHeight="1" x14ac:dyDescent="0.3">
      <c r="A8" s="636">
        <v>2</v>
      </c>
      <c r="B8" s="633" t="s">
        <v>549</v>
      </c>
      <c r="C8" s="634"/>
      <c r="D8" s="634"/>
      <c r="E8" s="635">
        <v>79352467</v>
      </c>
      <c r="F8" s="689">
        <v>0</v>
      </c>
      <c r="G8" s="689">
        <v>0</v>
      </c>
      <c r="H8" s="689">
        <v>0</v>
      </c>
      <c r="I8" s="689">
        <v>0</v>
      </c>
      <c r="J8" s="689">
        <v>0</v>
      </c>
      <c r="K8" s="689">
        <v>0</v>
      </c>
      <c r="L8" s="689">
        <v>0</v>
      </c>
      <c r="M8" s="702">
        <v>79352467</v>
      </c>
      <c r="N8" s="635">
        <f>E8</f>
        <v>79352467</v>
      </c>
      <c r="O8" s="631"/>
    </row>
    <row r="9" spans="1:15" s="398" customFormat="1" ht="54" customHeight="1" x14ac:dyDescent="0.3">
      <c r="A9" s="573">
        <v>3</v>
      </c>
      <c r="B9" s="573" t="s">
        <v>555</v>
      </c>
      <c r="C9" s="637"/>
      <c r="D9" s="688">
        <v>45078</v>
      </c>
      <c r="E9" s="638">
        <v>0</v>
      </c>
      <c r="F9" s="638">
        <v>142579457</v>
      </c>
      <c r="G9" s="638">
        <v>14257946</v>
      </c>
      <c r="H9" s="638">
        <v>0</v>
      </c>
      <c r="I9" s="638">
        <v>712897</v>
      </c>
      <c r="J9" s="638">
        <v>0</v>
      </c>
      <c r="K9" s="638">
        <v>0</v>
      </c>
      <c r="L9" s="639">
        <f>G9+H9+I9+J9+K9</f>
        <v>14970843</v>
      </c>
      <c r="M9" s="639">
        <f>F9-L9</f>
        <v>127608614</v>
      </c>
      <c r="N9" s="700">
        <v>127608614</v>
      </c>
      <c r="O9" s="631" t="s">
        <v>558</v>
      </c>
    </row>
    <row r="10" spans="1:15" s="398" customFormat="1" ht="54" customHeight="1" x14ac:dyDescent="0.3">
      <c r="A10" s="573">
        <v>4</v>
      </c>
      <c r="B10" s="573" t="s">
        <v>568</v>
      </c>
      <c r="C10" s="637"/>
      <c r="D10" s="701">
        <v>45190</v>
      </c>
      <c r="E10" s="638">
        <v>0</v>
      </c>
      <c r="F10" s="638">
        <v>128327514</v>
      </c>
      <c r="G10" s="638">
        <v>12832751</v>
      </c>
      <c r="H10" s="638">
        <v>12832751</v>
      </c>
      <c r="I10" s="638">
        <v>641638</v>
      </c>
      <c r="J10" s="699">
        <v>0</v>
      </c>
      <c r="K10" s="638">
        <v>0</v>
      </c>
      <c r="L10" s="639">
        <f>G10+H10+I10+J10+K10</f>
        <v>26307140</v>
      </c>
      <c r="M10" s="639">
        <f>F10-L10</f>
        <v>102020374</v>
      </c>
      <c r="N10" s="700">
        <v>102020374</v>
      </c>
      <c r="O10" s="631" t="s">
        <v>569</v>
      </c>
    </row>
    <row r="11" spans="1:15" s="398" customFormat="1" ht="54" customHeight="1" x14ac:dyDescent="0.3">
      <c r="A11" s="573">
        <v>5</v>
      </c>
      <c r="B11" s="573" t="s">
        <v>581</v>
      </c>
      <c r="C11" s="637"/>
      <c r="D11" s="688">
        <v>45444</v>
      </c>
      <c r="E11" s="638">
        <v>0</v>
      </c>
      <c r="F11" s="638">
        <v>62653341</v>
      </c>
      <c r="G11" s="638">
        <v>6265334</v>
      </c>
      <c r="H11" s="638">
        <v>6265334</v>
      </c>
      <c r="I11" s="638">
        <v>313267</v>
      </c>
      <c r="J11" s="699">
        <v>0</v>
      </c>
      <c r="K11" s="638">
        <v>0</v>
      </c>
      <c r="L11" s="639">
        <f>G11+H11+I11+J11+K11</f>
        <v>12843935</v>
      </c>
      <c r="M11" s="639">
        <f>F11-L11</f>
        <v>49809406</v>
      </c>
      <c r="N11" s="700">
        <v>49809405</v>
      </c>
      <c r="O11" s="631" t="s">
        <v>582</v>
      </c>
    </row>
    <row r="12" spans="1:15" s="398" customFormat="1" ht="54" customHeight="1" x14ac:dyDescent="0.25">
      <c r="A12" s="640"/>
      <c r="B12" s="466"/>
      <c r="C12" s="641"/>
      <c r="D12" s="641"/>
      <c r="E12" s="643">
        <f>SUM(E7:E11)</f>
        <v>158704934</v>
      </c>
      <c r="F12" s="643">
        <f>SUM(F7:F11)</f>
        <v>333560312</v>
      </c>
      <c r="G12" s="643">
        <f t="shared" ref="G12:N12" si="0">SUM(G7:G11)</f>
        <v>33356031</v>
      </c>
      <c r="H12" s="643">
        <f t="shared" si="0"/>
        <v>19098085</v>
      </c>
      <c r="I12" s="643">
        <f t="shared" si="0"/>
        <v>1667802</v>
      </c>
      <c r="J12" s="643">
        <f t="shared" si="0"/>
        <v>0</v>
      </c>
      <c r="K12" s="643">
        <f t="shared" si="0"/>
        <v>0</v>
      </c>
      <c r="L12" s="643">
        <f t="shared" si="0"/>
        <v>54121918</v>
      </c>
      <c r="M12" s="643">
        <f t="shared" si="0"/>
        <v>438143328</v>
      </c>
      <c r="N12" s="643">
        <f t="shared" si="0"/>
        <v>438143327</v>
      </c>
      <c r="O12" s="642"/>
    </row>
    <row r="13" spans="1:15" x14ac:dyDescent="0.3">
      <c r="O13" s="400"/>
    </row>
    <row r="14" spans="1:15" x14ac:dyDescent="0.3">
      <c r="G14" s="401"/>
      <c r="H14" s="401"/>
      <c r="I14" s="401"/>
      <c r="J14" s="401"/>
      <c r="O14" s="400"/>
    </row>
    <row r="15" spans="1:15" ht="14.4" x14ac:dyDescent="0.3">
      <c r="A15" s="402"/>
      <c r="C15" s="833"/>
      <c r="D15" s="833"/>
      <c r="E15" s="833"/>
      <c r="G15" s="403"/>
      <c r="H15" s="401"/>
      <c r="I15" s="401"/>
      <c r="J15" s="401"/>
      <c r="O15" s="400"/>
    </row>
    <row r="16" spans="1:15" ht="14.4" x14ac:dyDescent="0.3">
      <c r="A16" s="402"/>
      <c r="B16" s="396"/>
      <c r="O16" s="400"/>
    </row>
    <row r="17" spans="2:15" x14ac:dyDescent="0.3">
      <c r="B17" s="396"/>
      <c r="O17" s="400"/>
    </row>
    <row r="18" spans="2:15" x14ac:dyDescent="0.3">
      <c r="F18" s="404"/>
      <c r="O18" s="400"/>
    </row>
    <row r="19" spans="2:15" x14ac:dyDescent="0.3">
      <c r="F19" s="404"/>
      <c r="O19" s="400"/>
    </row>
    <row r="20" spans="2:15" x14ac:dyDescent="0.3">
      <c r="F20" s="405"/>
      <c r="O20" s="400"/>
    </row>
    <row r="21" spans="2:15" x14ac:dyDescent="0.3">
      <c r="O21" s="400"/>
    </row>
    <row r="22" spans="2:15" x14ac:dyDescent="0.3">
      <c r="O22" s="400"/>
    </row>
    <row r="23" spans="2:15" x14ac:dyDescent="0.3">
      <c r="O23" s="400"/>
    </row>
    <row r="24" spans="2:15" x14ac:dyDescent="0.3">
      <c r="O24" s="400"/>
    </row>
    <row r="25" spans="2:15" x14ac:dyDescent="0.3">
      <c r="O25" s="400"/>
    </row>
    <row r="26" spans="2:15" x14ac:dyDescent="0.3">
      <c r="O26" s="400"/>
    </row>
    <row r="27" spans="2:15" x14ac:dyDescent="0.3">
      <c r="O27" s="400"/>
    </row>
    <row r="28" spans="2:15" x14ac:dyDescent="0.3">
      <c r="O28" s="400"/>
    </row>
    <row r="29" spans="2:15" x14ac:dyDescent="0.3">
      <c r="O29" s="400"/>
    </row>
    <row r="30" spans="2:15" x14ac:dyDescent="0.3">
      <c r="O30" s="400"/>
    </row>
    <row r="31" spans="2:15" x14ac:dyDescent="0.3">
      <c r="O31" s="400"/>
    </row>
    <row r="32" spans="2:15" x14ac:dyDescent="0.3">
      <c r="O32" s="400"/>
    </row>
    <row r="33" spans="15:15" x14ac:dyDescent="0.3">
      <c r="O33" s="400"/>
    </row>
    <row r="34" spans="15:15" x14ac:dyDescent="0.3">
      <c r="O34" s="400"/>
    </row>
    <row r="35" spans="15:15" x14ac:dyDescent="0.3">
      <c r="O35" s="400"/>
    </row>
    <row r="36" spans="15:15" x14ac:dyDescent="0.3">
      <c r="O36" s="400"/>
    </row>
    <row r="37" spans="15:15" x14ac:dyDescent="0.3">
      <c r="O37" s="400"/>
    </row>
    <row r="38" spans="15:15" x14ac:dyDescent="0.3">
      <c r="O38" s="400"/>
    </row>
    <row r="39" spans="15:15" x14ac:dyDescent="0.3">
      <c r="O39" s="400"/>
    </row>
    <row r="40" spans="15:15" x14ac:dyDescent="0.3">
      <c r="O40" s="400"/>
    </row>
    <row r="41" spans="15:15" x14ac:dyDescent="0.3">
      <c r="O41" s="400"/>
    </row>
    <row r="42" spans="15:15" x14ac:dyDescent="0.3">
      <c r="O42" s="400"/>
    </row>
    <row r="43" spans="15:15" x14ac:dyDescent="0.3">
      <c r="O43" s="400"/>
    </row>
    <row r="44" spans="15:15" x14ac:dyDescent="0.3">
      <c r="O44" s="400"/>
    </row>
    <row r="45" spans="15:15" x14ac:dyDescent="0.3">
      <c r="O45" s="400"/>
    </row>
    <row r="46" spans="15:15" x14ac:dyDescent="0.3">
      <c r="O46" s="400"/>
    </row>
    <row r="47" spans="15:15" x14ac:dyDescent="0.3">
      <c r="O47" s="400"/>
    </row>
    <row r="48" spans="15:15" x14ac:dyDescent="0.3">
      <c r="O48" s="400"/>
    </row>
    <row r="49" spans="15:15" x14ac:dyDescent="0.3">
      <c r="O49" s="400"/>
    </row>
    <row r="50" spans="15:15" x14ac:dyDescent="0.3">
      <c r="O50" s="400"/>
    </row>
    <row r="53" spans="15:15" x14ac:dyDescent="0.3">
      <c r="O53" s="399" t="e">
        <f>#REF!+#REF!</f>
        <v>#REF!</v>
      </c>
    </row>
    <row r="54" spans="15:15" x14ac:dyDescent="0.3">
      <c r="O54" s="399" t="e">
        <f>#REF!+#REF!</f>
        <v>#REF!</v>
      </c>
    </row>
    <row r="55" spans="15:15" x14ac:dyDescent="0.3">
      <c r="O55" s="399" t="e">
        <f>#REF!+#REF!</f>
        <v>#REF!</v>
      </c>
    </row>
    <row r="56" spans="15:15" x14ac:dyDescent="0.3">
      <c r="O56" s="399" t="e">
        <f>#REF!+#REF!</f>
        <v>#REF!</v>
      </c>
    </row>
    <row r="57" spans="15:15" x14ac:dyDescent="0.3">
      <c r="O57" s="399" t="e">
        <f>#REF!+#REF!</f>
        <v>#REF!</v>
      </c>
    </row>
    <row r="58" spans="15:15" x14ac:dyDescent="0.3">
      <c r="O58" s="399" t="e">
        <f>#REF!+#REF!</f>
        <v>#REF!</v>
      </c>
    </row>
    <row r="59" spans="15:15" x14ac:dyDescent="0.3">
      <c r="O59" s="399" t="e">
        <f>#REF!+#REF!</f>
        <v>#REF!</v>
      </c>
    </row>
    <row r="60" spans="15:15" x14ac:dyDescent="0.3">
      <c r="O60" s="399" t="e">
        <f>#REF!+#REF!</f>
        <v>#REF!</v>
      </c>
    </row>
    <row r="61" spans="15:15" x14ac:dyDescent="0.3">
      <c r="O61" s="399" t="e">
        <f>#REF!+#REF!</f>
        <v>#REF!</v>
      </c>
    </row>
    <row r="62" spans="15:15" x14ac:dyDescent="0.3">
      <c r="O62" s="399" t="e">
        <f>#REF!+#REF!</f>
        <v>#REF!</v>
      </c>
    </row>
    <row r="63" spans="15:15" x14ac:dyDescent="0.3">
      <c r="O63" s="399" t="e">
        <f>#REF!+#REF!</f>
        <v>#REF!</v>
      </c>
    </row>
    <row r="64" spans="15:15" x14ac:dyDescent="0.3">
      <c r="O64" s="399" t="e">
        <f>#REF!+#REF!</f>
        <v>#REF!</v>
      </c>
    </row>
    <row r="65" spans="15:15" x14ac:dyDescent="0.3">
      <c r="O65" s="399" t="e">
        <f>#REF!+#REF!</f>
        <v>#REF!</v>
      </c>
    </row>
    <row r="66" spans="15:15" x14ac:dyDescent="0.3">
      <c r="O66" s="399" t="e">
        <f>#REF!+#REF!</f>
        <v>#REF!</v>
      </c>
    </row>
    <row r="67" spans="15:15" x14ac:dyDescent="0.3">
      <c r="O67" s="399" t="e">
        <f>#REF!+#REF!</f>
        <v>#REF!</v>
      </c>
    </row>
    <row r="68" spans="15:15" x14ac:dyDescent="0.3">
      <c r="O68" s="399" t="e">
        <f>#REF!+#REF!</f>
        <v>#REF!</v>
      </c>
    </row>
    <row r="69" spans="15:15" x14ac:dyDescent="0.3">
      <c r="O69" s="399" t="e">
        <f>#REF!+#REF!</f>
        <v>#REF!</v>
      </c>
    </row>
    <row r="71" spans="15:15" x14ac:dyDescent="0.3">
      <c r="O71" s="219"/>
    </row>
    <row r="74" spans="15:15" x14ac:dyDescent="0.3">
      <c r="O74" s="399" t="e">
        <f>#REF!+#REF!</f>
        <v>#REF!</v>
      </c>
    </row>
    <row r="75" spans="15:15" x14ac:dyDescent="0.3">
      <c r="O75" s="399" t="e">
        <f>#REF!+#REF!</f>
        <v>#REF!</v>
      </c>
    </row>
    <row r="76" spans="15:15" x14ac:dyDescent="0.3">
      <c r="O76" s="399" t="e">
        <f>#REF!+#REF!</f>
        <v>#REF!</v>
      </c>
    </row>
    <row r="77" spans="15:15" x14ac:dyDescent="0.3">
      <c r="O77" s="399" t="e">
        <f>#REF!+#REF!</f>
        <v>#REF!</v>
      </c>
    </row>
    <row r="78" spans="15:15" x14ac:dyDescent="0.3">
      <c r="O78" s="399" t="e">
        <f>#REF!+#REF!</f>
        <v>#REF!</v>
      </c>
    </row>
    <row r="79" spans="15:15" x14ac:dyDescent="0.3">
      <c r="O79" s="399" t="e">
        <f>#REF!+#REF!</f>
        <v>#REF!</v>
      </c>
    </row>
    <row r="80" spans="15:15" x14ac:dyDescent="0.3">
      <c r="O80" s="399" t="e">
        <f>#REF!+#REF!</f>
        <v>#REF!</v>
      </c>
    </row>
    <row r="81" spans="15:15" x14ac:dyDescent="0.3">
      <c r="O81" s="399" t="e">
        <f>#REF!+#REF!</f>
        <v>#REF!</v>
      </c>
    </row>
    <row r="82" spans="15:15" x14ac:dyDescent="0.3">
      <c r="O82" s="399" t="e">
        <f>#REF!+#REF!</f>
        <v>#REF!</v>
      </c>
    </row>
    <row r="83" spans="15:15" x14ac:dyDescent="0.3">
      <c r="O83" s="399" t="e">
        <f>#REF!+#REF!</f>
        <v>#REF!</v>
      </c>
    </row>
    <row r="84" spans="15:15" x14ac:dyDescent="0.3">
      <c r="O84" s="399" t="e">
        <f>#REF!+#REF!</f>
        <v>#REF!</v>
      </c>
    </row>
    <row r="85" spans="15:15" x14ac:dyDescent="0.3">
      <c r="O85" s="399" t="e">
        <f>#REF!+#REF!</f>
        <v>#REF!</v>
      </c>
    </row>
    <row r="86" spans="15:15" x14ac:dyDescent="0.3">
      <c r="O86" s="399" t="e">
        <f>#REF!+#REF!</f>
        <v>#REF!</v>
      </c>
    </row>
    <row r="87" spans="15:15" x14ac:dyDescent="0.3">
      <c r="O87" s="399" t="e">
        <f>#REF!+#REF!</f>
        <v>#REF!</v>
      </c>
    </row>
    <row r="88" spans="15:15" x14ac:dyDescent="0.3">
      <c r="O88" s="399" t="e">
        <f>#REF!+#REF!</f>
        <v>#REF!</v>
      </c>
    </row>
    <row r="89" spans="15:15" x14ac:dyDescent="0.3">
      <c r="O89" s="399" t="e">
        <f>#REF!+#REF!</f>
        <v>#REF!</v>
      </c>
    </row>
    <row r="93" spans="15:15" x14ac:dyDescent="0.3">
      <c r="O93" s="6" t="e">
        <f>#REF!*1000000</f>
        <v>#REF!</v>
      </c>
    </row>
  </sheetData>
  <mergeCells count="15">
    <mergeCell ref="C15:E15"/>
    <mergeCell ref="A1:O1"/>
    <mergeCell ref="A2:O2"/>
    <mergeCell ref="A4:O4"/>
    <mergeCell ref="E5:E6"/>
    <mergeCell ref="A5:A6"/>
    <mergeCell ref="O5:O6"/>
    <mergeCell ref="A3:O3"/>
    <mergeCell ref="B5:B6"/>
    <mergeCell ref="N5:N6"/>
    <mergeCell ref="C5:C6"/>
    <mergeCell ref="F5:F6"/>
    <mergeCell ref="D5:D6"/>
    <mergeCell ref="G5:L5"/>
    <mergeCell ref="M5:M6"/>
  </mergeCells>
  <phoneticPr fontId="0" type="noConversion"/>
  <printOptions horizontalCentered="1"/>
  <pageMargins left="0.51" right="0.15" top="0.75" bottom="0.75" header="0.3" footer="0.3"/>
  <pageSetup paperSize="9" scale="6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A1:V118"/>
  <sheetViews>
    <sheetView view="pageBreakPreview" zoomScaleNormal="60" workbookViewId="0">
      <selection activeCell="A3" sqref="A3:K3"/>
    </sheetView>
  </sheetViews>
  <sheetFormatPr defaultColWidth="9.109375" defaultRowHeight="14.4" x14ac:dyDescent="0.3"/>
  <cols>
    <col min="1" max="1" width="4.44140625" style="314" customWidth="1"/>
    <col min="2" max="2" width="11" style="314" customWidth="1"/>
    <col min="3" max="3" width="12.44140625" style="314" customWidth="1"/>
    <col min="4" max="4" width="13.44140625" style="314" customWidth="1"/>
    <col min="5" max="7" width="11" style="314" customWidth="1"/>
    <col min="8" max="8" width="12.6640625" style="314" customWidth="1"/>
    <col min="9" max="11" width="11" style="314" customWidth="1"/>
    <col min="12" max="23" width="9.109375" style="314"/>
    <col min="24" max="24" width="14.88671875" style="314" bestFit="1" customWidth="1"/>
    <col min="25" max="16384" width="9.109375" style="314"/>
  </cols>
  <sheetData>
    <row r="1" spans="1:22" ht="18" x14ac:dyDescent="0.35">
      <c r="A1" s="834" t="s">
        <v>44</v>
      </c>
      <c r="B1" s="834"/>
      <c r="C1" s="834"/>
      <c r="D1" s="834"/>
      <c r="E1" s="834"/>
      <c r="F1" s="834"/>
      <c r="G1" s="834"/>
      <c r="H1" s="834"/>
      <c r="I1" s="834"/>
      <c r="J1" s="834"/>
      <c r="K1" s="834"/>
    </row>
    <row r="2" spans="1:22" s="313" customFormat="1" ht="20.25" customHeight="1" x14ac:dyDescent="0.3">
      <c r="A2" s="731" t="s">
        <v>94</v>
      </c>
      <c r="B2" s="731"/>
      <c r="C2" s="731"/>
      <c r="D2" s="731"/>
      <c r="E2" s="731"/>
      <c r="F2" s="731"/>
      <c r="G2" s="731"/>
      <c r="H2" s="731"/>
      <c r="I2" s="731"/>
      <c r="J2" s="731"/>
      <c r="K2" s="731"/>
    </row>
    <row r="3" spans="1:22" s="313" customFormat="1" ht="19.5" customHeight="1" thickBot="1" x14ac:dyDescent="0.35">
      <c r="A3" s="731" t="str">
        <f>'Anx A'!A3:H3</f>
        <v>Project Control Unit:-  Dev of C-15 Islamabad</v>
      </c>
      <c r="B3" s="731"/>
      <c r="C3" s="731"/>
      <c r="D3" s="731"/>
      <c r="E3" s="731"/>
      <c r="F3" s="731"/>
      <c r="G3" s="731"/>
      <c r="H3" s="731"/>
      <c r="I3" s="731"/>
      <c r="J3" s="731"/>
      <c r="K3" s="731"/>
    </row>
    <row r="4" spans="1:22" s="335" customFormat="1" ht="75.75" customHeight="1" thickTop="1" thickBot="1" x14ac:dyDescent="0.35">
      <c r="A4" s="330" t="s">
        <v>100</v>
      </c>
      <c r="B4" s="330" t="s">
        <v>29</v>
      </c>
      <c r="C4" s="330" t="s">
        <v>95</v>
      </c>
      <c r="D4" s="330" t="s">
        <v>86</v>
      </c>
      <c r="E4" s="330" t="s">
        <v>61</v>
      </c>
      <c r="F4" s="330" t="s">
        <v>96</v>
      </c>
      <c r="G4" s="330" t="s">
        <v>101</v>
      </c>
      <c r="H4" s="330" t="s">
        <v>97</v>
      </c>
      <c r="I4" s="330" t="s">
        <v>98</v>
      </c>
      <c r="J4" s="330" t="s">
        <v>99</v>
      </c>
      <c r="K4" s="334" t="s">
        <v>19</v>
      </c>
    </row>
    <row r="5" spans="1:22" ht="15" thickTop="1" x14ac:dyDescent="0.3">
      <c r="A5" s="336"/>
      <c r="B5" s="337"/>
      <c r="C5" s="338"/>
      <c r="D5" s="338"/>
      <c r="E5" s="328"/>
      <c r="F5" s="321"/>
      <c r="G5" s="339"/>
      <c r="H5" s="340"/>
      <c r="I5" s="341"/>
      <c r="J5" s="342"/>
      <c r="K5" s="336"/>
    </row>
    <row r="6" spans="1:22" x14ac:dyDescent="0.3">
      <c r="A6" s="331"/>
      <c r="B6" s="323"/>
      <c r="C6" s="338"/>
      <c r="D6" s="338"/>
      <c r="E6" s="324"/>
      <c r="F6" s="315"/>
      <c r="G6" s="183"/>
      <c r="H6" s="343"/>
      <c r="I6" s="344"/>
      <c r="J6" s="342"/>
      <c r="K6" s="331"/>
    </row>
    <row r="7" spans="1:22" x14ac:dyDescent="0.3">
      <c r="A7" s="331"/>
      <c r="B7" s="323"/>
      <c r="C7" s="338"/>
      <c r="D7" s="338"/>
      <c r="E7" s="324"/>
      <c r="F7" s="315"/>
      <c r="G7" s="183"/>
      <c r="H7" s="343"/>
      <c r="I7" s="344"/>
      <c r="J7" s="345"/>
      <c r="K7" s="331"/>
    </row>
    <row r="8" spans="1:22" ht="21.75" customHeight="1" x14ac:dyDescent="0.3">
      <c r="A8" s="331"/>
      <c r="B8" s="315"/>
      <c r="C8" s="346"/>
      <c r="D8" s="338"/>
      <c r="E8" s="324"/>
      <c r="F8" s="315"/>
      <c r="G8" s="183"/>
      <c r="H8" s="343"/>
      <c r="I8" s="344"/>
      <c r="J8" s="345"/>
      <c r="K8" s="331"/>
      <c r="V8" s="317"/>
    </row>
    <row r="9" spans="1:22" ht="21.75" customHeight="1" x14ac:dyDescent="0.3">
      <c r="A9" s="331"/>
      <c r="B9" s="315"/>
      <c r="C9" s="346"/>
      <c r="D9" s="347"/>
      <c r="E9" s="324"/>
      <c r="F9" s="315"/>
      <c r="G9" s="183"/>
      <c r="H9" s="343"/>
      <c r="I9" s="348"/>
      <c r="J9" s="345"/>
      <c r="K9" s="331"/>
      <c r="V9" s="317"/>
    </row>
    <row r="10" spans="1:22" ht="21.75" customHeight="1" x14ac:dyDescent="0.3">
      <c r="A10" s="316"/>
      <c r="B10" s="349"/>
      <c r="C10" s="350"/>
      <c r="D10" s="351"/>
      <c r="E10" s="352"/>
      <c r="F10" s="315"/>
      <c r="G10" s="183"/>
      <c r="H10" s="343"/>
      <c r="I10" s="348"/>
      <c r="J10" s="345"/>
      <c r="K10" s="331"/>
      <c r="V10" s="317"/>
    </row>
    <row r="11" spans="1:22" ht="21.75" customHeight="1" x14ac:dyDescent="0.3">
      <c r="A11" s="331"/>
      <c r="B11" s="315"/>
      <c r="C11" s="346"/>
      <c r="D11" s="347"/>
      <c r="E11" s="324"/>
      <c r="F11" s="353"/>
      <c r="G11" s="183"/>
      <c r="H11" s="343"/>
      <c r="I11" s="348"/>
      <c r="J11" s="345"/>
      <c r="K11" s="331"/>
      <c r="V11" s="317"/>
    </row>
    <row r="12" spans="1:22" ht="21.75" customHeight="1" x14ac:dyDescent="0.3">
      <c r="A12" s="316"/>
      <c r="B12" s="349"/>
      <c r="C12" s="350"/>
      <c r="D12" s="347"/>
      <c r="E12" s="352"/>
      <c r="F12" s="315"/>
      <c r="G12" s="183"/>
      <c r="H12" s="343"/>
      <c r="I12" s="348"/>
      <c r="J12" s="345"/>
      <c r="K12" s="331"/>
      <c r="V12" s="317"/>
    </row>
    <row r="13" spans="1:22" ht="21.75" customHeight="1" x14ac:dyDescent="0.3">
      <c r="A13" s="316"/>
      <c r="B13" s="349"/>
      <c r="C13" s="350"/>
      <c r="D13" s="351"/>
      <c r="E13" s="352"/>
      <c r="F13" s="315"/>
      <c r="G13" s="324"/>
      <c r="H13" s="343"/>
      <c r="I13" s="348"/>
      <c r="J13" s="345"/>
      <c r="K13" s="331"/>
      <c r="V13" s="317"/>
    </row>
    <row r="14" spans="1:22" ht="21.75" customHeight="1" x14ac:dyDescent="0.3">
      <c r="A14" s="316"/>
      <c r="B14" s="349"/>
      <c r="C14" s="350"/>
      <c r="D14" s="351"/>
      <c r="E14" s="352"/>
      <c r="F14" s="349"/>
      <c r="G14" s="325"/>
      <c r="H14" s="354"/>
      <c r="I14" s="355"/>
      <c r="J14" s="356"/>
      <c r="K14" s="331"/>
      <c r="V14" s="317"/>
    </row>
    <row r="15" spans="1:22" ht="21.75" customHeight="1" x14ac:dyDescent="0.3">
      <c r="A15" s="331"/>
      <c r="B15" s="349"/>
      <c r="C15" s="346"/>
      <c r="D15" s="346"/>
      <c r="E15" s="324"/>
      <c r="F15" s="315"/>
      <c r="G15" s="324"/>
      <c r="H15" s="343"/>
      <c r="I15" s="344"/>
      <c r="J15" s="345"/>
      <c r="K15" s="331"/>
      <c r="V15" s="317"/>
    </row>
    <row r="16" spans="1:22" ht="21.75" customHeight="1" x14ac:dyDescent="0.3">
      <c r="A16" s="316"/>
      <c r="B16" s="349"/>
      <c r="C16" s="350"/>
      <c r="D16" s="350"/>
      <c r="E16" s="352"/>
      <c r="F16" s="349"/>
      <c r="G16" s="352"/>
      <c r="H16" s="354"/>
      <c r="I16" s="357"/>
      <c r="J16" s="356"/>
      <c r="K16" s="331"/>
      <c r="V16" s="317"/>
    </row>
    <row r="17" spans="1:22" ht="21.75" customHeight="1" x14ac:dyDescent="0.3">
      <c r="A17" s="331"/>
      <c r="B17" s="315"/>
      <c r="C17" s="346"/>
      <c r="D17" s="346"/>
      <c r="E17" s="324"/>
      <c r="F17" s="315"/>
      <c r="G17" s="324"/>
      <c r="H17" s="354"/>
      <c r="I17" s="344"/>
      <c r="J17" s="345"/>
      <c r="K17" s="331"/>
      <c r="V17" s="317"/>
    </row>
    <row r="18" spans="1:22" ht="21.75" customHeight="1" x14ac:dyDescent="0.3">
      <c r="A18" s="331"/>
      <c r="B18" s="315"/>
      <c r="C18" s="346"/>
      <c r="D18" s="346"/>
      <c r="E18" s="324"/>
      <c r="F18" s="315"/>
      <c r="G18" s="324"/>
      <c r="H18" s="343"/>
      <c r="I18" s="344"/>
      <c r="J18" s="345"/>
      <c r="K18" s="331"/>
      <c r="V18" s="317"/>
    </row>
    <row r="19" spans="1:22" ht="21.75" customHeight="1" x14ac:dyDescent="0.3">
      <c r="A19" s="331"/>
      <c r="B19" s="315"/>
      <c r="C19" s="346"/>
      <c r="D19" s="346"/>
      <c r="E19" s="324"/>
      <c r="F19" s="315"/>
      <c r="G19" s="324"/>
      <c r="H19" s="343"/>
      <c r="I19" s="344"/>
      <c r="J19" s="345"/>
      <c r="K19" s="331"/>
      <c r="V19" s="317"/>
    </row>
    <row r="20" spans="1:22" ht="21.75" customHeight="1" x14ac:dyDescent="0.3">
      <c r="A20" s="316"/>
      <c r="B20" s="349"/>
      <c r="C20" s="350"/>
      <c r="D20" s="350"/>
      <c r="E20" s="352"/>
      <c r="F20" s="349"/>
      <c r="G20" s="352"/>
      <c r="H20" s="354"/>
      <c r="I20" s="357"/>
      <c r="J20" s="356"/>
      <c r="K20" s="331"/>
      <c r="V20" s="317"/>
    </row>
    <row r="21" spans="1:22" ht="21.75" customHeight="1" x14ac:dyDescent="0.3">
      <c r="A21" s="331"/>
      <c r="B21" s="315"/>
      <c r="C21" s="346"/>
      <c r="D21" s="346"/>
      <c r="E21" s="324"/>
      <c r="F21" s="315"/>
      <c r="G21" s="324"/>
      <c r="H21" s="343"/>
      <c r="I21" s="344"/>
      <c r="J21" s="345"/>
      <c r="K21" s="331"/>
      <c r="V21" s="317"/>
    </row>
    <row r="22" spans="1:22" ht="21.75" customHeight="1" x14ac:dyDescent="0.3">
      <c r="A22" s="331"/>
      <c r="B22" s="315"/>
      <c r="C22" s="346"/>
      <c r="D22" s="346"/>
      <c r="E22" s="324"/>
      <c r="F22" s="315"/>
      <c r="G22" s="324"/>
      <c r="H22" s="343"/>
      <c r="I22" s="344"/>
      <c r="J22" s="345"/>
      <c r="K22" s="331"/>
      <c r="V22" s="317"/>
    </row>
    <row r="23" spans="1:22" s="359" customFormat="1" ht="21.75" customHeight="1" x14ac:dyDescent="0.3">
      <c r="A23" s="331"/>
      <c r="B23" s="315"/>
      <c r="C23" s="346"/>
      <c r="D23" s="346"/>
      <c r="E23" s="358"/>
      <c r="F23" s="353"/>
      <c r="G23" s="324"/>
      <c r="H23" s="343"/>
      <c r="I23" s="344"/>
      <c r="J23" s="345"/>
      <c r="K23" s="331"/>
      <c r="L23" s="314"/>
      <c r="M23" s="314"/>
      <c r="N23" s="314"/>
      <c r="O23" s="314"/>
      <c r="P23" s="314"/>
      <c r="Q23" s="314"/>
      <c r="R23" s="314"/>
      <c r="S23" s="314"/>
      <c r="T23" s="314"/>
      <c r="U23" s="314"/>
      <c r="V23" s="317"/>
    </row>
    <row r="24" spans="1:22" ht="21.75" customHeight="1" thickBot="1" x14ac:dyDescent="0.35">
      <c r="A24" s="360"/>
      <c r="B24" s="361"/>
      <c r="C24" s="362"/>
      <c r="D24" s="362"/>
      <c r="E24" s="363"/>
      <c r="F24" s="364"/>
      <c r="G24" s="363"/>
      <c r="H24" s="365"/>
      <c r="I24" s="366"/>
      <c r="J24" s="367"/>
      <c r="K24" s="316"/>
      <c r="V24" s="317"/>
    </row>
    <row r="25" spans="1:22" s="369" customFormat="1" ht="21.75" customHeight="1" thickTop="1" thickBot="1" x14ac:dyDescent="0.35">
      <c r="A25" s="320"/>
      <c r="B25" s="320" t="s">
        <v>9</v>
      </c>
      <c r="C25" s="320"/>
      <c r="D25" s="320"/>
      <c r="E25" s="368">
        <f>SUM(E5:E24)</f>
        <v>0</v>
      </c>
      <c r="F25" s="368">
        <f>SUM(F5:F24)</f>
        <v>0</v>
      </c>
      <c r="G25" s="368">
        <f>SUM(G5:G24)</f>
        <v>0</v>
      </c>
      <c r="H25" s="368">
        <f>SUM(H5:H24)</f>
        <v>0</v>
      </c>
      <c r="I25" s="368"/>
      <c r="J25" s="368"/>
      <c r="K25" s="429"/>
      <c r="S25" s="314"/>
      <c r="V25" s="317"/>
    </row>
    <row r="26" spans="1:22" ht="15" thickTop="1" x14ac:dyDescent="0.3">
      <c r="K26" s="408"/>
      <c r="V26" s="317"/>
    </row>
    <row r="27" spans="1:22" x14ac:dyDescent="0.3">
      <c r="A27" s="369"/>
      <c r="B27" s="314" t="s">
        <v>121</v>
      </c>
      <c r="C27" s="314" t="s">
        <v>122</v>
      </c>
      <c r="E27" s="370"/>
      <c r="F27" s="317"/>
      <c r="G27" s="317"/>
      <c r="K27" s="408"/>
      <c r="V27" s="317"/>
    </row>
    <row r="28" spans="1:22" ht="15" thickBot="1" x14ac:dyDescent="0.35">
      <c r="B28" s="369"/>
      <c r="C28" s="314" t="s">
        <v>123</v>
      </c>
      <c r="E28" s="371">
        <f>E25-E27</f>
        <v>0</v>
      </c>
      <c r="F28" s="369" t="s">
        <v>124</v>
      </c>
      <c r="G28" s="317"/>
      <c r="I28" s="317"/>
      <c r="J28" s="317"/>
      <c r="K28" s="408"/>
      <c r="V28" s="317"/>
    </row>
    <row r="29" spans="1:22" ht="15" thickTop="1" x14ac:dyDescent="0.3">
      <c r="F29" s="372"/>
      <c r="G29" s="373"/>
      <c r="H29" s="372"/>
      <c r="K29" s="408"/>
      <c r="V29" s="317"/>
    </row>
    <row r="30" spans="1:22" x14ac:dyDescent="0.3">
      <c r="B30" s="313"/>
      <c r="C30" s="374"/>
      <c r="D30" s="375"/>
      <c r="E30" s="326"/>
      <c r="F30" s="313"/>
      <c r="G30" s="327"/>
      <c r="H30" s="317"/>
      <c r="I30" s="318"/>
      <c r="K30" s="408"/>
      <c r="V30" s="317"/>
    </row>
    <row r="31" spans="1:22" x14ac:dyDescent="0.3">
      <c r="B31" s="313"/>
      <c r="C31" s="374"/>
      <c r="D31" s="375"/>
      <c r="E31" s="326"/>
      <c r="F31" s="313"/>
      <c r="G31" s="313"/>
      <c r="H31" s="317"/>
      <c r="K31" s="408"/>
      <c r="V31" s="317"/>
    </row>
    <row r="32" spans="1:22" x14ac:dyDescent="0.3">
      <c r="K32" s="408"/>
      <c r="V32" s="317"/>
    </row>
    <row r="33" spans="8:22" x14ac:dyDescent="0.3">
      <c r="H33" s="317"/>
      <c r="K33" s="408"/>
      <c r="V33" s="317"/>
    </row>
    <row r="34" spans="8:22" x14ac:dyDescent="0.3">
      <c r="K34" s="408"/>
      <c r="V34" s="317"/>
    </row>
    <row r="35" spans="8:22" x14ac:dyDescent="0.3">
      <c r="K35" s="408"/>
      <c r="V35" s="317"/>
    </row>
    <row r="36" spans="8:22" x14ac:dyDescent="0.3">
      <c r="K36" s="408"/>
      <c r="V36" s="317"/>
    </row>
    <row r="37" spans="8:22" x14ac:dyDescent="0.3">
      <c r="K37" s="408"/>
      <c r="V37" s="317"/>
    </row>
    <row r="38" spans="8:22" x14ac:dyDescent="0.3">
      <c r="K38" s="408"/>
      <c r="V38" s="317"/>
    </row>
    <row r="39" spans="8:22" x14ac:dyDescent="0.3">
      <c r="K39" s="408"/>
      <c r="V39" s="317"/>
    </row>
    <row r="40" spans="8:22" x14ac:dyDescent="0.3">
      <c r="K40" s="408"/>
      <c r="V40" s="317"/>
    </row>
    <row r="41" spans="8:22" x14ac:dyDescent="0.3">
      <c r="K41" s="408"/>
      <c r="V41" s="317"/>
    </row>
    <row r="42" spans="8:22" x14ac:dyDescent="0.3">
      <c r="K42" s="408"/>
      <c r="V42" s="317"/>
    </row>
    <row r="43" spans="8:22" x14ac:dyDescent="0.3">
      <c r="K43" s="408"/>
      <c r="V43" s="317"/>
    </row>
    <row r="44" spans="8:22" x14ac:dyDescent="0.3">
      <c r="K44" s="408"/>
      <c r="V44" s="317"/>
    </row>
    <row r="45" spans="8:22" x14ac:dyDescent="0.3">
      <c r="K45" s="408"/>
      <c r="V45" s="317"/>
    </row>
    <row r="46" spans="8:22" x14ac:dyDescent="0.3">
      <c r="K46" s="408"/>
      <c r="V46" s="317"/>
    </row>
    <row r="47" spans="8:22" x14ac:dyDescent="0.3">
      <c r="K47" s="408"/>
      <c r="V47" s="317"/>
    </row>
    <row r="48" spans="8:22" x14ac:dyDescent="0.3">
      <c r="K48" s="408"/>
      <c r="V48" s="317"/>
    </row>
    <row r="49" spans="11:22" x14ac:dyDescent="0.3">
      <c r="K49" s="408"/>
      <c r="V49" s="317"/>
    </row>
    <row r="50" spans="11:22" x14ac:dyDescent="0.3">
      <c r="K50" s="408"/>
      <c r="V50" s="317"/>
    </row>
    <row r="51" spans="11:22" x14ac:dyDescent="0.3">
      <c r="K51" s="408"/>
      <c r="V51" s="317"/>
    </row>
    <row r="52" spans="11:22" x14ac:dyDescent="0.3">
      <c r="K52" s="408"/>
      <c r="V52" s="317"/>
    </row>
    <row r="53" spans="11:22" x14ac:dyDescent="0.3">
      <c r="K53" s="408"/>
      <c r="V53" s="317"/>
    </row>
    <row r="54" spans="11:22" x14ac:dyDescent="0.3">
      <c r="K54" s="408"/>
      <c r="V54" s="317"/>
    </row>
    <row r="55" spans="11:22" x14ac:dyDescent="0.3">
      <c r="K55" s="408"/>
      <c r="V55" s="317"/>
    </row>
    <row r="56" spans="11:22" x14ac:dyDescent="0.3">
      <c r="K56" s="408"/>
      <c r="V56" s="317"/>
    </row>
    <row r="57" spans="11:22" x14ac:dyDescent="0.3">
      <c r="K57" s="408"/>
      <c r="V57" s="317"/>
    </row>
    <row r="58" spans="11:22" x14ac:dyDescent="0.3">
      <c r="K58" s="408"/>
      <c r="V58" s="317"/>
    </row>
    <row r="59" spans="11:22" x14ac:dyDescent="0.3">
      <c r="K59" s="408"/>
      <c r="V59" s="317"/>
    </row>
    <row r="60" spans="11:22" x14ac:dyDescent="0.3">
      <c r="K60" s="408"/>
      <c r="V60" s="317"/>
    </row>
    <row r="61" spans="11:22" x14ac:dyDescent="0.3">
      <c r="K61" s="408"/>
      <c r="V61" s="317"/>
    </row>
    <row r="62" spans="11:22" x14ac:dyDescent="0.3">
      <c r="K62" s="408"/>
      <c r="V62" s="317"/>
    </row>
    <row r="63" spans="11:22" x14ac:dyDescent="0.3">
      <c r="K63" s="408"/>
      <c r="V63" s="317"/>
    </row>
    <row r="64" spans="11:22" x14ac:dyDescent="0.3">
      <c r="K64" s="408"/>
      <c r="V64" s="317"/>
    </row>
    <row r="65" spans="8:22" x14ac:dyDescent="0.3">
      <c r="K65" s="408"/>
      <c r="V65" s="317"/>
    </row>
    <row r="66" spans="8:22" x14ac:dyDescent="0.3">
      <c r="K66" s="408"/>
      <c r="V66" s="317"/>
    </row>
    <row r="67" spans="8:22" x14ac:dyDescent="0.3">
      <c r="K67" s="408"/>
      <c r="V67" s="317"/>
    </row>
    <row r="68" spans="8:22" x14ac:dyDescent="0.3">
      <c r="K68" s="408"/>
      <c r="V68" s="317"/>
    </row>
    <row r="69" spans="8:22" x14ac:dyDescent="0.3">
      <c r="K69" s="408"/>
      <c r="V69" s="317"/>
    </row>
    <row r="70" spans="8:22" x14ac:dyDescent="0.3">
      <c r="K70" s="408"/>
      <c r="V70" s="317"/>
    </row>
    <row r="71" spans="8:22" x14ac:dyDescent="0.3">
      <c r="K71" s="408"/>
      <c r="V71" s="317"/>
    </row>
    <row r="72" spans="8:22" x14ac:dyDescent="0.3">
      <c r="K72" s="408"/>
      <c r="V72" s="317"/>
    </row>
    <row r="73" spans="8:22" x14ac:dyDescent="0.3">
      <c r="K73" s="408"/>
      <c r="V73" s="317"/>
    </row>
    <row r="74" spans="8:22" x14ac:dyDescent="0.3">
      <c r="K74" s="408"/>
      <c r="V74" s="317"/>
    </row>
    <row r="75" spans="8:22" x14ac:dyDescent="0.3">
      <c r="K75" s="408"/>
      <c r="V75" s="317"/>
    </row>
    <row r="76" spans="8:22" x14ac:dyDescent="0.3">
      <c r="K76" s="408"/>
      <c r="V76" s="317"/>
    </row>
    <row r="77" spans="8:22" x14ac:dyDescent="0.3">
      <c r="K77" s="408"/>
      <c r="V77" s="317"/>
    </row>
    <row r="78" spans="8:22" x14ac:dyDescent="0.3">
      <c r="K78" s="408"/>
      <c r="V78" s="317"/>
    </row>
    <row r="79" spans="8:22" x14ac:dyDescent="0.3">
      <c r="K79" s="408"/>
      <c r="V79" s="317"/>
    </row>
    <row r="80" spans="8:22" x14ac:dyDescent="0.3">
      <c r="H80" s="317"/>
    </row>
    <row r="82" spans="11:22" x14ac:dyDescent="0.3">
      <c r="K82" s="408"/>
      <c r="V82" s="317"/>
    </row>
    <row r="83" spans="11:22" x14ac:dyDescent="0.3">
      <c r="K83" s="408"/>
      <c r="V83" s="317"/>
    </row>
    <row r="84" spans="11:22" x14ac:dyDescent="0.3">
      <c r="K84" s="408"/>
      <c r="V84" s="317"/>
    </row>
    <row r="85" spans="11:22" x14ac:dyDescent="0.3">
      <c r="K85" s="408"/>
      <c r="V85" s="317"/>
    </row>
    <row r="86" spans="11:22" x14ac:dyDescent="0.3">
      <c r="K86" s="408"/>
      <c r="V86" s="317"/>
    </row>
    <row r="87" spans="11:22" x14ac:dyDescent="0.3">
      <c r="K87" s="408"/>
      <c r="V87" s="317"/>
    </row>
    <row r="88" spans="11:22" x14ac:dyDescent="0.3">
      <c r="K88" s="408"/>
      <c r="V88" s="317"/>
    </row>
    <row r="89" spans="11:22" x14ac:dyDescent="0.3">
      <c r="K89" s="408"/>
      <c r="V89" s="317"/>
    </row>
    <row r="90" spans="11:22" x14ac:dyDescent="0.3">
      <c r="K90" s="408"/>
      <c r="V90" s="317"/>
    </row>
    <row r="91" spans="11:22" x14ac:dyDescent="0.3">
      <c r="K91" s="408"/>
      <c r="V91" s="317"/>
    </row>
    <row r="92" spans="11:22" x14ac:dyDescent="0.3">
      <c r="K92" s="408"/>
      <c r="V92" s="317"/>
    </row>
    <row r="93" spans="11:22" x14ac:dyDescent="0.3">
      <c r="K93" s="408"/>
      <c r="V93" s="317"/>
    </row>
    <row r="94" spans="11:22" x14ac:dyDescent="0.3">
      <c r="K94" s="408"/>
      <c r="V94" s="317"/>
    </row>
    <row r="95" spans="11:22" x14ac:dyDescent="0.3">
      <c r="K95" s="408"/>
      <c r="V95" s="317"/>
    </row>
    <row r="96" spans="11:22" x14ac:dyDescent="0.3">
      <c r="K96" s="408"/>
      <c r="V96" s="317"/>
    </row>
    <row r="97" spans="8:22" x14ac:dyDescent="0.3">
      <c r="K97" s="408"/>
      <c r="V97" s="317"/>
    </row>
    <row r="98" spans="8:22" x14ac:dyDescent="0.3">
      <c r="K98" s="408"/>
      <c r="V98" s="317"/>
    </row>
    <row r="100" spans="8:22" x14ac:dyDescent="0.3">
      <c r="V100" s="317"/>
    </row>
    <row r="103" spans="8:22" x14ac:dyDescent="0.3">
      <c r="V103" s="317"/>
    </row>
    <row r="104" spans="8:22" x14ac:dyDescent="0.3">
      <c r="V104" s="317"/>
    </row>
    <row r="105" spans="8:22" x14ac:dyDescent="0.3">
      <c r="V105" s="317"/>
    </row>
    <row r="106" spans="8:22" x14ac:dyDescent="0.3">
      <c r="V106" s="317"/>
    </row>
    <row r="107" spans="8:22" x14ac:dyDescent="0.3">
      <c r="H107" s="314">
        <v>4.1355900000000001E-2</v>
      </c>
      <c r="V107" s="317"/>
    </row>
    <row r="108" spans="8:22" x14ac:dyDescent="0.3">
      <c r="V108" s="317"/>
    </row>
    <row r="109" spans="8:22" x14ac:dyDescent="0.3">
      <c r="V109" s="317"/>
    </row>
    <row r="110" spans="8:22" x14ac:dyDescent="0.3">
      <c r="V110" s="317"/>
    </row>
    <row r="111" spans="8:22" x14ac:dyDescent="0.3">
      <c r="V111" s="317"/>
    </row>
    <row r="112" spans="8:22" x14ac:dyDescent="0.3">
      <c r="V112" s="317"/>
    </row>
    <row r="113" spans="22:22" x14ac:dyDescent="0.3">
      <c r="V113" s="317"/>
    </row>
    <row r="114" spans="22:22" x14ac:dyDescent="0.3">
      <c r="V114" s="317"/>
    </row>
    <row r="115" spans="22:22" x14ac:dyDescent="0.3">
      <c r="V115" s="317"/>
    </row>
    <row r="116" spans="22:22" x14ac:dyDescent="0.3">
      <c r="V116" s="317"/>
    </row>
    <row r="117" spans="22:22" x14ac:dyDescent="0.3">
      <c r="V117" s="317"/>
    </row>
    <row r="118" spans="22:22" x14ac:dyDescent="0.3">
      <c r="V118" s="317"/>
    </row>
  </sheetData>
  <mergeCells count="3">
    <mergeCell ref="A1:K1"/>
    <mergeCell ref="A2:K2"/>
    <mergeCell ref="A3:K3"/>
  </mergeCells>
  <phoneticPr fontId="0" type="noConversion"/>
  <printOptions horizontalCentered="1"/>
  <pageMargins left="0.7" right="0.7" top="0.54" bottom="0.75" header="0.3" footer="0.3"/>
  <pageSetup paperSize="9" scale="8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E8"/>
  <sheetViews>
    <sheetView view="pageBreakPreview" topLeftCell="A3" zoomScale="80" zoomScaleNormal="84" zoomScaleSheetLayoutView="80" workbookViewId="0">
      <selection activeCell="C6" sqref="C6"/>
    </sheetView>
  </sheetViews>
  <sheetFormatPr defaultColWidth="9.109375" defaultRowHeight="14.4" x14ac:dyDescent="0.3"/>
  <cols>
    <col min="1" max="1" width="10.44140625" style="376" customWidth="1"/>
    <col min="2" max="2" width="49.88671875" style="376" customWidth="1"/>
    <col min="3" max="3" width="25.44140625" style="376" customWidth="1"/>
    <col min="4" max="4" width="9.109375" style="376"/>
    <col min="5" max="5" width="13.33203125" style="376" bestFit="1" customWidth="1"/>
    <col min="6" max="16384" width="9.109375" style="376"/>
  </cols>
  <sheetData>
    <row r="1" spans="1:5" ht="26.25" customHeight="1" x14ac:dyDescent="0.3">
      <c r="A1" s="797" t="s">
        <v>84</v>
      </c>
      <c r="B1" s="797"/>
      <c r="C1" s="797"/>
    </row>
    <row r="2" spans="1:5" ht="26.25" customHeight="1" x14ac:dyDescent="0.3">
      <c r="A2" s="723" t="s">
        <v>470</v>
      </c>
      <c r="B2" s="723"/>
      <c r="C2" s="723"/>
    </row>
    <row r="3" spans="1:5" ht="39.75" customHeight="1" thickBot="1" x14ac:dyDescent="0.35">
      <c r="A3" s="723" t="str">
        <f>'Anx A'!A3:H3</f>
        <v>Project Control Unit:-  Dev of C-15 Islamabad</v>
      </c>
      <c r="B3" s="723"/>
      <c r="C3" s="723"/>
    </row>
    <row r="4" spans="1:5" s="567" customFormat="1" ht="51" customHeight="1" thickBot="1" x14ac:dyDescent="0.35">
      <c r="A4" s="564" t="s">
        <v>471</v>
      </c>
      <c r="B4" s="565" t="s">
        <v>27</v>
      </c>
      <c r="C4" s="566" t="s">
        <v>77</v>
      </c>
    </row>
    <row r="5" spans="1:5" ht="51" customHeight="1" x14ac:dyDescent="0.3">
      <c r="A5" s="560">
        <v>1</v>
      </c>
      <c r="B5" s="464" t="s">
        <v>472</v>
      </c>
      <c r="C5" s="561">
        <f>230.26-0.51-0.51-0.57-4.45-0.54</f>
        <v>223.68000000000004</v>
      </c>
    </row>
    <row r="6" spans="1:5" ht="51" customHeight="1" x14ac:dyDescent="0.3">
      <c r="A6" s="562">
        <f t="shared" ref="A6" si="0">+A5+1</f>
        <v>2</v>
      </c>
      <c r="B6" s="464" t="s">
        <v>588</v>
      </c>
      <c r="C6" s="563">
        <f>'Anx J'!G12/1000000</f>
        <v>33.356031000000002</v>
      </c>
    </row>
    <row r="7" spans="1:5" ht="51" customHeight="1" thickBot="1" x14ac:dyDescent="0.35">
      <c r="A7" s="562">
        <v>3</v>
      </c>
      <c r="B7" s="466" t="s">
        <v>473</v>
      </c>
      <c r="C7" s="563">
        <f>0.925+0.077</f>
        <v>1.002</v>
      </c>
      <c r="E7" s="598"/>
    </row>
    <row r="8" spans="1:5" ht="51" customHeight="1" thickBot="1" x14ac:dyDescent="0.35">
      <c r="A8" s="840" t="s">
        <v>474</v>
      </c>
      <c r="B8" s="841"/>
      <c r="C8" s="625">
        <f>SUM(C5:C7)</f>
        <v>258.03803100000005</v>
      </c>
    </row>
  </sheetData>
  <mergeCells count="4">
    <mergeCell ref="A1:C1"/>
    <mergeCell ref="A2:C2"/>
    <mergeCell ref="A3:C3"/>
    <mergeCell ref="A8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16"/>
  <sheetViews>
    <sheetView view="pageBreakPreview" zoomScale="80" zoomScaleSheetLayoutView="80" workbookViewId="0">
      <pane xSplit="3" ySplit="5" topLeftCell="D6" activePane="bottomRight" state="frozen"/>
      <selection activeCell="D23" sqref="D23"/>
      <selection pane="topRight" activeCell="D23" sqref="D23"/>
      <selection pane="bottomLeft" activeCell="D23" sqref="D23"/>
      <selection pane="bottomRight" activeCell="F13" sqref="F13"/>
    </sheetView>
  </sheetViews>
  <sheetFormatPr defaultColWidth="9.109375" defaultRowHeight="14.4" x14ac:dyDescent="0.3"/>
  <cols>
    <col min="1" max="1" width="5.33203125" style="23" bestFit="1" customWidth="1"/>
    <col min="2" max="2" width="12.33203125" style="24" hidden="1" customWidth="1"/>
    <col min="3" max="3" width="39.44140625" style="5" bestFit="1" customWidth="1"/>
    <col min="4" max="4" width="11.5546875" style="5" customWidth="1"/>
    <col min="5" max="5" width="12.6640625" style="5" bestFit="1" customWidth="1"/>
    <col min="6" max="6" width="18.109375" style="5" bestFit="1" customWidth="1"/>
    <col min="7" max="7" width="12.33203125" style="5" bestFit="1" customWidth="1"/>
    <col min="8" max="8" width="19.6640625" style="5" bestFit="1" customWidth="1"/>
    <col min="9" max="9" width="15.44140625" style="5" bestFit="1" customWidth="1"/>
    <col min="10" max="10" width="12.5546875" style="5" bestFit="1" customWidth="1"/>
    <col min="11" max="15" width="9.109375" style="5"/>
    <col min="16" max="16" width="9.88671875" style="5" bestFit="1" customWidth="1"/>
    <col min="17" max="16384" width="9.109375" style="5"/>
  </cols>
  <sheetData>
    <row r="1" spans="1:12" ht="16.5" x14ac:dyDescent="0.3">
      <c r="A1" s="706" t="s">
        <v>390</v>
      </c>
      <c r="B1" s="706"/>
      <c r="C1" s="706"/>
      <c r="D1" s="706"/>
      <c r="E1" s="706"/>
      <c r="F1" s="706"/>
      <c r="G1" s="706"/>
      <c r="H1" s="706"/>
      <c r="I1" s="706"/>
    </row>
    <row r="2" spans="1:12" ht="16.5" x14ac:dyDescent="0.3">
      <c r="A2" s="706" t="s">
        <v>147</v>
      </c>
      <c r="B2" s="706"/>
      <c r="C2" s="706"/>
      <c r="D2" s="706"/>
      <c r="E2" s="706"/>
      <c r="F2" s="706"/>
      <c r="G2" s="706"/>
      <c r="H2" s="706"/>
      <c r="I2" s="706"/>
    </row>
    <row r="3" spans="1:12" ht="17.25" thickBot="1" x14ac:dyDescent="0.35">
      <c r="A3" s="707" t="s">
        <v>146</v>
      </c>
      <c r="B3" s="707"/>
      <c r="C3" s="707"/>
      <c r="D3" s="707"/>
      <c r="E3" s="707"/>
      <c r="F3" s="707"/>
      <c r="G3" s="707"/>
      <c r="H3" s="707"/>
      <c r="I3" s="707"/>
    </row>
    <row r="4" spans="1:12" ht="18" customHeight="1" thickTop="1" thickBot="1" x14ac:dyDescent="0.35">
      <c r="A4" s="708" t="s">
        <v>41</v>
      </c>
      <c r="B4" s="708" t="s">
        <v>59</v>
      </c>
      <c r="C4" s="708" t="s">
        <v>42</v>
      </c>
      <c r="D4" s="711" t="s">
        <v>140</v>
      </c>
      <c r="E4" s="711" t="s">
        <v>141</v>
      </c>
      <c r="F4" s="713" t="s">
        <v>50</v>
      </c>
      <c r="G4" s="715"/>
      <c r="H4" s="715"/>
      <c r="I4" s="716"/>
    </row>
    <row r="5" spans="1:12" ht="64.5" customHeight="1" thickTop="1" thickBot="1" x14ac:dyDescent="0.35">
      <c r="A5" s="709"/>
      <c r="B5" s="709"/>
      <c r="C5" s="710"/>
      <c r="D5" s="712"/>
      <c r="E5" s="712"/>
      <c r="F5" s="177" t="s">
        <v>60</v>
      </c>
      <c r="G5" s="177" t="s">
        <v>24</v>
      </c>
      <c r="H5" s="177" t="s">
        <v>391</v>
      </c>
      <c r="I5" s="177" t="s">
        <v>392</v>
      </c>
      <c r="J5" s="261"/>
    </row>
    <row r="6" spans="1:12" ht="20.100000000000001" customHeight="1" thickTop="1" x14ac:dyDescent="0.3">
      <c r="A6" s="109">
        <v>1</v>
      </c>
      <c r="B6" s="20"/>
      <c r="C6" s="93" t="e">
        <f>+#REF!</f>
        <v>#REF!</v>
      </c>
      <c r="D6" s="129">
        <v>550.34299999999996</v>
      </c>
      <c r="E6" s="129">
        <v>498.59500000000003</v>
      </c>
      <c r="F6" s="129">
        <v>259.88755928</v>
      </c>
      <c r="G6" s="130">
        <f>F6*0.05</f>
        <v>12.994377964000002</v>
      </c>
      <c r="H6" s="129">
        <v>193.98</v>
      </c>
      <c r="I6" s="129">
        <v>17.236218999999998</v>
      </c>
      <c r="J6" s="21"/>
      <c r="K6" s="261" t="e">
        <f>#REF!+#REF!</f>
        <v>#REF!</v>
      </c>
      <c r="L6" s="21"/>
    </row>
    <row r="7" spans="1:12" ht="20.100000000000001" customHeight="1" x14ac:dyDescent="0.3">
      <c r="A7" s="110">
        <v>2</v>
      </c>
      <c r="B7" s="13"/>
      <c r="C7" s="14" t="e">
        <f>+#REF!</f>
        <v>#REF!</v>
      </c>
      <c r="D7" s="130">
        <v>227.453</v>
      </c>
      <c r="E7" s="130">
        <v>205.477</v>
      </c>
      <c r="F7" s="130">
        <v>75.335719779999991</v>
      </c>
      <c r="G7" s="130">
        <f t="shared" ref="G7:G24" si="0">F7*0.05</f>
        <v>3.7667859889999997</v>
      </c>
      <c r="H7" s="130">
        <v>54.125360000000001</v>
      </c>
      <c r="I7" s="130">
        <v>2.7251336500000001</v>
      </c>
      <c r="J7" s="21"/>
      <c r="K7" s="261" t="e">
        <f>#REF!+#REF!</f>
        <v>#REF!</v>
      </c>
      <c r="L7" s="21"/>
    </row>
    <row r="8" spans="1:12" ht="20.100000000000001" customHeight="1" x14ac:dyDescent="0.3">
      <c r="A8" s="110">
        <v>3</v>
      </c>
      <c r="B8" s="13"/>
      <c r="C8" s="14" t="s">
        <v>175</v>
      </c>
      <c r="D8" s="130">
        <v>113.73</v>
      </c>
      <c r="E8" s="130">
        <v>102.74</v>
      </c>
      <c r="F8" s="130">
        <v>79.164844000000002</v>
      </c>
      <c r="G8" s="130">
        <f t="shared" si="0"/>
        <v>3.9582422000000004</v>
      </c>
      <c r="H8" s="130">
        <v>67.590862999999999</v>
      </c>
      <c r="I8" s="130">
        <v>23.657828909999999</v>
      </c>
      <c r="J8" s="21"/>
      <c r="K8" s="261" t="e">
        <f>#REF!+#REF!</f>
        <v>#REF!</v>
      </c>
      <c r="L8" s="21"/>
    </row>
    <row r="9" spans="1:12" ht="20.100000000000001" customHeight="1" x14ac:dyDescent="0.3">
      <c r="A9" s="110">
        <v>4</v>
      </c>
      <c r="B9" s="13"/>
      <c r="C9" s="14" t="s">
        <v>176</v>
      </c>
      <c r="D9" s="130">
        <v>553.79</v>
      </c>
      <c r="E9" s="130">
        <v>468.1</v>
      </c>
      <c r="F9" s="130">
        <v>50.390201429999998</v>
      </c>
      <c r="G9" s="130">
        <f t="shared" si="0"/>
        <v>2.5195100715000001</v>
      </c>
      <c r="H9" s="130">
        <v>11.111212</v>
      </c>
      <c r="I9" s="130">
        <v>43.299160000000001</v>
      </c>
      <c r="J9" s="21"/>
      <c r="K9" s="261" t="e">
        <f>#REF!+#REF!</f>
        <v>#REF!</v>
      </c>
      <c r="L9" s="21"/>
    </row>
    <row r="10" spans="1:12" ht="20.100000000000001" customHeight="1" x14ac:dyDescent="0.3">
      <c r="A10" s="110">
        <v>5</v>
      </c>
      <c r="B10" s="13"/>
      <c r="C10" s="14" t="s">
        <v>177</v>
      </c>
      <c r="D10" s="130">
        <v>113.73</v>
      </c>
      <c r="E10" s="130">
        <v>102.74</v>
      </c>
      <c r="F10" s="130">
        <v>37.962793759999997</v>
      </c>
      <c r="G10" s="130">
        <f t="shared" si="0"/>
        <v>1.8981396879999999</v>
      </c>
      <c r="H10" s="130">
        <v>18.158341</v>
      </c>
      <c r="I10" s="130">
        <v>1.70454375</v>
      </c>
      <c r="J10" s="21"/>
      <c r="K10" s="261" t="e">
        <f>#REF!+#REF!</f>
        <v>#REF!</v>
      </c>
      <c r="L10" s="21"/>
    </row>
    <row r="11" spans="1:12" ht="20.100000000000001" customHeight="1" x14ac:dyDescent="0.3">
      <c r="A11" s="110">
        <v>6</v>
      </c>
      <c r="B11" s="13"/>
      <c r="C11" s="14" t="s">
        <v>371</v>
      </c>
      <c r="D11" s="130">
        <v>4.8330000000000002</v>
      </c>
      <c r="E11" s="130">
        <v>3.585</v>
      </c>
      <c r="F11" s="130">
        <v>3.8169680600000002</v>
      </c>
      <c r="G11" s="130">
        <f t="shared" si="0"/>
        <v>0.19084840300000003</v>
      </c>
      <c r="H11" s="130">
        <v>3.2</v>
      </c>
      <c r="I11" s="130"/>
      <c r="J11" s="21" t="s">
        <v>387</v>
      </c>
      <c r="K11" s="261">
        <v>-0.11598406000000017</v>
      </c>
      <c r="L11" s="21">
        <f>H11/1000000-F11</f>
        <v>-3.8169648600000001</v>
      </c>
    </row>
    <row r="12" spans="1:12" ht="20.100000000000001" customHeight="1" x14ac:dyDescent="0.3">
      <c r="A12" s="110">
        <v>7</v>
      </c>
      <c r="B12" s="13"/>
      <c r="C12" s="14" t="s">
        <v>354</v>
      </c>
      <c r="D12" s="130">
        <v>12.984999999999999</v>
      </c>
      <c r="E12" s="130">
        <v>9.7829999999999995</v>
      </c>
      <c r="F12" s="130">
        <v>3.2217034</v>
      </c>
      <c r="G12" s="130">
        <f t="shared" si="0"/>
        <v>0.16108517</v>
      </c>
      <c r="H12" s="130">
        <v>1.03</v>
      </c>
      <c r="I12" s="130"/>
      <c r="J12" s="21"/>
      <c r="K12" s="261" t="e">
        <f>#REF!+#REF!</f>
        <v>#REF!</v>
      </c>
      <c r="L12" s="21"/>
    </row>
    <row r="13" spans="1:12" ht="20.100000000000001" customHeight="1" x14ac:dyDescent="0.3">
      <c r="A13" s="110">
        <v>8</v>
      </c>
      <c r="B13" s="13"/>
      <c r="C13" s="14" t="s">
        <v>355</v>
      </c>
      <c r="D13" s="130">
        <v>1.9045148000000001</v>
      </c>
      <c r="E13" s="130">
        <v>1.9045148000000001</v>
      </c>
      <c r="F13" s="130">
        <v>2.2395580000000002</v>
      </c>
      <c r="G13" s="130">
        <f t="shared" si="0"/>
        <v>0.11197790000000002</v>
      </c>
      <c r="H13" s="130">
        <v>1.82</v>
      </c>
      <c r="I13" s="130"/>
      <c r="J13" s="21" t="s">
        <v>387</v>
      </c>
      <c r="K13" s="261" t="e">
        <f>#REF!+#REF!</f>
        <v>#REF!</v>
      </c>
      <c r="L13" s="21"/>
    </row>
    <row r="14" spans="1:12" ht="20.100000000000001" customHeight="1" x14ac:dyDescent="0.3">
      <c r="A14" s="110">
        <v>9</v>
      </c>
      <c r="B14" s="13"/>
      <c r="C14" s="14" t="s">
        <v>364</v>
      </c>
      <c r="D14" s="130">
        <v>16.882999999999999</v>
      </c>
      <c r="E14" s="130">
        <v>12.965999999999999</v>
      </c>
      <c r="F14" s="130">
        <v>2.461954</v>
      </c>
      <c r="G14" s="130">
        <f t="shared" si="0"/>
        <v>0.1230977</v>
      </c>
      <c r="H14" s="130">
        <v>1.8081769999999999</v>
      </c>
      <c r="I14" s="130"/>
      <c r="J14" s="21"/>
      <c r="K14" s="261" t="e">
        <f>#REF!+#REF!</f>
        <v>#REF!</v>
      </c>
      <c r="L14" s="21"/>
    </row>
    <row r="15" spans="1:12" ht="20.100000000000001" customHeight="1" x14ac:dyDescent="0.3">
      <c r="A15" s="110">
        <v>10</v>
      </c>
      <c r="B15" s="13"/>
      <c r="C15" s="14" t="s">
        <v>365</v>
      </c>
      <c r="D15" s="130">
        <v>10.596356999999999</v>
      </c>
      <c r="E15" s="130">
        <v>8.7653778300000003</v>
      </c>
      <c r="F15" s="130">
        <v>9.2474240000000005</v>
      </c>
      <c r="G15" s="130">
        <f t="shared" si="0"/>
        <v>0.46237120000000004</v>
      </c>
      <c r="H15" s="130">
        <v>7.94</v>
      </c>
      <c r="I15" s="130"/>
      <c r="J15" s="21"/>
      <c r="K15" s="261" t="e">
        <f>#REF!+#REF!</f>
        <v>#REF!</v>
      </c>
      <c r="L15" s="21"/>
    </row>
    <row r="16" spans="1:12" ht="20.100000000000001" customHeight="1" x14ac:dyDescent="0.3">
      <c r="A16" s="110">
        <v>11</v>
      </c>
      <c r="B16" s="13"/>
      <c r="C16" s="14" t="s">
        <v>372</v>
      </c>
      <c r="D16" s="130">
        <v>17.209</v>
      </c>
      <c r="E16" s="130">
        <v>12.965999999999999</v>
      </c>
      <c r="F16" s="130">
        <v>1.70878</v>
      </c>
      <c r="G16" s="130">
        <f t="shared" si="0"/>
        <v>8.5439000000000001E-2</v>
      </c>
      <c r="H16" s="130">
        <v>0.7</v>
      </c>
      <c r="I16" s="130"/>
      <c r="J16" s="21"/>
      <c r="K16" s="261" t="e">
        <f>#REF!+#REF!</f>
        <v>#REF!</v>
      </c>
      <c r="L16" s="21"/>
    </row>
    <row r="17" spans="1:12" ht="20.100000000000001" customHeight="1" x14ac:dyDescent="0.3">
      <c r="A17" s="51">
        <v>12</v>
      </c>
      <c r="B17" s="138"/>
      <c r="C17" s="138" t="s">
        <v>373</v>
      </c>
      <c r="D17" s="186">
        <f>24614753/1000000</f>
        <v>24.614753</v>
      </c>
      <c r="E17" s="186">
        <v>24.614753</v>
      </c>
      <c r="F17" s="130">
        <v>7.6906999999999996</v>
      </c>
      <c r="G17" s="130">
        <f t="shared" si="0"/>
        <v>0.38453500000000002</v>
      </c>
      <c r="H17" s="130">
        <v>6.5647019999999996</v>
      </c>
      <c r="I17" s="130"/>
      <c r="J17" s="21"/>
      <c r="K17" s="261" t="e">
        <f>#REF!+#REF!</f>
        <v>#REF!</v>
      </c>
      <c r="L17" s="21"/>
    </row>
    <row r="18" spans="1:12" ht="20.100000000000001" customHeight="1" x14ac:dyDescent="0.3">
      <c r="A18" s="51">
        <v>13</v>
      </c>
      <c r="B18" s="138"/>
      <c r="C18" s="138" t="s">
        <v>366</v>
      </c>
      <c r="D18" s="186">
        <v>18.208580999999999</v>
      </c>
      <c r="E18" s="186">
        <v>14.910918000000001</v>
      </c>
      <c r="F18" s="130">
        <v>0.64858499999999997</v>
      </c>
      <c r="G18" s="130">
        <f t="shared" si="0"/>
        <v>3.242925E-2</v>
      </c>
      <c r="H18" s="130">
        <v>0.56751200000000002</v>
      </c>
      <c r="I18" s="130"/>
      <c r="J18" s="21"/>
      <c r="K18" s="261" t="e">
        <f>#REF!+#REF!</f>
        <v>#REF!</v>
      </c>
      <c r="L18" s="21"/>
    </row>
    <row r="19" spans="1:12" ht="20.100000000000001" customHeight="1" x14ac:dyDescent="0.3">
      <c r="A19" s="110">
        <v>14</v>
      </c>
      <c r="B19" s="13"/>
      <c r="C19" s="14" t="s">
        <v>367</v>
      </c>
      <c r="D19" s="130">
        <v>2.3638140000000001</v>
      </c>
      <c r="E19" s="130">
        <v>1.8069230000000001</v>
      </c>
      <c r="F19" s="183">
        <v>0.30188900000000002</v>
      </c>
      <c r="G19" s="130">
        <f t="shared" si="0"/>
        <v>1.5094450000000002E-2</v>
      </c>
      <c r="H19" s="183">
        <v>0.2</v>
      </c>
      <c r="I19" s="183"/>
      <c r="K19" s="261" t="e">
        <f>#REF!+#REF!</f>
        <v>#REF!</v>
      </c>
      <c r="L19" s="21"/>
    </row>
    <row r="20" spans="1:12" ht="20.100000000000001" customHeight="1" x14ac:dyDescent="0.3">
      <c r="A20" s="110">
        <v>15</v>
      </c>
      <c r="B20" s="13"/>
      <c r="C20" s="14" t="s">
        <v>378</v>
      </c>
      <c r="D20" s="130">
        <v>2.835</v>
      </c>
      <c r="E20" s="130">
        <v>2.835</v>
      </c>
      <c r="F20" s="183">
        <v>3.24</v>
      </c>
      <c r="G20" s="130">
        <f t="shared" si="0"/>
        <v>0.16200000000000003</v>
      </c>
      <c r="H20" s="183">
        <v>2.79</v>
      </c>
      <c r="I20" s="183"/>
      <c r="K20" s="261" t="e">
        <f>#REF!+#REF!</f>
        <v>#REF!</v>
      </c>
      <c r="L20" s="21"/>
    </row>
    <row r="21" spans="1:12" ht="20.100000000000001" customHeight="1" x14ac:dyDescent="0.3">
      <c r="A21" s="110">
        <v>16</v>
      </c>
      <c r="B21" s="13"/>
      <c r="C21" s="14" t="s">
        <v>379</v>
      </c>
      <c r="D21" s="130">
        <v>12.82215491</v>
      </c>
      <c r="E21" s="130">
        <v>9.6326599999999996</v>
      </c>
      <c r="F21" s="183">
        <v>3.3766150000000001</v>
      </c>
      <c r="G21" s="130">
        <f t="shared" si="0"/>
        <v>0.16883075000000003</v>
      </c>
      <c r="H21" s="183">
        <v>1.7</v>
      </c>
      <c r="I21" s="183"/>
      <c r="K21" s="261" t="e">
        <f>#REF!+#REF!</f>
        <v>#REF!</v>
      </c>
      <c r="L21" s="21"/>
    </row>
    <row r="22" spans="1:12" ht="20.100000000000001" customHeight="1" x14ac:dyDescent="0.3">
      <c r="A22" s="110">
        <v>17</v>
      </c>
      <c r="B22" s="13"/>
      <c r="C22" s="14" t="s">
        <v>380</v>
      </c>
      <c r="D22" s="130">
        <v>20.955223</v>
      </c>
      <c r="E22" s="130">
        <v>17.440885000000002</v>
      </c>
      <c r="F22" s="183">
        <v>4.9848319999999999</v>
      </c>
      <c r="G22" s="130">
        <f t="shared" si="0"/>
        <v>0.24924160000000001</v>
      </c>
      <c r="H22" s="183">
        <v>2.5</v>
      </c>
      <c r="I22" s="183"/>
      <c r="K22" s="261" t="e">
        <f>#REF!+#REF!</f>
        <v>#REF!</v>
      </c>
      <c r="L22" s="21"/>
    </row>
    <row r="23" spans="1:12" ht="20.100000000000001" customHeight="1" x14ac:dyDescent="0.3">
      <c r="A23" s="110">
        <v>18</v>
      </c>
      <c r="B23" s="13"/>
      <c r="C23" s="14" t="s">
        <v>381</v>
      </c>
      <c r="D23" s="130">
        <v>21.085284999999999</v>
      </c>
      <c r="E23" s="130">
        <v>19.609266999999999</v>
      </c>
      <c r="F23" s="183">
        <v>0</v>
      </c>
      <c r="G23" s="130">
        <f t="shared" si="0"/>
        <v>0</v>
      </c>
      <c r="H23" s="183"/>
      <c r="I23" s="183"/>
      <c r="K23" s="261" t="e">
        <f>#REF!+#REF!</f>
        <v>#REF!</v>
      </c>
      <c r="L23" s="21"/>
    </row>
    <row r="24" spans="1:12" ht="20.100000000000001" customHeight="1" thickBot="1" x14ac:dyDescent="0.35">
      <c r="A24" s="110">
        <v>19</v>
      </c>
      <c r="B24" s="7"/>
      <c r="C24" s="14" t="s">
        <v>388</v>
      </c>
      <c r="D24" s="130">
        <v>4.442558</v>
      </c>
      <c r="E24" s="130">
        <v>4.442558</v>
      </c>
      <c r="F24" s="183">
        <v>0.34171400000000002</v>
      </c>
      <c r="G24" s="130">
        <f t="shared" si="0"/>
        <v>1.7085700000000002E-2</v>
      </c>
      <c r="H24" s="183">
        <v>0.21659400000000001</v>
      </c>
      <c r="I24" s="183"/>
      <c r="K24" s="261" t="e">
        <f>#REF!+#REF!</f>
        <v>#REF!</v>
      </c>
      <c r="L24" s="21"/>
    </row>
    <row r="25" spans="1:12" ht="20.100000000000001" customHeight="1" thickTop="1" thickBot="1" x14ac:dyDescent="0.35">
      <c r="A25" s="94"/>
      <c r="B25" s="95"/>
      <c r="C25" s="96"/>
      <c r="D25" s="184">
        <f t="shared" ref="D25:I25" si="1">SUM(D6:D24)</f>
        <v>1730.7842407099999</v>
      </c>
      <c r="E25" s="184">
        <f t="shared" si="1"/>
        <v>1522.91485663</v>
      </c>
      <c r="F25" s="185">
        <f t="shared" si="1"/>
        <v>546.02184071000011</v>
      </c>
      <c r="G25" s="262">
        <f t="shared" si="1"/>
        <v>27.301092035500002</v>
      </c>
      <c r="H25" s="185">
        <f t="shared" si="1"/>
        <v>376.00276099999996</v>
      </c>
      <c r="I25" s="185">
        <f t="shared" si="1"/>
        <v>88.622885310000001</v>
      </c>
    </row>
    <row r="26" spans="1:12" ht="17.25" thickTop="1" x14ac:dyDescent="0.3">
      <c r="F26" s="21"/>
    </row>
    <row r="27" spans="1:12" ht="16.5" x14ac:dyDescent="0.3">
      <c r="B27" s="108"/>
      <c r="D27"/>
      <c r="F27" s="22"/>
    </row>
    <row r="28" spans="1:12" ht="16.5" x14ac:dyDescent="0.3">
      <c r="B28" s="39"/>
      <c r="D28"/>
      <c r="E28" s="107"/>
      <c r="F28" s="21"/>
    </row>
    <row r="29" spans="1:12" ht="16.5" x14ac:dyDescent="0.3">
      <c r="B29" s="39"/>
      <c r="D29" s="119"/>
      <c r="E29" s="135"/>
    </row>
    <row r="30" spans="1:12" ht="16.5" x14ac:dyDescent="0.3">
      <c r="B30" s="39"/>
      <c r="D30"/>
    </row>
    <row r="31" spans="1:12" ht="16.5" x14ac:dyDescent="0.3">
      <c r="B31" s="39"/>
      <c r="C31" s="53"/>
      <c r="D31" s="119"/>
    </row>
    <row r="32" spans="1:12" ht="16.5" x14ac:dyDescent="0.3">
      <c r="B32" s="39"/>
      <c r="C32" s="53"/>
      <c r="D32"/>
    </row>
    <row r="33" spans="2:7" ht="16.5" x14ac:dyDescent="0.3">
      <c r="B33" s="39"/>
      <c r="C33" s="53"/>
      <c r="D33"/>
    </row>
    <row r="34" spans="2:7" ht="16.5" x14ac:dyDescent="0.3">
      <c r="B34" s="39"/>
      <c r="C34" s="53"/>
      <c r="D34"/>
    </row>
    <row r="35" spans="2:7" ht="15.6" x14ac:dyDescent="0.3">
      <c r="B35" s="39"/>
      <c r="C35" s="53"/>
      <c r="D35"/>
    </row>
    <row r="36" spans="2:7" ht="15.6" x14ac:dyDescent="0.3">
      <c r="B36" s="39"/>
      <c r="C36" s="53"/>
      <c r="D36"/>
    </row>
    <row r="37" spans="2:7" ht="15.6" x14ac:dyDescent="0.3">
      <c r="B37" s="39"/>
      <c r="C37" s="53"/>
      <c r="D37"/>
    </row>
    <row r="38" spans="2:7" x14ac:dyDescent="0.3">
      <c r="B38" s="44"/>
      <c r="C38" s="54"/>
      <c r="D38"/>
    </row>
    <row r="39" spans="2:7" x14ac:dyDescent="0.3">
      <c r="B39" s="44"/>
      <c r="C39" s="54"/>
      <c r="D39"/>
    </row>
    <row r="40" spans="2:7" x14ac:dyDescent="0.3">
      <c r="B40" s="44"/>
      <c r="C40" s="45"/>
      <c r="D40"/>
    </row>
    <row r="41" spans="2:7" x14ac:dyDescent="0.3">
      <c r="B41" s="44"/>
      <c r="C41" s="45"/>
      <c r="D41"/>
    </row>
    <row r="42" spans="2:7" x14ac:dyDescent="0.3">
      <c r="B42" s="44"/>
      <c r="C42" s="45"/>
      <c r="D42"/>
    </row>
    <row r="43" spans="2:7" x14ac:dyDescent="0.3">
      <c r="B43" s="39"/>
      <c r="C43" s="43"/>
    </row>
    <row r="44" spans="2:7" x14ac:dyDescent="0.3">
      <c r="B44" s="39"/>
      <c r="C44" s="43"/>
    </row>
    <row r="45" spans="2:7" x14ac:dyDescent="0.3">
      <c r="B45" s="39"/>
      <c r="C45" s="43"/>
      <c r="G45" s="5">
        <f>G44</f>
        <v>0</v>
      </c>
    </row>
    <row r="46" spans="2:7" x14ac:dyDescent="0.3">
      <c r="B46" s="39"/>
      <c r="C46" s="43"/>
    </row>
    <row r="47" spans="2:7" x14ac:dyDescent="0.3">
      <c r="B47" s="39"/>
      <c r="C47" s="43"/>
    </row>
    <row r="48" spans="2:7" x14ac:dyDescent="0.3">
      <c r="B48" s="39"/>
      <c r="C48" s="43"/>
    </row>
    <row r="49" spans="2:3" x14ac:dyDescent="0.3">
      <c r="B49" s="39"/>
      <c r="C49" s="43"/>
    </row>
    <row r="97" spans="7:7" x14ac:dyDescent="0.3">
      <c r="G97" s="5">
        <f>G96</f>
        <v>0</v>
      </c>
    </row>
    <row r="122" spans="4:7" x14ac:dyDescent="0.3">
      <c r="D122" s="5">
        <v>13</v>
      </c>
      <c r="E122" s="5">
        <f>G121</f>
        <v>0</v>
      </c>
      <c r="F122" s="5" t="e">
        <f>E122+#REF!-#REF!-#REF!-#REF!</f>
        <v>#REF!</v>
      </c>
      <c r="G122" s="5" t="e">
        <f>F122-#REF!</f>
        <v>#REF!</v>
      </c>
    </row>
    <row r="123" spans="4:7" x14ac:dyDescent="0.3">
      <c r="F123" s="5" t="e">
        <f>SUM(F109:F122)</f>
        <v>#REF!</v>
      </c>
      <c r="G123" s="5" t="e">
        <f>G122</f>
        <v>#REF!</v>
      </c>
    </row>
    <row r="183" spans="7:7" x14ac:dyDescent="0.3">
      <c r="G183" s="5">
        <f>G182</f>
        <v>0</v>
      </c>
    </row>
    <row r="210" spans="4:7" x14ac:dyDescent="0.3">
      <c r="D210" s="5">
        <v>18</v>
      </c>
      <c r="E210" s="5">
        <f>G209</f>
        <v>0</v>
      </c>
      <c r="F210" s="5" t="e">
        <f>#REF!</f>
        <v>#REF!</v>
      </c>
      <c r="G210" s="5" t="e">
        <f>F210-#REF!</f>
        <v>#REF!</v>
      </c>
    </row>
    <row r="211" spans="4:7" x14ac:dyDescent="0.3">
      <c r="G211" s="5" t="e">
        <f>G210</f>
        <v>#REF!</v>
      </c>
    </row>
    <row r="273" spans="4:7" x14ac:dyDescent="0.3">
      <c r="D273" s="5">
        <v>20</v>
      </c>
      <c r="E273" s="5">
        <f>G272</f>
        <v>0</v>
      </c>
      <c r="F273" s="5" t="e">
        <f>#REF!</f>
        <v>#REF!</v>
      </c>
      <c r="G273" s="5" t="e">
        <f>F273-#REF!</f>
        <v>#REF!</v>
      </c>
    </row>
    <row r="274" spans="4:7" x14ac:dyDescent="0.3">
      <c r="G274" s="5" t="e">
        <f>G273</f>
        <v>#REF!</v>
      </c>
    </row>
    <row r="298" spans="7:7" x14ac:dyDescent="0.3">
      <c r="G298" s="5">
        <f>G297</f>
        <v>0</v>
      </c>
    </row>
    <row r="351" spans="4:7" x14ac:dyDescent="0.3">
      <c r="D351" s="5">
        <v>9</v>
      </c>
      <c r="G351" s="5" t="e">
        <f>F351-#REF!</f>
        <v>#REF!</v>
      </c>
    </row>
    <row r="352" spans="4:7" x14ac:dyDescent="0.3">
      <c r="G352" s="5" t="e">
        <f>G351</f>
        <v>#REF!</v>
      </c>
    </row>
    <row r="412" spans="1:7" x14ac:dyDescent="0.3">
      <c r="F412" s="5" t="e">
        <f>E412+#REF!-#REF!-#REF!-#REF!</f>
        <v>#REF!</v>
      </c>
    </row>
    <row r="413" spans="1:7" x14ac:dyDescent="0.3">
      <c r="D413" s="32"/>
      <c r="E413" s="32">
        <v>0</v>
      </c>
      <c r="F413" s="32" t="e">
        <f>SUM(F412:F412)</f>
        <v>#REF!</v>
      </c>
      <c r="G413" s="32"/>
    </row>
    <row r="414" spans="1:7" x14ac:dyDescent="0.3">
      <c r="A414" s="23">
        <v>43</v>
      </c>
      <c r="B414" s="24" t="s">
        <v>125</v>
      </c>
    </row>
    <row r="415" spans="1:7" x14ac:dyDescent="0.3">
      <c r="F415" s="5" t="e">
        <f>E415+#REF!-#REF!-#REF!-#REF!</f>
        <v>#REF!</v>
      </c>
      <c r="G415" s="5" t="e">
        <f>F415-#REF!</f>
        <v>#REF!</v>
      </c>
    </row>
    <row r="416" spans="1:7" x14ac:dyDescent="0.3">
      <c r="D416" s="32"/>
      <c r="E416" s="32">
        <v>0</v>
      </c>
      <c r="F416" s="32" t="e">
        <f>SUM(F415:F415)</f>
        <v>#REF!</v>
      </c>
      <c r="G416" s="32" t="e">
        <f>G415</f>
        <v>#REF!</v>
      </c>
    </row>
  </sheetData>
  <mergeCells count="9">
    <mergeCell ref="F4:I4"/>
    <mergeCell ref="A1:I1"/>
    <mergeCell ref="A2:I2"/>
    <mergeCell ref="A3:I3"/>
    <mergeCell ref="A4:A5"/>
    <mergeCell ref="B4:B5"/>
    <mergeCell ref="C4:C5"/>
    <mergeCell ref="D4:D5"/>
    <mergeCell ref="E4:E5"/>
  </mergeCells>
  <printOptions horizontalCentered="1"/>
  <pageMargins left="0.65" right="0.37" top="0.5" bottom="0.5" header="0.2" footer="0.27"/>
  <pageSetup paperSize="9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A1:C9"/>
  <sheetViews>
    <sheetView zoomScale="86" zoomScaleNormal="86" workbookViewId="0">
      <selection activeCell="C6" sqref="C6"/>
    </sheetView>
  </sheetViews>
  <sheetFormatPr defaultColWidth="9.109375" defaultRowHeight="14.4" x14ac:dyDescent="0.3"/>
  <cols>
    <col min="1" max="1" width="8.44140625" style="376" customWidth="1"/>
    <col min="2" max="2" width="62.44140625" style="376" customWidth="1"/>
    <col min="3" max="3" width="17.5546875" style="376" customWidth="1"/>
    <col min="4" max="16384" width="9.109375" style="376"/>
  </cols>
  <sheetData>
    <row r="1" spans="1:3" s="555" customFormat="1" ht="30.75" customHeight="1" x14ac:dyDescent="0.25">
      <c r="A1" s="724" t="s">
        <v>76</v>
      </c>
      <c r="B1" s="724"/>
      <c r="C1" s="724"/>
    </row>
    <row r="2" spans="1:3" s="555" customFormat="1" ht="30.75" customHeight="1" x14ac:dyDescent="0.25">
      <c r="A2" s="723" t="s">
        <v>475</v>
      </c>
      <c r="B2" s="723"/>
      <c r="C2" s="723"/>
    </row>
    <row r="3" spans="1:3" s="555" customFormat="1" ht="30.75" customHeight="1" x14ac:dyDescent="0.25">
      <c r="A3" s="723" t="str">
        <f>'Anx L'!A3:C3</f>
        <v>Project Control Unit:-  Dev of C-15 Islamabad</v>
      </c>
      <c r="B3" s="723"/>
      <c r="C3" s="723"/>
    </row>
    <row r="4" spans="1:3" s="570" customFormat="1" ht="55.5" customHeight="1" x14ac:dyDescent="0.25">
      <c r="A4" s="568" t="s">
        <v>471</v>
      </c>
      <c r="B4" s="568" t="s">
        <v>27</v>
      </c>
      <c r="C4" s="569" t="s">
        <v>77</v>
      </c>
    </row>
    <row r="5" spans="1:3" s="555" customFormat="1" ht="53.25" customHeight="1" x14ac:dyDescent="0.25">
      <c r="A5" s="571">
        <v>1</v>
      </c>
      <c r="B5" s="572" t="s">
        <v>517</v>
      </c>
      <c r="C5" s="574">
        <f>'Anx F'!F22/1000000</f>
        <v>11.828097</v>
      </c>
    </row>
    <row r="6" spans="1:3" s="555" customFormat="1" ht="53.25" customHeight="1" x14ac:dyDescent="0.25">
      <c r="A6" s="571">
        <v>2</v>
      </c>
      <c r="B6" s="572" t="s">
        <v>565</v>
      </c>
      <c r="C6" s="574">
        <v>66.8</v>
      </c>
    </row>
    <row r="7" spans="1:3" s="555" customFormat="1" ht="53.25" customHeight="1" x14ac:dyDescent="0.25">
      <c r="A7" s="575">
        <v>3</v>
      </c>
      <c r="B7" s="576" t="s">
        <v>474</v>
      </c>
      <c r="C7" s="580">
        <f>SUM(C5:C6)</f>
        <v>78.628096999999997</v>
      </c>
    </row>
    <row r="8" spans="1:3" s="555" customFormat="1" ht="53.25" customHeight="1" x14ac:dyDescent="0.25">
      <c r="A8" s="571">
        <v>4</v>
      </c>
      <c r="B8" s="572" t="s">
        <v>476</v>
      </c>
      <c r="C8" s="577">
        <f>C9-C7</f>
        <v>179.40993400000005</v>
      </c>
    </row>
    <row r="9" spans="1:3" s="555" customFormat="1" ht="53.25" customHeight="1" x14ac:dyDescent="0.25">
      <c r="A9" s="568">
        <v>5</v>
      </c>
      <c r="B9" s="578" t="s">
        <v>477</v>
      </c>
      <c r="C9" s="579">
        <f>'Anx L'!C8</f>
        <v>258.03803100000005</v>
      </c>
    </row>
  </sheetData>
  <mergeCells count="3">
    <mergeCell ref="A1:C1"/>
    <mergeCell ref="A2:C2"/>
    <mergeCell ref="A3:C3"/>
  </mergeCells>
  <printOptions horizontalCentered="1"/>
  <pageMargins left="0.7" right="0.2" top="0.25" bottom="0.2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44"/>
  <sheetViews>
    <sheetView workbookViewId="0">
      <selection activeCell="A4" sqref="A4"/>
    </sheetView>
  </sheetViews>
  <sheetFormatPr defaultColWidth="8" defaultRowHeight="13.2" x14ac:dyDescent="0.25"/>
  <cols>
    <col min="1" max="1" width="6.6640625" style="79" bestFit="1" customWidth="1"/>
    <col min="2" max="2" width="27" style="77" customWidth="1"/>
    <col min="3" max="3" width="13.44140625" style="77" bestFit="1" customWidth="1"/>
    <col min="4" max="4" width="10.44140625" style="77" bestFit="1" customWidth="1"/>
    <col min="5" max="5" width="13.44140625" style="77" bestFit="1" customWidth="1"/>
    <col min="6" max="6" width="11" style="77" bestFit="1" customWidth="1"/>
    <col min="7" max="7" width="15.109375" style="77" bestFit="1" customWidth="1"/>
    <col min="8" max="8" width="13.88671875" style="77" customWidth="1"/>
    <col min="9" max="9" width="14.6640625" style="77" customWidth="1"/>
    <col min="10" max="10" width="18.44140625" style="77" bestFit="1" customWidth="1"/>
    <col min="11" max="11" width="13.6640625" style="77" customWidth="1"/>
    <col min="12" max="12" width="12.6640625" style="77" customWidth="1"/>
    <col min="13" max="13" width="14.109375" style="77" customWidth="1"/>
    <col min="14" max="14" width="12.44140625" style="77" customWidth="1"/>
    <col min="15" max="16384" width="8" style="77"/>
  </cols>
  <sheetData>
    <row r="1" spans="1:14" s="72" customFormat="1" ht="17.399999999999999" x14ac:dyDescent="0.3">
      <c r="A1" s="843" t="s">
        <v>103</v>
      </c>
      <c r="B1" s="843"/>
      <c r="C1" s="843"/>
      <c r="D1" s="843"/>
      <c r="E1" s="843"/>
      <c r="F1" s="843"/>
      <c r="G1" s="843"/>
      <c r="H1" s="843"/>
      <c r="I1" s="843"/>
      <c r="J1" s="843"/>
      <c r="K1" s="843"/>
      <c r="L1" s="843"/>
      <c r="M1" s="843"/>
    </row>
    <row r="2" spans="1:14" s="72" customFormat="1" ht="17.399999999999999" x14ac:dyDescent="0.3">
      <c r="A2" s="843" t="s">
        <v>150</v>
      </c>
      <c r="B2" s="843"/>
      <c r="C2" s="843"/>
      <c r="D2" s="843"/>
      <c r="E2" s="843"/>
      <c r="F2" s="843"/>
      <c r="G2" s="843"/>
      <c r="H2" s="843"/>
      <c r="I2" s="843"/>
      <c r="J2" s="843"/>
      <c r="K2" s="843"/>
      <c r="L2" s="843"/>
      <c r="M2" s="843"/>
    </row>
    <row r="3" spans="1:14" s="72" customFormat="1" ht="17.399999999999999" x14ac:dyDescent="0.3">
      <c r="A3" s="843" t="s">
        <v>152</v>
      </c>
      <c r="B3" s="843"/>
      <c r="C3" s="843"/>
      <c r="D3" s="843"/>
      <c r="E3" s="843"/>
      <c r="F3" s="843"/>
      <c r="G3" s="843"/>
      <c r="H3" s="843"/>
      <c r="I3" s="843"/>
      <c r="J3" s="843"/>
      <c r="K3" s="843"/>
      <c r="L3" s="843"/>
      <c r="M3" s="843"/>
    </row>
    <row r="4" spans="1:14" s="72" customFormat="1" ht="17.399999999999999" x14ac:dyDescent="0.3">
      <c r="A4" s="73" t="s">
        <v>78</v>
      </c>
      <c r="B4" s="843" t="s">
        <v>104</v>
      </c>
      <c r="C4" s="843"/>
      <c r="D4" s="843"/>
      <c r="E4" s="843"/>
      <c r="F4" s="843"/>
      <c r="H4" s="74"/>
      <c r="I4" s="74"/>
      <c r="J4" s="74"/>
      <c r="K4" s="74"/>
      <c r="L4" s="74"/>
      <c r="M4" s="74"/>
    </row>
    <row r="5" spans="1:14" x14ac:dyDescent="0.25">
      <c r="A5" s="75"/>
      <c r="B5" s="76"/>
      <c r="C5" s="76"/>
      <c r="D5" s="76"/>
      <c r="E5" s="76"/>
      <c r="F5" s="76"/>
      <c r="H5" s="78"/>
      <c r="I5" s="78"/>
      <c r="J5" s="78"/>
      <c r="K5" s="78"/>
      <c r="L5" s="78"/>
      <c r="M5" s="78"/>
    </row>
    <row r="6" spans="1:14" s="65" customFormat="1" ht="20.100000000000001" customHeight="1" x14ac:dyDescent="0.3">
      <c r="A6" s="842" t="s">
        <v>102</v>
      </c>
      <c r="B6" s="842" t="s">
        <v>105</v>
      </c>
      <c r="C6" s="846" t="s">
        <v>106</v>
      </c>
      <c r="D6" s="846"/>
      <c r="E6" s="846"/>
      <c r="F6" s="846"/>
      <c r="G6" s="844" t="s">
        <v>107</v>
      </c>
      <c r="H6" s="842" t="s">
        <v>108</v>
      </c>
      <c r="I6" s="844" t="s">
        <v>109</v>
      </c>
      <c r="J6" s="844" t="s">
        <v>110</v>
      </c>
      <c r="K6" s="842" t="s">
        <v>111</v>
      </c>
      <c r="L6" s="842" t="s">
        <v>112</v>
      </c>
      <c r="M6" s="842" t="s">
        <v>113</v>
      </c>
    </row>
    <row r="7" spans="1:14" s="65" customFormat="1" ht="38.25" customHeight="1" x14ac:dyDescent="0.3">
      <c r="A7" s="842"/>
      <c r="B7" s="842"/>
      <c r="C7" s="66" t="s">
        <v>114</v>
      </c>
      <c r="D7" s="66" t="s">
        <v>89</v>
      </c>
      <c r="E7" s="66" t="s">
        <v>115</v>
      </c>
      <c r="F7" s="66" t="s">
        <v>89</v>
      </c>
      <c r="G7" s="845"/>
      <c r="H7" s="842"/>
      <c r="I7" s="845"/>
      <c r="J7" s="845"/>
      <c r="K7" s="842"/>
      <c r="L7" s="842"/>
      <c r="M7" s="842"/>
    </row>
    <row r="8" spans="1:14" s="65" customFormat="1" ht="20.100000000000001" customHeight="1" x14ac:dyDescent="0.3">
      <c r="A8" s="67">
        <v>1</v>
      </c>
      <c r="B8" s="63"/>
      <c r="C8" s="63"/>
      <c r="D8" s="68"/>
      <c r="E8" s="68"/>
      <c r="F8" s="68"/>
      <c r="G8" s="61"/>
      <c r="H8" s="64">
        <f t="shared" ref="H8:H30" si="0">G8*0.1/12</f>
        <v>0</v>
      </c>
      <c r="I8" s="64"/>
      <c r="J8" s="64">
        <f>H8*24</f>
        <v>0</v>
      </c>
      <c r="K8" s="64">
        <f t="shared" ref="K8:K30" si="1">I8+J8</f>
        <v>0</v>
      </c>
      <c r="L8" s="64">
        <f>H8*2</f>
        <v>0</v>
      </c>
      <c r="M8" s="64">
        <f t="shared" ref="M8:M30" si="2">G8-K8</f>
        <v>0</v>
      </c>
    </row>
    <row r="9" spans="1:14" s="65" customFormat="1" ht="20.100000000000001" customHeight="1" x14ac:dyDescent="0.3">
      <c r="A9" s="67">
        <v>2</v>
      </c>
      <c r="B9" s="63"/>
      <c r="C9" s="63"/>
      <c r="D9" s="68"/>
      <c r="E9" s="63"/>
      <c r="F9" s="68"/>
      <c r="G9" s="61"/>
      <c r="H9" s="64">
        <f t="shared" si="0"/>
        <v>0</v>
      </c>
      <c r="I9" s="64"/>
      <c r="J9" s="64">
        <f>H9*24</f>
        <v>0</v>
      </c>
      <c r="K9" s="64">
        <f t="shared" si="1"/>
        <v>0</v>
      </c>
      <c r="L9" s="64">
        <f>H9*2</f>
        <v>0</v>
      </c>
      <c r="M9" s="64">
        <f t="shared" si="2"/>
        <v>0</v>
      </c>
    </row>
    <row r="10" spans="1:14" s="65" customFormat="1" ht="20.100000000000001" customHeight="1" x14ac:dyDescent="0.3">
      <c r="A10" s="67">
        <v>3</v>
      </c>
      <c r="B10" s="63"/>
      <c r="C10" s="63"/>
      <c r="D10" s="68"/>
      <c r="E10" s="63"/>
      <c r="F10" s="68"/>
      <c r="G10" s="61"/>
      <c r="H10" s="64">
        <f t="shared" si="0"/>
        <v>0</v>
      </c>
      <c r="I10" s="64"/>
      <c r="J10" s="64">
        <f>H10*9</f>
        <v>0</v>
      </c>
      <c r="K10" s="64">
        <f t="shared" si="1"/>
        <v>0</v>
      </c>
      <c r="L10" s="64">
        <v>0</v>
      </c>
      <c r="M10" s="64">
        <f t="shared" si="2"/>
        <v>0</v>
      </c>
    </row>
    <row r="11" spans="1:14" s="65" customFormat="1" ht="20.100000000000001" customHeight="1" x14ac:dyDescent="0.3">
      <c r="A11" s="67">
        <v>4</v>
      </c>
      <c r="B11" s="63"/>
      <c r="C11" s="63"/>
      <c r="D11" s="68"/>
      <c r="E11" s="63"/>
      <c r="F11" s="68"/>
      <c r="G11" s="61"/>
      <c r="H11" s="64">
        <f t="shared" si="0"/>
        <v>0</v>
      </c>
      <c r="I11" s="64"/>
      <c r="J11" s="64">
        <f>H11*9</f>
        <v>0</v>
      </c>
      <c r="K11" s="64">
        <f t="shared" si="1"/>
        <v>0</v>
      </c>
      <c r="L11" s="64">
        <v>0</v>
      </c>
      <c r="M11" s="64">
        <f t="shared" si="2"/>
        <v>0</v>
      </c>
      <c r="N11" s="97"/>
    </row>
    <row r="12" spans="1:14" s="65" customFormat="1" ht="20.100000000000001" customHeight="1" x14ac:dyDescent="0.3">
      <c r="A12" s="67">
        <v>5</v>
      </c>
      <c r="B12" s="63"/>
      <c r="C12" s="63"/>
      <c r="D12" s="68"/>
      <c r="E12" s="63"/>
      <c r="F12" s="68"/>
      <c r="G12" s="61"/>
      <c r="H12" s="64">
        <f t="shared" si="0"/>
        <v>0</v>
      </c>
      <c r="I12" s="64"/>
      <c r="J12" s="64">
        <f>H12*19</f>
        <v>0</v>
      </c>
      <c r="K12" s="64">
        <f t="shared" si="1"/>
        <v>0</v>
      </c>
      <c r="L12" s="64">
        <v>0</v>
      </c>
      <c r="M12" s="64">
        <f t="shared" si="2"/>
        <v>0</v>
      </c>
      <c r="N12" s="91"/>
    </row>
    <row r="13" spans="1:14" s="65" customFormat="1" ht="20.100000000000001" customHeight="1" x14ac:dyDescent="0.3">
      <c r="A13" s="67">
        <v>6</v>
      </c>
      <c r="B13" s="63"/>
      <c r="C13" s="63"/>
      <c r="D13" s="68"/>
      <c r="E13" s="63"/>
      <c r="F13" s="68"/>
      <c r="G13" s="61"/>
      <c r="H13" s="64">
        <f t="shared" si="0"/>
        <v>0</v>
      </c>
      <c r="I13" s="64"/>
      <c r="J13" s="64">
        <f>H13*24</f>
        <v>0</v>
      </c>
      <c r="K13" s="64">
        <f t="shared" si="1"/>
        <v>0</v>
      </c>
      <c r="L13" s="64">
        <f>H13*2</f>
        <v>0</v>
      </c>
      <c r="M13" s="64">
        <f t="shared" si="2"/>
        <v>0</v>
      </c>
    </row>
    <row r="14" spans="1:14" s="65" customFormat="1" ht="20.100000000000001" customHeight="1" x14ac:dyDescent="0.3">
      <c r="A14" s="67">
        <v>7</v>
      </c>
      <c r="B14" s="63"/>
      <c r="C14" s="63"/>
      <c r="D14" s="68"/>
      <c r="E14" s="63"/>
      <c r="F14" s="68"/>
      <c r="G14" s="61"/>
      <c r="H14" s="64">
        <f t="shared" si="0"/>
        <v>0</v>
      </c>
      <c r="I14" s="64"/>
      <c r="J14" s="64">
        <f>H14*22</f>
        <v>0</v>
      </c>
      <c r="K14" s="64">
        <f t="shared" si="1"/>
        <v>0</v>
      </c>
      <c r="L14" s="64">
        <v>0</v>
      </c>
      <c r="M14" s="64">
        <f t="shared" si="2"/>
        <v>0</v>
      </c>
      <c r="N14" s="91"/>
    </row>
    <row r="15" spans="1:14" s="65" customFormat="1" ht="20.100000000000001" customHeight="1" x14ac:dyDescent="0.3">
      <c r="A15" s="67">
        <v>8</v>
      </c>
      <c r="B15" s="63"/>
      <c r="C15" s="63"/>
      <c r="D15" s="68"/>
      <c r="E15" s="63"/>
      <c r="F15" s="68"/>
      <c r="G15" s="61"/>
      <c r="H15" s="64">
        <f t="shared" si="0"/>
        <v>0</v>
      </c>
      <c r="I15" s="64"/>
      <c r="J15" s="64">
        <f>H15*4</f>
        <v>0</v>
      </c>
      <c r="K15" s="64">
        <f t="shared" si="1"/>
        <v>0</v>
      </c>
      <c r="L15" s="64">
        <v>0</v>
      </c>
      <c r="M15" s="64">
        <f t="shared" si="2"/>
        <v>0</v>
      </c>
      <c r="N15" s="98"/>
    </row>
    <row r="16" spans="1:14" s="65" customFormat="1" ht="20.100000000000001" customHeight="1" x14ac:dyDescent="0.3">
      <c r="A16" s="67">
        <v>9</v>
      </c>
      <c r="B16" s="63"/>
      <c r="C16" s="63"/>
      <c r="D16" s="68"/>
      <c r="E16" s="63"/>
      <c r="F16" s="68"/>
      <c r="G16" s="61"/>
      <c r="H16" s="64">
        <f t="shared" si="0"/>
        <v>0</v>
      </c>
      <c r="I16" s="64"/>
      <c r="J16" s="64">
        <f>H16*24</f>
        <v>0</v>
      </c>
      <c r="K16" s="64">
        <f t="shared" si="1"/>
        <v>0</v>
      </c>
      <c r="L16" s="64">
        <f>H16*2</f>
        <v>0</v>
      </c>
      <c r="M16" s="64">
        <f t="shared" si="2"/>
        <v>0</v>
      </c>
    </row>
    <row r="17" spans="1:14" s="65" customFormat="1" ht="20.100000000000001" customHeight="1" x14ac:dyDescent="0.3">
      <c r="A17" s="67">
        <v>10</v>
      </c>
      <c r="B17" s="63"/>
      <c r="C17" s="63"/>
      <c r="D17" s="68"/>
      <c r="E17" s="63"/>
      <c r="F17" s="68"/>
      <c r="G17" s="61"/>
      <c r="H17" s="64">
        <f t="shared" si="0"/>
        <v>0</v>
      </c>
      <c r="I17" s="64"/>
      <c r="J17" s="64">
        <f>H17*24</f>
        <v>0</v>
      </c>
      <c r="K17" s="64">
        <f t="shared" si="1"/>
        <v>0</v>
      </c>
      <c r="L17" s="64">
        <f>H17*2</f>
        <v>0</v>
      </c>
      <c r="M17" s="64">
        <f t="shared" si="2"/>
        <v>0</v>
      </c>
    </row>
    <row r="18" spans="1:14" s="65" customFormat="1" ht="20.100000000000001" customHeight="1" x14ac:dyDescent="0.3">
      <c r="A18" s="67">
        <v>11</v>
      </c>
      <c r="B18" s="63"/>
      <c r="C18" s="63"/>
      <c r="D18" s="68"/>
      <c r="E18" s="63"/>
      <c r="F18" s="68"/>
      <c r="G18" s="61"/>
      <c r="H18" s="64">
        <f t="shared" si="0"/>
        <v>0</v>
      </c>
      <c r="I18" s="64"/>
      <c r="J18" s="64">
        <f>H18*4</f>
        <v>0</v>
      </c>
      <c r="K18" s="64">
        <f t="shared" si="1"/>
        <v>0</v>
      </c>
      <c r="L18" s="64">
        <v>0</v>
      </c>
      <c r="M18" s="64">
        <f t="shared" si="2"/>
        <v>0</v>
      </c>
    </row>
    <row r="19" spans="1:14" s="65" customFormat="1" ht="20.100000000000001" customHeight="1" x14ac:dyDescent="0.3">
      <c r="A19" s="67">
        <v>12</v>
      </c>
      <c r="B19" s="63"/>
      <c r="C19" s="63"/>
      <c r="D19" s="68"/>
      <c r="E19" s="63"/>
      <c r="F19" s="68"/>
      <c r="G19" s="61"/>
      <c r="H19" s="64">
        <f t="shared" si="0"/>
        <v>0</v>
      </c>
      <c r="I19" s="64"/>
      <c r="J19" s="64">
        <f>H19*24</f>
        <v>0</v>
      </c>
      <c r="K19" s="64">
        <f t="shared" si="1"/>
        <v>0</v>
      </c>
      <c r="L19" s="64">
        <f>H19*2</f>
        <v>0</v>
      </c>
      <c r="M19" s="64">
        <f t="shared" si="2"/>
        <v>0</v>
      </c>
    </row>
    <row r="20" spans="1:14" s="65" customFormat="1" ht="20.100000000000001" customHeight="1" x14ac:dyDescent="0.3">
      <c r="A20" s="67">
        <v>13</v>
      </c>
      <c r="B20" s="63"/>
      <c r="C20" s="63"/>
      <c r="D20" s="68"/>
      <c r="E20" s="63"/>
      <c r="F20" s="68"/>
      <c r="G20" s="61"/>
      <c r="H20" s="64">
        <f t="shared" si="0"/>
        <v>0</v>
      </c>
      <c r="I20" s="64"/>
      <c r="J20" s="64">
        <f>H20*9</f>
        <v>0</v>
      </c>
      <c r="K20" s="64">
        <f t="shared" si="1"/>
        <v>0</v>
      </c>
      <c r="L20" s="64">
        <v>0</v>
      </c>
      <c r="M20" s="64">
        <f t="shared" si="2"/>
        <v>0</v>
      </c>
    </row>
    <row r="21" spans="1:14" s="117" customFormat="1" ht="20.100000000000001" customHeight="1" x14ac:dyDescent="0.3">
      <c r="A21" s="111">
        <v>14</v>
      </c>
      <c r="B21" s="112"/>
      <c r="C21" s="112"/>
      <c r="D21" s="113"/>
      <c r="E21" s="112"/>
      <c r="F21" s="113"/>
      <c r="G21" s="114"/>
      <c r="H21" s="115">
        <f t="shared" si="0"/>
        <v>0</v>
      </c>
      <c r="I21" s="115"/>
      <c r="J21" s="115">
        <f>H21*24</f>
        <v>0</v>
      </c>
      <c r="K21" s="115">
        <f t="shared" si="1"/>
        <v>0</v>
      </c>
      <c r="L21" s="115">
        <f>H21*2</f>
        <v>0</v>
      </c>
      <c r="M21" s="115">
        <f t="shared" si="2"/>
        <v>0</v>
      </c>
      <c r="N21" s="116"/>
    </row>
    <row r="22" spans="1:14" s="65" customFormat="1" ht="20.100000000000001" customHeight="1" x14ac:dyDescent="0.3">
      <c r="A22" s="67">
        <v>15</v>
      </c>
      <c r="B22" s="63"/>
      <c r="C22" s="63"/>
      <c r="D22" s="68"/>
      <c r="E22" s="63"/>
      <c r="F22" s="68"/>
      <c r="G22" s="61"/>
      <c r="H22" s="64">
        <f t="shared" si="0"/>
        <v>0</v>
      </c>
      <c r="I22" s="64"/>
      <c r="J22" s="64">
        <f>H22*4</f>
        <v>0</v>
      </c>
      <c r="K22" s="64">
        <f t="shared" si="1"/>
        <v>0</v>
      </c>
      <c r="L22" s="64">
        <v>0</v>
      </c>
      <c r="M22" s="64">
        <f t="shared" si="2"/>
        <v>0</v>
      </c>
    </row>
    <row r="23" spans="1:14" s="65" customFormat="1" ht="20.100000000000001" customHeight="1" x14ac:dyDescent="0.3">
      <c r="A23" s="67">
        <v>16</v>
      </c>
      <c r="B23" s="63"/>
      <c r="C23" s="63"/>
      <c r="D23" s="68"/>
      <c r="E23" s="63"/>
      <c r="F23" s="68"/>
      <c r="G23" s="61"/>
      <c r="H23" s="64">
        <f t="shared" si="0"/>
        <v>0</v>
      </c>
      <c r="I23" s="64"/>
      <c r="J23" s="64">
        <f>H23*24</f>
        <v>0</v>
      </c>
      <c r="K23" s="64">
        <f t="shared" si="1"/>
        <v>0</v>
      </c>
      <c r="L23" s="64">
        <f>H23*2</f>
        <v>0</v>
      </c>
      <c r="M23" s="64">
        <f t="shared" si="2"/>
        <v>0</v>
      </c>
    </row>
    <row r="24" spans="1:14" s="65" customFormat="1" ht="20.100000000000001" customHeight="1" x14ac:dyDescent="0.3">
      <c r="A24" s="67">
        <v>17</v>
      </c>
      <c r="B24" s="63"/>
      <c r="C24" s="63"/>
      <c r="D24" s="68"/>
      <c r="E24" s="63"/>
      <c r="F24" s="68"/>
      <c r="G24" s="61"/>
      <c r="H24" s="64">
        <f t="shared" si="0"/>
        <v>0</v>
      </c>
      <c r="I24" s="64"/>
      <c r="J24" s="64">
        <f>H24*8</f>
        <v>0</v>
      </c>
      <c r="K24" s="64">
        <f t="shared" si="1"/>
        <v>0</v>
      </c>
      <c r="L24" s="64">
        <v>0</v>
      </c>
      <c r="M24" s="64">
        <f t="shared" si="2"/>
        <v>0</v>
      </c>
    </row>
    <row r="25" spans="1:14" s="65" customFormat="1" ht="20.100000000000001" customHeight="1" x14ac:dyDescent="0.3">
      <c r="A25" s="67">
        <v>18</v>
      </c>
      <c r="B25" s="63"/>
      <c r="C25" s="63"/>
      <c r="D25" s="68"/>
      <c r="E25" s="63"/>
      <c r="F25" s="68"/>
      <c r="G25" s="61"/>
      <c r="H25" s="64">
        <f t="shared" si="0"/>
        <v>0</v>
      </c>
      <c r="I25" s="64"/>
      <c r="J25" s="64">
        <f>H25*4</f>
        <v>0</v>
      </c>
      <c r="K25" s="64">
        <f t="shared" si="1"/>
        <v>0</v>
      </c>
      <c r="L25" s="64">
        <v>0</v>
      </c>
      <c r="M25" s="64">
        <f t="shared" si="2"/>
        <v>0</v>
      </c>
      <c r="N25" s="91"/>
    </row>
    <row r="26" spans="1:14" s="65" customFormat="1" ht="20.100000000000001" customHeight="1" x14ac:dyDescent="0.3">
      <c r="A26" s="67">
        <v>19</v>
      </c>
      <c r="B26" s="63"/>
      <c r="C26" s="63"/>
      <c r="D26" s="68"/>
      <c r="E26" s="63"/>
      <c r="F26" s="68"/>
      <c r="G26" s="61"/>
      <c r="H26" s="64">
        <f t="shared" si="0"/>
        <v>0</v>
      </c>
      <c r="I26" s="64"/>
      <c r="J26" s="64">
        <f>H26*18</f>
        <v>0</v>
      </c>
      <c r="K26" s="64">
        <f t="shared" si="1"/>
        <v>0</v>
      </c>
      <c r="L26" s="64">
        <v>0</v>
      </c>
      <c r="M26" s="64">
        <f t="shared" si="2"/>
        <v>0</v>
      </c>
      <c r="N26" s="91"/>
    </row>
    <row r="27" spans="1:14" s="65" customFormat="1" ht="20.100000000000001" customHeight="1" x14ac:dyDescent="0.3">
      <c r="A27" s="67">
        <v>20</v>
      </c>
      <c r="B27" s="63"/>
      <c r="C27" s="63"/>
      <c r="D27" s="68"/>
      <c r="E27" s="63"/>
      <c r="F27" s="68"/>
      <c r="G27" s="61"/>
      <c r="H27" s="64">
        <f t="shared" si="0"/>
        <v>0</v>
      </c>
      <c r="I27" s="64"/>
      <c r="J27" s="64">
        <f>H27*24</f>
        <v>0</v>
      </c>
      <c r="K27" s="64">
        <f t="shared" si="1"/>
        <v>0</v>
      </c>
      <c r="L27" s="64">
        <f>H27*2</f>
        <v>0</v>
      </c>
      <c r="M27" s="64">
        <f t="shared" si="2"/>
        <v>0</v>
      </c>
      <c r="N27" s="91"/>
    </row>
    <row r="28" spans="1:14" s="65" customFormat="1" ht="20.100000000000001" customHeight="1" x14ac:dyDescent="0.3">
      <c r="A28" s="67">
        <v>21</v>
      </c>
      <c r="B28" s="63"/>
      <c r="C28" s="63"/>
      <c r="D28" s="68"/>
      <c r="E28" s="63"/>
      <c r="F28" s="68"/>
      <c r="G28" s="61"/>
      <c r="H28" s="64">
        <f t="shared" si="0"/>
        <v>0</v>
      </c>
      <c r="I28" s="64"/>
      <c r="J28" s="64">
        <f>H28*14</f>
        <v>0</v>
      </c>
      <c r="K28" s="64">
        <f t="shared" si="1"/>
        <v>0</v>
      </c>
      <c r="L28" s="64">
        <v>0</v>
      </c>
      <c r="M28" s="64">
        <f t="shared" si="2"/>
        <v>0</v>
      </c>
      <c r="N28" s="99"/>
    </row>
    <row r="29" spans="1:14" s="65" customFormat="1" ht="20.100000000000001" customHeight="1" x14ac:dyDescent="0.3">
      <c r="A29" s="67">
        <v>22</v>
      </c>
      <c r="B29" s="63"/>
      <c r="C29" s="63"/>
      <c r="D29" s="68"/>
      <c r="E29" s="63"/>
      <c r="F29" s="68"/>
      <c r="G29" s="61"/>
      <c r="H29" s="64">
        <f t="shared" si="0"/>
        <v>0</v>
      </c>
      <c r="I29" s="64"/>
      <c r="J29" s="64">
        <f>H29*10</f>
        <v>0</v>
      </c>
      <c r="K29" s="64">
        <f t="shared" si="1"/>
        <v>0</v>
      </c>
      <c r="L29" s="64">
        <v>0</v>
      </c>
      <c r="M29" s="64">
        <f t="shared" si="2"/>
        <v>0</v>
      </c>
    </row>
    <row r="30" spans="1:14" s="65" customFormat="1" ht="20.100000000000001" customHeight="1" x14ac:dyDescent="0.3">
      <c r="A30" s="67">
        <v>23</v>
      </c>
      <c r="B30" s="63"/>
      <c r="C30" s="63"/>
      <c r="D30" s="68"/>
      <c r="E30" s="63"/>
      <c r="F30" s="68"/>
      <c r="G30" s="61"/>
      <c r="H30" s="64">
        <f t="shared" si="0"/>
        <v>0</v>
      </c>
      <c r="I30" s="64"/>
      <c r="J30" s="64">
        <f>H30*9</f>
        <v>0</v>
      </c>
      <c r="K30" s="64">
        <f t="shared" si="1"/>
        <v>0</v>
      </c>
      <c r="L30" s="64">
        <v>0</v>
      </c>
      <c r="M30" s="64">
        <f t="shared" si="2"/>
        <v>0</v>
      </c>
    </row>
    <row r="31" spans="1:14" s="65" customFormat="1" ht="20.100000000000001" customHeight="1" x14ac:dyDescent="0.3">
      <c r="A31" s="67"/>
      <c r="B31" s="63"/>
      <c r="C31" s="63"/>
      <c r="D31" s="63"/>
      <c r="E31" s="63"/>
      <c r="F31" s="63"/>
      <c r="G31" s="69">
        <f t="shared" ref="G31:L31" si="3">SUM(G8:G30)</f>
        <v>0</v>
      </c>
      <c r="H31" s="70">
        <f t="shared" si="3"/>
        <v>0</v>
      </c>
      <c r="I31" s="70">
        <f t="shared" si="3"/>
        <v>0</v>
      </c>
      <c r="J31" s="70">
        <f t="shared" si="3"/>
        <v>0</v>
      </c>
      <c r="K31" s="70">
        <f t="shared" si="3"/>
        <v>0</v>
      </c>
      <c r="L31" s="70">
        <f t="shared" si="3"/>
        <v>0</v>
      </c>
      <c r="M31" s="70">
        <f>SUM(M10:M30)</f>
        <v>0</v>
      </c>
    </row>
    <row r="33" spans="1:13" x14ac:dyDescent="0.25">
      <c r="J33" s="59"/>
      <c r="K33" s="100"/>
      <c r="L33" s="80"/>
      <c r="M33" s="80"/>
    </row>
    <row r="34" spans="1:13" x14ac:dyDescent="0.25">
      <c r="J34" s="59"/>
      <c r="M34" s="59"/>
    </row>
    <row r="35" spans="1:13" s="72" customFormat="1" ht="17.25" customHeight="1" x14ac:dyDescent="0.3">
      <c r="A35" s="73" t="s">
        <v>79</v>
      </c>
      <c r="B35" s="81" t="s">
        <v>116</v>
      </c>
      <c r="J35" s="101"/>
      <c r="M35" s="102"/>
    </row>
    <row r="36" spans="1:13" ht="17.25" customHeight="1" x14ac:dyDescent="0.25">
      <c r="A36" s="75"/>
      <c r="B36" s="82"/>
      <c r="M36" s="59"/>
    </row>
    <row r="37" spans="1:13" x14ac:dyDescent="0.25">
      <c r="A37" s="842" t="s">
        <v>102</v>
      </c>
      <c r="B37" s="842" t="s">
        <v>105</v>
      </c>
      <c r="C37" s="842" t="s">
        <v>117</v>
      </c>
      <c r="D37" s="842" t="s">
        <v>89</v>
      </c>
      <c r="E37" s="847" t="s">
        <v>118</v>
      </c>
      <c r="F37" s="847"/>
      <c r="G37" s="842" t="s">
        <v>107</v>
      </c>
      <c r="H37" s="842" t="s">
        <v>108</v>
      </c>
      <c r="I37" s="842" t="s">
        <v>111</v>
      </c>
      <c r="J37" s="842" t="s">
        <v>112</v>
      </c>
      <c r="K37" s="842" t="s">
        <v>120</v>
      </c>
      <c r="M37" s="83"/>
    </row>
    <row r="38" spans="1:13" ht="27.75" customHeight="1" x14ac:dyDescent="0.25">
      <c r="A38" s="842"/>
      <c r="B38" s="842"/>
      <c r="C38" s="842"/>
      <c r="D38" s="842"/>
      <c r="E38" s="84" t="s">
        <v>119</v>
      </c>
      <c r="F38" s="84" t="s">
        <v>89</v>
      </c>
      <c r="G38" s="842"/>
      <c r="H38" s="842"/>
      <c r="I38" s="842"/>
      <c r="J38" s="842"/>
      <c r="K38" s="842"/>
      <c r="M38" s="83"/>
    </row>
    <row r="39" spans="1:13" x14ac:dyDescent="0.25">
      <c r="A39" s="85">
        <v>13</v>
      </c>
      <c r="B39" s="86"/>
      <c r="C39" s="86"/>
      <c r="D39" s="87"/>
      <c r="E39" s="86"/>
      <c r="F39" s="86"/>
      <c r="G39" s="60"/>
      <c r="H39" s="88">
        <f>G39*0.1/12</f>
        <v>0</v>
      </c>
      <c r="I39" s="88">
        <f>H39*64</f>
        <v>0</v>
      </c>
      <c r="J39" s="88">
        <f>H39*9</f>
        <v>0</v>
      </c>
      <c r="K39" s="88">
        <f>G39-I39</f>
        <v>0</v>
      </c>
      <c r="M39" s="80"/>
    </row>
    <row r="40" spans="1:13" x14ac:dyDescent="0.25">
      <c r="A40" s="85"/>
      <c r="B40" s="86"/>
      <c r="C40" s="86"/>
      <c r="D40" s="86"/>
      <c r="E40" s="86"/>
      <c r="F40" s="86"/>
      <c r="G40" s="62">
        <f>SUM(G39:G39)</f>
        <v>0</v>
      </c>
      <c r="H40" s="89">
        <f>SUM(H39:H39)</f>
        <v>0</v>
      </c>
      <c r="I40" s="89">
        <f>SUM(I39:I39)</f>
        <v>0</v>
      </c>
      <c r="J40" s="89">
        <f>SUM(J39:J39)</f>
        <v>0</v>
      </c>
      <c r="K40" s="89">
        <f>SUM(K39:K39)</f>
        <v>0</v>
      </c>
      <c r="M40" s="90"/>
    </row>
    <row r="42" spans="1:13" s="65" customFormat="1" ht="20.100000000000001" customHeight="1" x14ac:dyDescent="0.3">
      <c r="A42" s="92"/>
    </row>
    <row r="43" spans="1:13" s="65" customFormat="1" ht="20.100000000000001" customHeight="1" x14ac:dyDescent="0.3">
      <c r="A43" s="92"/>
    </row>
    <row r="44" spans="1:13" s="65" customFormat="1" ht="20.100000000000001" customHeight="1" x14ac:dyDescent="0.3">
      <c r="A44" s="92"/>
    </row>
  </sheetData>
  <mergeCells count="24">
    <mergeCell ref="K37:K38"/>
    <mergeCell ref="A37:A38"/>
    <mergeCell ref="I37:I38"/>
    <mergeCell ref="J37:J38"/>
    <mergeCell ref="G37:G38"/>
    <mergeCell ref="B37:B38"/>
    <mergeCell ref="C37:C38"/>
    <mergeCell ref="D37:D38"/>
    <mergeCell ref="H37:H38"/>
    <mergeCell ref="E37:F37"/>
    <mergeCell ref="M6:M7"/>
    <mergeCell ref="A1:M1"/>
    <mergeCell ref="A2:M2"/>
    <mergeCell ref="A3:M3"/>
    <mergeCell ref="B4:F4"/>
    <mergeCell ref="L6:L7"/>
    <mergeCell ref="A6:A7"/>
    <mergeCell ref="B6:B7"/>
    <mergeCell ref="I6:I7"/>
    <mergeCell ref="J6:J7"/>
    <mergeCell ref="K6:K7"/>
    <mergeCell ref="C6:F6"/>
    <mergeCell ref="G6:G7"/>
    <mergeCell ref="H6:H7"/>
  </mergeCells>
  <phoneticPr fontId="18" type="noConversion"/>
  <printOptions horizontalCentered="1"/>
  <pageMargins left="0.42" right="0.15" top="0.3" bottom="0.28999999999999998" header="0.21" footer="0.22"/>
  <pageSetup paperSize="9"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9"/>
  <sheetViews>
    <sheetView tabSelected="1" view="pageBreakPreview" zoomScale="80" zoomScaleNormal="60" zoomScaleSheetLayoutView="80" workbookViewId="0">
      <selection activeCell="N15" sqref="N15"/>
    </sheetView>
  </sheetViews>
  <sheetFormatPr defaultColWidth="9.109375" defaultRowHeight="14.4" x14ac:dyDescent="0.3"/>
  <cols>
    <col min="1" max="1" width="7" style="377" customWidth="1"/>
    <col min="2" max="2" width="5.109375" style="314" customWidth="1"/>
    <col min="3" max="3" width="31.88671875" style="314" customWidth="1"/>
    <col min="4" max="4" width="18.88671875" style="314" customWidth="1"/>
    <col min="5" max="5" width="22.44140625" style="314" customWidth="1"/>
    <col min="6" max="6" width="24.6640625" style="314" customWidth="1"/>
    <col min="7" max="7" width="20.6640625" style="314" customWidth="1"/>
    <col min="8" max="8" width="24.109375" style="314" customWidth="1"/>
    <col min="9" max="9" width="22.44140625" style="314" hidden="1" customWidth="1"/>
    <col min="10" max="10" width="20" style="314" hidden="1" customWidth="1"/>
    <col min="11" max="11" width="17" style="314" hidden="1" customWidth="1"/>
    <col min="12" max="12" width="15.88671875" style="314" hidden="1" customWidth="1"/>
    <col min="13" max="13" width="14.6640625" style="314" hidden="1" customWidth="1"/>
    <col min="14" max="14" width="18.21875" style="314" bestFit="1" customWidth="1"/>
    <col min="15" max="16384" width="9.109375" style="314"/>
  </cols>
  <sheetData>
    <row r="1" spans="1:14" s="313" customFormat="1" ht="17.25" customHeight="1" x14ac:dyDescent="0.25">
      <c r="A1" s="722" t="s">
        <v>4</v>
      </c>
      <c r="B1" s="722"/>
      <c r="C1" s="722"/>
      <c r="D1" s="722"/>
      <c r="E1" s="722"/>
      <c r="F1" s="722"/>
      <c r="G1" s="722"/>
      <c r="H1" s="722"/>
      <c r="I1" s="378"/>
      <c r="J1" s="379"/>
      <c r="K1" s="379"/>
      <c r="L1" s="379"/>
      <c r="M1" s="379"/>
    </row>
    <row r="2" spans="1:14" s="313" customFormat="1" ht="21.75" customHeight="1" x14ac:dyDescent="0.25">
      <c r="A2" s="723" t="s">
        <v>589</v>
      </c>
      <c r="B2" s="723"/>
      <c r="C2" s="723"/>
      <c r="D2" s="723"/>
      <c r="E2" s="723"/>
      <c r="F2" s="723"/>
      <c r="G2" s="723"/>
      <c r="H2" s="723"/>
      <c r="I2" s="380"/>
      <c r="J2" s="380"/>
      <c r="K2" s="379"/>
      <c r="L2" s="379"/>
      <c r="M2" s="379"/>
    </row>
    <row r="3" spans="1:14" s="313" customFormat="1" ht="21.75" customHeight="1" x14ac:dyDescent="0.25">
      <c r="A3" s="723" t="s">
        <v>553</v>
      </c>
      <c r="B3" s="723"/>
      <c r="C3" s="723"/>
      <c r="D3" s="723"/>
      <c r="E3" s="723"/>
      <c r="F3" s="723"/>
      <c r="G3" s="723"/>
      <c r="H3" s="723"/>
      <c r="I3" s="380"/>
      <c r="J3" s="380"/>
      <c r="K3" s="379"/>
      <c r="L3" s="379"/>
      <c r="M3" s="379"/>
    </row>
    <row r="4" spans="1:14" s="313" customFormat="1" ht="21.75" customHeight="1" x14ac:dyDescent="0.25">
      <c r="A4" s="440">
        <v>1</v>
      </c>
      <c r="B4" s="717" t="s">
        <v>2</v>
      </c>
      <c r="C4" s="717"/>
      <c r="D4" s="379"/>
      <c r="E4" s="379"/>
      <c r="F4" s="379"/>
      <c r="G4" s="379"/>
      <c r="H4" s="379"/>
      <c r="I4" s="379"/>
      <c r="J4" s="379"/>
      <c r="K4" s="379"/>
      <c r="L4" s="379"/>
      <c r="M4" s="379"/>
    </row>
    <row r="5" spans="1:14" s="313" customFormat="1" ht="21.75" customHeight="1" x14ac:dyDescent="0.25">
      <c r="A5" s="440"/>
      <c r="B5" s="378" t="s">
        <v>492</v>
      </c>
      <c r="C5" s="378" t="s">
        <v>493</v>
      </c>
      <c r="D5" s="378"/>
      <c r="E5" s="378"/>
      <c r="F5" s="439"/>
      <c r="G5" s="378"/>
      <c r="H5" s="630">
        <v>44837</v>
      </c>
      <c r="I5" s="379"/>
      <c r="J5" s="379"/>
      <c r="K5" s="379"/>
      <c r="L5" s="379"/>
      <c r="M5" s="379"/>
    </row>
    <row r="6" spans="1:14" s="313" customFormat="1" ht="21.75" customHeight="1" x14ac:dyDescent="0.25">
      <c r="A6" s="440"/>
      <c r="B6" s="378" t="s">
        <v>79</v>
      </c>
      <c r="C6" s="439" t="s">
        <v>494</v>
      </c>
      <c r="D6" s="378"/>
      <c r="E6" s="378"/>
      <c r="F6" s="378"/>
      <c r="G6" s="378"/>
      <c r="H6" s="630">
        <v>45385</v>
      </c>
      <c r="I6" s="379"/>
      <c r="J6" s="379"/>
      <c r="K6" s="379"/>
      <c r="L6" s="379"/>
      <c r="M6" s="379"/>
    </row>
    <row r="7" spans="1:14" s="313" customFormat="1" ht="21.75" customHeight="1" x14ac:dyDescent="0.25">
      <c r="A7" s="440"/>
      <c r="B7" s="378" t="s">
        <v>579</v>
      </c>
      <c r="C7" s="439" t="s">
        <v>580</v>
      </c>
      <c r="D7" s="378"/>
      <c r="E7" s="378"/>
      <c r="F7" s="378"/>
      <c r="G7" s="378"/>
      <c r="H7" s="630">
        <v>45641</v>
      </c>
      <c r="I7" s="379"/>
      <c r="J7" s="379"/>
      <c r="K7" s="379"/>
      <c r="L7" s="379"/>
      <c r="M7" s="379"/>
    </row>
    <row r="8" spans="1:14" s="313" customFormat="1" ht="21.75" customHeight="1" x14ac:dyDescent="0.25">
      <c r="A8" s="440">
        <v>2</v>
      </c>
      <c r="B8" s="439" t="s">
        <v>499</v>
      </c>
      <c r="C8" s="439"/>
      <c r="E8" s="378"/>
      <c r="F8" s="439"/>
      <c r="G8" s="378"/>
      <c r="H8" s="381"/>
      <c r="I8" s="379"/>
      <c r="J8" s="379"/>
      <c r="K8" s="379"/>
      <c r="L8" s="379"/>
      <c r="M8" s="379"/>
    </row>
    <row r="9" spans="1:14" s="313" customFormat="1" ht="21.75" customHeight="1" x14ac:dyDescent="0.25">
      <c r="A9" s="383"/>
      <c r="B9" s="439" t="s">
        <v>78</v>
      </c>
      <c r="C9" s="439" t="s">
        <v>552</v>
      </c>
      <c r="D9" s="439"/>
      <c r="E9" s="378"/>
      <c r="F9" s="439"/>
      <c r="G9" s="378"/>
      <c r="H9" s="382"/>
      <c r="I9" s="379"/>
      <c r="J9" s="379"/>
      <c r="K9" s="379"/>
      <c r="L9" s="379"/>
      <c r="M9" s="379"/>
    </row>
    <row r="10" spans="1:14" s="313" customFormat="1" ht="21.75" customHeight="1" x14ac:dyDescent="0.25">
      <c r="A10" s="440">
        <v>3</v>
      </c>
      <c r="B10" s="717" t="s">
        <v>551</v>
      </c>
      <c r="C10" s="717"/>
      <c r="D10" s="378"/>
      <c r="E10" s="378"/>
      <c r="F10" s="378"/>
      <c r="G10" s="722" t="s">
        <v>518</v>
      </c>
      <c r="H10" s="722"/>
      <c r="I10" s="379"/>
      <c r="J10" s="379"/>
      <c r="K10" s="379"/>
      <c r="L10" s="379"/>
      <c r="M10" s="379"/>
    </row>
    <row r="11" spans="1:14" s="313" customFormat="1" ht="21.75" customHeight="1" x14ac:dyDescent="0.25">
      <c r="A11" s="440">
        <v>4</v>
      </c>
      <c r="B11" s="717" t="s">
        <v>0</v>
      </c>
      <c r="C11" s="717"/>
      <c r="D11" s="378"/>
      <c r="E11" s="378"/>
      <c r="F11" s="378"/>
      <c r="G11" s="378"/>
      <c r="H11" s="378"/>
      <c r="I11" s="379"/>
      <c r="J11" s="379"/>
      <c r="K11" s="379"/>
      <c r="L11" s="379"/>
      <c r="M11" s="379"/>
    </row>
    <row r="12" spans="1:14" s="313" customFormat="1" ht="21.75" customHeight="1" x14ac:dyDescent="0.25">
      <c r="A12" s="383"/>
      <c r="B12" s="378" t="s">
        <v>49</v>
      </c>
      <c r="C12" s="378"/>
      <c r="D12" s="378"/>
      <c r="E12" s="720" t="s">
        <v>3</v>
      </c>
      <c r="F12" s="720"/>
      <c r="G12" s="720"/>
      <c r="H12" s="441" t="s">
        <v>500</v>
      </c>
      <c r="I12" s="379"/>
      <c r="J12" s="379"/>
      <c r="K12" s="379"/>
      <c r="L12" s="379"/>
      <c r="M12" s="379"/>
    </row>
    <row r="13" spans="1:14" s="313" customFormat="1" ht="21.75" customHeight="1" x14ac:dyDescent="0.25">
      <c r="A13" s="383"/>
      <c r="B13" s="378"/>
      <c r="C13" s="719" t="s">
        <v>574</v>
      </c>
      <c r="D13" s="719"/>
      <c r="E13" s="378"/>
      <c r="F13" s="443"/>
      <c r="G13" s="444"/>
      <c r="H13" s="461">
        <v>0.183</v>
      </c>
      <c r="I13" s="385"/>
      <c r="J13" s="386"/>
      <c r="K13" s="379"/>
      <c r="L13" s="379"/>
      <c r="M13" s="379"/>
    </row>
    <row r="14" spans="1:14" s="313" customFormat="1" ht="21.75" customHeight="1" x14ac:dyDescent="0.25">
      <c r="A14" s="440">
        <v>5</v>
      </c>
      <c r="B14" s="717" t="s">
        <v>1</v>
      </c>
      <c r="C14" s="717"/>
      <c r="D14" s="378"/>
      <c r="E14" s="378"/>
      <c r="F14" s="388"/>
      <c r="G14" s="426"/>
      <c r="H14" s="441" t="s">
        <v>3</v>
      </c>
      <c r="I14" s="379"/>
      <c r="J14" s="379"/>
      <c r="K14" s="379"/>
      <c r="L14" s="379"/>
      <c r="M14" s="379"/>
    </row>
    <row r="15" spans="1:14" s="313" customFormat="1" ht="21.75" customHeight="1" x14ac:dyDescent="0.25">
      <c r="A15" s="383"/>
      <c r="B15" s="378" t="s">
        <v>492</v>
      </c>
      <c r="C15" s="378" t="s">
        <v>495</v>
      </c>
      <c r="D15" s="378"/>
      <c r="E15" s="378"/>
      <c r="F15" s="378"/>
      <c r="G15" s="378"/>
      <c r="H15" s="384">
        <v>1587.04</v>
      </c>
      <c r="I15" s="379"/>
      <c r="J15" s="379"/>
      <c r="K15" s="379"/>
      <c r="L15" s="379"/>
      <c r="M15" s="379"/>
      <c r="N15" s="322">
        <f>H15*1000000</f>
        <v>1587040000</v>
      </c>
    </row>
    <row r="16" spans="1:14" s="313" customFormat="1" ht="21.75" customHeight="1" x14ac:dyDescent="0.25">
      <c r="A16" s="383"/>
      <c r="B16" s="378" t="s">
        <v>79</v>
      </c>
      <c r="C16" s="378" t="s">
        <v>497</v>
      </c>
      <c r="D16" s="378"/>
      <c r="E16" s="378"/>
      <c r="F16" s="378"/>
      <c r="G16" s="378"/>
      <c r="H16" s="384">
        <f>1+0.305+0.1+0.175</f>
        <v>1.58</v>
      </c>
      <c r="I16" s="387"/>
      <c r="J16" s="387"/>
      <c r="K16" s="379"/>
      <c r="L16" s="379"/>
      <c r="M16" s="379"/>
    </row>
    <row r="17" spans="1:17" s="313" customFormat="1" ht="21.75" customHeight="1" thickBot="1" x14ac:dyDescent="0.3">
      <c r="A17" s="440">
        <v>6</v>
      </c>
      <c r="B17" s="380" t="s">
        <v>515</v>
      </c>
      <c r="C17" s="445"/>
      <c r="D17" s="378"/>
      <c r="F17" s="378"/>
      <c r="G17" s="378"/>
      <c r="H17" s="388"/>
      <c r="I17" s="379"/>
      <c r="J17" s="379"/>
      <c r="K17" s="379"/>
      <c r="L17" s="379"/>
      <c r="M17" s="379"/>
    </row>
    <row r="18" spans="1:17" s="313" customFormat="1" ht="26.25" customHeight="1" thickTop="1" thickBot="1" x14ac:dyDescent="0.3">
      <c r="A18" s="383"/>
      <c r="B18" s="379"/>
      <c r="C18" s="379"/>
      <c r="D18" s="721" t="s">
        <v>49</v>
      </c>
      <c r="E18" s="721"/>
      <c r="F18" s="721"/>
      <c r="G18" s="721" t="s">
        <v>519</v>
      </c>
      <c r="H18" s="721"/>
      <c r="I18" s="389" t="e">
        <f>#REF!-#REF!</f>
        <v>#REF!</v>
      </c>
      <c r="J18" s="389"/>
      <c r="K18" s="379"/>
      <c r="L18" s="379"/>
      <c r="M18" s="379"/>
    </row>
    <row r="19" spans="1:17" s="313" customFormat="1" ht="33.75" customHeight="1" thickTop="1" thickBot="1" x14ac:dyDescent="0.35">
      <c r="A19" s="383"/>
      <c r="B19" s="379"/>
      <c r="C19" s="389"/>
      <c r="D19" s="602" t="s">
        <v>520</v>
      </c>
      <c r="E19" s="603" t="s">
        <v>521</v>
      </c>
      <c r="F19" s="602" t="s">
        <v>522</v>
      </c>
      <c r="G19" s="602" t="s">
        <v>522</v>
      </c>
      <c r="H19" s="602" t="s">
        <v>51</v>
      </c>
      <c r="I19" s="379">
        <v>536.21176215000003</v>
      </c>
      <c r="J19" s="389" t="e">
        <f>I19-#REF!</f>
        <v>#REF!</v>
      </c>
      <c r="K19" s="379"/>
      <c r="L19" s="379"/>
      <c r="M19" s="379"/>
      <c r="O19" s="718"/>
      <c r="P19" s="718"/>
    </row>
    <row r="20" spans="1:17" s="313" customFormat="1" ht="26.25" customHeight="1" thickTop="1" x14ac:dyDescent="0.3">
      <c r="A20" s="383"/>
      <c r="B20" s="379"/>
      <c r="C20" s="379" t="s">
        <v>523</v>
      </c>
      <c r="D20" s="604">
        <f>'Anx C'!F6</f>
        <v>0</v>
      </c>
      <c r="E20" s="604">
        <f>'Anx B'!F8+'Anx C'!H6</f>
        <v>0</v>
      </c>
      <c r="F20" s="604">
        <f>'Anx B'!E8+'Anx C'!G6</f>
        <v>333.55599999999998</v>
      </c>
      <c r="G20" s="605">
        <v>333.56</v>
      </c>
      <c r="H20" s="606">
        <v>0</v>
      </c>
      <c r="I20" s="389">
        <v>0</v>
      </c>
      <c r="J20" s="390"/>
      <c r="K20" s="379"/>
      <c r="L20" s="379"/>
      <c r="M20" s="379"/>
      <c r="N20" s="322">
        <f>F20*1000000</f>
        <v>333556000</v>
      </c>
      <c r="O20" s="718"/>
      <c r="P20" s="718"/>
    </row>
    <row r="21" spans="1:17" s="313" customFormat="1" ht="26.25" customHeight="1" x14ac:dyDescent="0.25">
      <c r="A21" s="383"/>
      <c r="B21" s="379"/>
      <c r="C21" s="379" t="s">
        <v>524</v>
      </c>
      <c r="D21" s="604"/>
      <c r="E21" s="604">
        <v>0</v>
      </c>
      <c r="F21" s="606">
        <v>0</v>
      </c>
      <c r="G21" s="606">
        <f>F21</f>
        <v>0</v>
      </c>
      <c r="H21" s="606">
        <v>0</v>
      </c>
      <c r="I21" s="389">
        <v>3.4082813700000001</v>
      </c>
      <c r="J21" s="390">
        <f>F21+D21</f>
        <v>0</v>
      </c>
      <c r="K21" s="379">
        <v>359033</v>
      </c>
      <c r="L21" s="379">
        <f>K21/1000000</f>
        <v>0.35903299999999999</v>
      </c>
      <c r="M21" s="389">
        <f>F21+D21</f>
        <v>0</v>
      </c>
    </row>
    <row r="22" spans="1:17" s="313" customFormat="1" ht="26.25" customHeight="1" x14ac:dyDescent="0.25">
      <c r="A22" s="383"/>
      <c r="B22" s="379"/>
      <c r="C22" s="379" t="s">
        <v>525</v>
      </c>
      <c r="D22" s="604">
        <v>0</v>
      </c>
      <c r="E22" s="604">
        <v>0</v>
      </c>
      <c r="F22" s="604">
        <v>0</v>
      </c>
      <c r="G22" s="606">
        <f>F22</f>
        <v>0</v>
      </c>
      <c r="H22" s="606">
        <v>0</v>
      </c>
      <c r="I22" s="389">
        <v>1099.38949852</v>
      </c>
      <c r="J22" s="391"/>
      <c r="K22" s="379"/>
      <c r="L22" s="379"/>
      <c r="M22" s="379"/>
    </row>
    <row r="23" spans="1:17" s="313" customFormat="1" ht="26.25" customHeight="1" x14ac:dyDescent="0.25">
      <c r="A23" s="440"/>
      <c r="B23" s="378"/>
      <c r="C23" s="378" t="s">
        <v>526</v>
      </c>
      <c r="D23" s="607">
        <f>SUM(D20:D22)</f>
        <v>0</v>
      </c>
      <c r="E23" s="607">
        <f>SUM(E20:E22)</f>
        <v>0</v>
      </c>
      <c r="F23" s="607">
        <f>SUM(F20:F22)</f>
        <v>333.55599999999998</v>
      </c>
      <c r="G23" s="608">
        <f>SUM(G20:G22)</f>
        <v>333.56</v>
      </c>
      <c r="H23" s="607">
        <f>SUM(H20:H22)</f>
        <v>0</v>
      </c>
      <c r="I23" s="389"/>
      <c r="J23" s="379"/>
      <c r="K23" s="379"/>
      <c r="L23" s="389"/>
      <c r="M23" s="379"/>
    </row>
    <row r="24" spans="1:17" s="313" customFormat="1" ht="26.25" customHeight="1" x14ac:dyDescent="0.3">
      <c r="A24" s="383"/>
      <c r="B24" s="379"/>
      <c r="C24" s="379" t="s">
        <v>490</v>
      </c>
      <c r="D24" s="606">
        <f>'Anx D'!C18</f>
        <v>0.53500000000000003</v>
      </c>
      <c r="E24" s="606">
        <f>'Anx D'!E18</f>
        <v>0.54</v>
      </c>
      <c r="F24" s="606">
        <f>'Anx D'!D18</f>
        <v>293.30699999999996</v>
      </c>
      <c r="G24" s="606">
        <f>+F24</f>
        <v>293.30699999999996</v>
      </c>
      <c r="H24" s="606">
        <f>+E24</f>
        <v>0.54</v>
      </c>
      <c r="I24" s="389"/>
      <c r="J24" s="379"/>
      <c r="K24" s="379"/>
      <c r="L24" s="389"/>
      <c r="M24" s="379"/>
    </row>
    <row r="25" spans="1:17" s="313" customFormat="1" ht="26.25" customHeight="1" x14ac:dyDescent="0.3">
      <c r="A25" s="440"/>
      <c r="B25" s="378"/>
      <c r="C25" s="378" t="s">
        <v>527</v>
      </c>
      <c r="D25" s="607">
        <f>D23-D24</f>
        <v>-0.53500000000000003</v>
      </c>
      <c r="E25" s="607">
        <f>E23-E24</f>
        <v>-0.54</v>
      </c>
      <c r="F25" s="607">
        <f>F23-F24</f>
        <v>40.249000000000024</v>
      </c>
      <c r="G25" s="607">
        <f>G23-G24</f>
        <v>40.253000000000043</v>
      </c>
      <c r="H25" s="607">
        <f>H23-H24</f>
        <v>-0.54</v>
      </c>
      <c r="I25" s="389">
        <f>E25-3.352</f>
        <v>-3.8919999999999999</v>
      </c>
      <c r="J25" s="389"/>
      <c r="K25" s="389"/>
      <c r="L25" s="389"/>
      <c r="M25" s="379"/>
    </row>
    <row r="26" spans="1:17" s="313" customFormat="1" ht="26.25" customHeight="1" x14ac:dyDescent="0.3">
      <c r="A26" s="440"/>
      <c r="B26" s="378"/>
      <c r="C26" s="379" t="s">
        <v>496</v>
      </c>
      <c r="D26" s="606">
        <v>0</v>
      </c>
      <c r="E26" s="606">
        <v>0</v>
      </c>
      <c r="F26" s="606">
        <v>0</v>
      </c>
      <c r="G26" s="606">
        <v>0</v>
      </c>
      <c r="H26" s="606">
        <v>0</v>
      </c>
      <c r="I26" s="379"/>
      <c r="J26" s="379"/>
      <c r="K26" s="379"/>
      <c r="L26" s="379"/>
      <c r="M26" s="379"/>
    </row>
    <row r="27" spans="1:17" s="313" customFormat="1" ht="26.25" customHeight="1" x14ac:dyDescent="0.3">
      <c r="A27" s="440"/>
      <c r="B27" s="378"/>
      <c r="C27" s="378" t="s">
        <v>528</v>
      </c>
      <c r="D27" s="607">
        <f>D25-D26</f>
        <v>-0.53500000000000003</v>
      </c>
      <c r="E27" s="607">
        <f>E25-E26</f>
        <v>-0.54</v>
      </c>
      <c r="F27" s="607">
        <f>F25-F26</f>
        <v>40.249000000000024</v>
      </c>
      <c r="G27" s="607">
        <f>G25-G26</f>
        <v>40.253000000000043</v>
      </c>
      <c r="H27" s="607">
        <f>H25-H26</f>
        <v>-0.54</v>
      </c>
      <c r="I27" s="456"/>
      <c r="J27" s="456"/>
      <c r="K27" s="456"/>
      <c r="L27" s="456"/>
      <c r="M27" s="456"/>
      <c r="N27" s="457"/>
      <c r="O27" s="457"/>
      <c r="P27" s="457"/>
      <c r="Q27" s="457"/>
    </row>
    <row r="28" spans="1:17" s="313" customFormat="1" ht="26.25" customHeight="1" x14ac:dyDescent="0.3">
      <c r="A28" s="440"/>
      <c r="B28" s="378"/>
      <c r="C28" s="379" t="s">
        <v>491</v>
      </c>
      <c r="D28" s="606">
        <v>0</v>
      </c>
      <c r="E28" s="606">
        <v>0</v>
      </c>
      <c r="F28" s="606">
        <v>0</v>
      </c>
      <c r="G28" s="606">
        <v>0</v>
      </c>
      <c r="H28" s="606">
        <v>0</v>
      </c>
      <c r="I28" s="456"/>
      <c r="J28" s="456"/>
      <c r="K28" s="456"/>
      <c r="L28" s="456"/>
      <c r="M28" s="456"/>
      <c r="N28" s="457"/>
      <c r="O28" s="457"/>
      <c r="P28" s="457"/>
      <c r="Q28" s="457"/>
    </row>
    <row r="29" spans="1:17" s="313" customFormat="1" ht="26.25" customHeight="1" x14ac:dyDescent="0.3">
      <c r="A29" s="383"/>
      <c r="B29" s="379"/>
      <c r="C29" s="379" t="s">
        <v>52</v>
      </c>
      <c r="D29" s="609">
        <v>0</v>
      </c>
      <c r="E29" s="609">
        <v>0</v>
      </c>
      <c r="F29" s="606">
        <v>0</v>
      </c>
      <c r="G29" s="606">
        <f>F29</f>
        <v>0</v>
      </c>
      <c r="H29" s="610">
        <f>E29</f>
        <v>0</v>
      </c>
      <c r="I29" s="457"/>
      <c r="J29" s="457"/>
      <c r="K29" s="457"/>
      <c r="L29" s="457"/>
      <c r="M29" s="457"/>
      <c r="N29" s="457"/>
      <c r="O29" s="457"/>
      <c r="P29" s="457"/>
      <c r="Q29" s="457"/>
    </row>
    <row r="30" spans="1:17" s="313" customFormat="1" ht="32.25" customHeight="1" x14ac:dyDescent="0.3">
      <c r="A30" s="440"/>
      <c r="B30" s="378"/>
      <c r="C30" s="442" t="s">
        <v>529</v>
      </c>
      <c r="D30" s="607">
        <f>D27-D28+D29</f>
        <v>-0.53500000000000003</v>
      </c>
      <c r="E30" s="607">
        <f>E27-E28+E29</f>
        <v>-0.54</v>
      </c>
      <c r="F30" s="705">
        <f>F27-F28+F29</f>
        <v>40.249000000000024</v>
      </c>
      <c r="G30" s="607">
        <f>G27-G28+G29</f>
        <v>40.253000000000043</v>
      </c>
      <c r="H30" s="607">
        <f>H27-H28+H29</f>
        <v>-0.54</v>
      </c>
      <c r="I30" s="457"/>
      <c r="J30" s="457"/>
      <c r="K30" s="457"/>
      <c r="L30" s="457"/>
      <c r="M30" s="457"/>
      <c r="N30" s="457"/>
      <c r="O30" s="457"/>
      <c r="P30" s="457"/>
      <c r="Q30" s="457"/>
    </row>
    <row r="31" spans="1:17" s="313" customFormat="1" ht="26.25" customHeight="1" x14ac:dyDescent="0.3">
      <c r="A31" s="440"/>
      <c r="B31" s="378"/>
      <c r="C31" s="442" t="s">
        <v>530</v>
      </c>
      <c r="D31" s="611"/>
      <c r="E31" s="611"/>
      <c r="F31" s="611">
        <f>F30/F20</f>
        <v>0.12066639484824145</v>
      </c>
      <c r="G31" s="611">
        <f>G30/G20</f>
        <v>0.12067693968101703</v>
      </c>
      <c r="H31" s="611"/>
      <c r="I31" s="457"/>
      <c r="J31" s="457"/>
      <c r="K31" s="457"/>
      <c r="L31" s="457"/>
      <c r="M31" s="457"/>
      <c r="N31" s="457"/>
      <c r="O31" s="457"/>
      <c r="P31" s="457"/>
      <c r="Q31" s="457"/>
    </row>
    <row r="32" spans="1:17" s="313" customFormat="1" ht="26.25" customHeight="1" x14ac:dyDescent="0.3">
      <c r="A32" s="440">
        <v>7</v>
      </c>
      <c r="B32" s="717" t="s">
        <v>516</v>
      </c>
      <c r="C32" s="717"/>
      <c r="D32" s="717"/>
      <c r="E32" s="717"/>
      <c r="F32" s="717"/>
      <c r="G32" s="606"/>
      <c r="H32" s="606"/>
      <c r="I32" s="457"/>
      <c r="J32" s="457"/>
      <c r="K32" s="457"/>
      <c r="L32" s="457"/>
      <c r="M32" s="457"/>
      <c r="N32" s="457"/>
      <c r="O32" s="457"/>
      <c r="P32" s="457"/>
      <c r="Q32" s="457"/>
    </row>
    <row r="33" spans="2:8" ht="15.6" x14ac:dyDescent="0.3">
      <c r="B33" s="626"/>
      <c r="C33" s="468"/>
      <c r="D33" s="469"/>
      <c r="E33" s="469"/>
      <c r="F33" s="469"/>
      <c r="G33" s="469"/>
      <c r="H33" s="469"/>
    </row>
    <row r="34" spans="2:8" ht="15.6" x14ac:dyDescent="0.3">
      <c r="B34" s="626"/>
      <c r="C34" s="468"/>
      <c r="D34" s="469"/>
      <c r="E34" s="469"/>
      <c r="F34" s="469"/>
      <c r="G34" s="469"/>
      <c r="H34" s="469"/>
    </row>
    <row r="35" spans="2:8" ht="15.6" x14ac:dyDescent="0.3">
      <c r="B35" s="626"/>
      <c r="C35" s="468"/>
      <c r="D35" s="469"/>
      <c r="E35" s="469"/>
      <c r="F35" s="469"/>
      <c r="G35" s="469"/>
      <c r="H35" s="469"/>
    </row>
    <row r="36" spans="2:8" ht="15.6" x14ac:dyDescent="0.3">
      <c r="B36" s="626"/>
      <c r="C36" s="468"/>
      <c r="D36" s="469"/>
      <c r="E36" s="469"/>
      <c r="F36" s="469"/>
      <c r="G36" s="469"/>
      <c r="H36" s="469"/>
    </row>
    <row r="37" spans="2:8" ht="15.6" x14ac:dyDescent="0.3">
      <c r="B37" s="626"/>
      <c r="C37" s="468"/>
      <c r="D37" s="469"/>
      <c r="E37" s="469"/>
      <c r="F37" s="469"/>
      <c r="G37" s="469"/>
      <c r="H37" s="469"/>
    </row>
    <row r="38" spans="2:8" ht="15.6" x14ac:dyDescent="0.3">
      <c r="B38" s="626"/>
      <c r="C38" s="468"/>
      <c r="D38" s="469"/>
      <c r="E38" s="469"/>
      <c r="F38" s="469"/>
      <c r="G38" s="469"/>
      <c r="H38" s="469"/>
    </row>
    <row r="39" spans="2:8" ht="15.6" x14ac:dyDescent="0.3">
      <c r="B39" s="626"/>
      <c r="C39" s="469"/>
      <c r="D39" s="469"/>
      <c r="E39" s="469"/>
      <c r="F39" s="469"/>
      <c r="G39" s="469"/>
      <c r="H39" s="469"/>
    </row>
  </sheetData>
  <mergeCells count="14">
    <mergeCell ref="A1:H1"/>
    <mergeCell ref="A2:H2"/>
    <mergeCell ref="A3:H3"/>
    <mergeCell ref="B4:C4"/>
    <mergeCell ref="G10:H10"/>
    <mergeCell ref="B32:F32"/>
    <mergeCell ref="O19:P20"/>
    <mergeCell ref="C13:D13"/>
    <mergeCell ref="B14:C14"/>
    <mergeCell ref="B10:C10"/>
    <mergeCell ref="B11:C11"/>
    <mergeCell ref="E12:G12"/>
    <mergeCell ref="D18:F18"/>
    <mergeCell ref="G18:H18"/>
  </mergeCells>
  <pageMargins left="0.2" right="0.2" top="0.25" bottom="0.25" header="0.3" footer="0.3"/>
  <pageSetup paperSize="9" scale="64" fitToHeight="0" orientation="portrait" r:id="rId1"/>
  <colBreaks count="1" manualBreakCount="1">
    <brk id="8" max="31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K22"/>
  <sheetViews>
    <sheetView view="pageBreakPreview" zoomScaleSheetLayoutView="100" workbookViewId="0">
      <selection activeCell="B8" sqref="B8"/>
    </sheetView>
  </sheetViews>
  <sheetFormatPr defaultColWidth="9.109375" defaultRowHeight="14.4" x14ac:dyDescent="0.3"/>
  <cols>
    <col min="1" max="1" width="6.109375" style="313" customWidth="1"/>
    <col min="2" max="2" width="34" style="313" customWidth="1"/>
    <col min="3" max="3" width="12" style="313" customWidth="1"/>
    <col min="4" max="4" width="13.109375" style="313" customWidth="1"/>
    <col min="5" max="5" width="13.44140625" style="313" customWidth="1"/>
    <col min="6" max="6" width="13.6640625" style="313" customWidth="1"/>
    <col min="7" max="7" width="13.109375" style="313" customWidth="1"/>
    <col min="8" max="8" width="13.44140625" style="313" customWidth="1"/>
    <col min="9" max="9" width="16.88671875" style="313" bestFit="1" customWidth="1"/>
    <col min="10" max="10" width="14.6640625" style="313" bestFit="1" customWidth="1"/>
    <col min="11" max="11" width="13.5546875" style="313" bestFit="1" customWidth="1"/>
    <col min="12" max="16384" width="9.109375" style="313"/>
  </cols>
  <sheetData>
    <row r="1" spans="1:11" ht="15.6" x14ac:dyDescent="0.3">
      <c r="A1" s="724" t="s">
        <v>5</v>
      </c>
      <c r="B1" s="724"/>
      <c r="C1" s="724"/>
      <c r="D1" s="724"/>
      <c r="E1" s="724"/>
      <c r="F1" s="724"/>
      <c r="G1" s="724"/>
      <c r="H1" s="724"/>
      <c r="I1" s="312"/>
    </row>
    <row r="2" spans="1:11" ht="17.399999999999999" x14ac:dyDescent="0.3">
      <c r="A2" s="723" t="s">
        <v>501</v>
      </c>
      <c r="B2" s="723"/>
      <c r="C2" s="723"/>
      <c r="D2" s="723"/>
      <c r="E2" s="723"/>
      <c r="F2" s="723"/>
      <c r="G2" s="723"/>
      <c r="H2" s="723"/>
      <c r="I2" s="312"/>
    </row>
    <row r="3" spans="1:11" ht="17.399999999999999" x14ac:dyDescent="0.3">
      <c r="A3" s="723" t="str">
        <f>'Anx A'!A3:H3</f>
        <v>Project Control Unit:-  Dev of C-15 Islamabad</v>
      </c>
      <c r="B3" s="723"/>
      <c r="C3" s="723"/>
      <c r="D3" s="723"/>
      <c r="E3" s="723"/>
      <c r="F3" s="723"/>
      <c r="G3" s="723"/>
      <c r="H3" s="723"/>
    </row>
    <row r="4" spans="1:11" ht="16.2" thickBot="1" x14ac:dyDescent="0.35">
      <c r="A4" s="462"/>
      <c r="B4" s="462"/>
      <c r="C4" s="462"/>
      <c r="D4" s="462"/>
      <c r="E4" s="462"/>
      <c r="F4" s="462"/>
      <c r="G4" s="462"/>
      <c r="H4" s="462"/>
    </row>
    <row r="5" spans="1:11" s="335" customFormat="1" ht="16.8" thickTop="1" thickBot="1" x14ac:dyDescent="0.35">
      <c r="A5" s="725" t="s">
        <v>533</v>
      </c>
      <c r="B5" s="725" t="s">
        <v>7</v>
      </c>
      <c r="C5" s="726" t="s">
        <v>8</v>
      </c>
      <c r="D5" s="727"/>
      <c r="E5" s="727"/>
      <c r="F5" s="727"/>
      <c r="G5" s="727"/>
      <c r="H5" s="728"/>
    </row>
    <row r="6" spans="1:11" s="335" customFormat="1" ht="42.75" customHeight="1" thickTop="1" thickBot="1" x14ac:dyDescent="0.35">
      <c r="A6" s="725"/>
      <c r="B6" s="725"/>
      <c r="C6" s="467" t="s">
        <v>33</v>
      </c>
      <c r="D6" s="467" t="s">
        <v>34</v>
      </c>
      <c r="E6" s="467" t="s">
        <v>535</v>
      </c>
      <c r="F6" s="467" t="s">
        <v>536</v>
      </c>
      <c r="G6" s="467" t="s">
        <v>54</v>
      </c>
      <c r="H6" s="467" t="s">
        <v>53</v>
      </c>
    </row>
    <row r="7" spans="1:11" ht="29.25" customHeight="1" thickTop="1" thickBot="1" x14ac:dyDescent="0.35">
      <c r="A7" s="618">
        <v>1</v>
      </c>
      <c r="B7" s="464" t="s">
        <v>550</v>
      </c>
      <c r="C7" s="617">
        <v>0</v>
      </c>
      <c r="D7" s="465">
        <v>0</v>
      </c>
      <c r="E7" s="617">
        <v>0</v>
      </c>
      <c r="F7" s="617">
        <f t="shared" ref="F7" si="0">E7</f>
        <v>0</v>
      </c>
      <c r="G7" s="463">
        <v>0</v>
      </c>
      <c r="H7" s="619">
        <v>0</v>
      </c>
      <c r="I7" s="322"/>
      <c r="J7" s="322"/>
      <c r="K7" s="322"/>
    </row>
    <row r="8" spans="1:11" ht="29.25" customHeight="1" thickTop="1" thickBot="1" x14ac:dyDescent="0.35">
      <c r="A8" s="620"/>
      <c r="B8" s="621" t="s">
        <v>534</v>
      </c>
      <c r="C8" s="622">
        <f t="shared" ref="C8:H8" si="1">SUM(C7:C7)</f>
        <v>0</v>
      </c>
      <c r="D8" s="622">
        <f t="shared" si="1"/>
        <v>0</v>
      </c>
      <c r="E8" s="622">
        <f t="shared" si="1"/>
        <v>0</v>
      </c>
      <c r="F8" s="622">
        <f t="shared" si="1"/>
        <v>0</v>
      </c>
      <c r="G8" s="623">
        <f t="shared" si="1"/>
        <v>0</v>
      </c>
      <c r="H8" s="624">
        <f t="shared" si="1"/>
        <v>0</v>
      </c>
      <c r="I8" s="322"/>
    </row>
    <row r="9" spans="1:11" ht="15" thickTop="1" x14ac:dyDescent="0.3">
      <c r="F9" s="322"/>
      <c r="G9" s="327"/>
      <c r="H9" s="327"/>
      <c r="I9" s="322"/>
    </row>
    <row r="10" spans="1:11" x14ac:dyDescent="0.3">
      <c r="F10" s="327"/>
      <c r="G10" s="446"/>
      <c r="I10" s="322"/>
    </row>
    <row r="11" spans="1:11" x14ac:dyDescent="0.3">
      <c r="C11" s="327"/>
      <c r="D11" s="322"/>
      <c r="E11" s="446"/>
      <c r="F11" s="327"/>
      <c r="G11" s="446"/>
    </row>
    <row r="12" spans="1:11" x14ac:dyDescent="0.3">
      <c r="C12" s="327"/>
      <c r="D12" s="322"/>
      <c r="E12" s="446"/>
      <c r="F12" s="327"/>
      <c r="G12" s="446"/>
    </row>
    <row r="13" spans="1:11" x14ac:dyDescent="0.3">
      <c r="C13" s="393"/>
      <c r="D13" s="394"/>
      <c r="E13" s="327"/>
      <c r="G13" s="446"/>
      <c r="I13" s="447"/>
    </row>
    <row r="14" spans="1:11" x14ac:dyDescent="0.3">
      <c r="E14" s="322"/>
      <c r="F14" s="312"/>
    </row>
    <row r="15" spans="1:11" x14ac:dyDescent="0.3">
      <c r="E15" s="322"/>
    </row>
    <row r="16" spans="1:11" x14ac:dyDescent="0.3">
      <c r="C16" s="395"/>
    </row>
    <row r="19" spans="3:5" x14ac:dyDescent="0.3">
      <c r="E19" s="322"/>
    </row>
    <row r="22" spans="3:5" x14ac:dyDescent="0.3">
      <c r="C22" s="312"/>
    </row>
  </sheetData>
  <mergeCells count="6">
    <mergeCell ref="A1:H1"/>
    <mergeCell ref="A2:H2"/>
    <mergeCell ref="A3:H3"/>
    <mergeCell ref="A5:A6"/>
    <mergeCell ref="B5:B6"/>
    <mergeCell ref="C5:H5"/>
  </mergeCells>
  <printOptions horizontalCentered="1"/>
  <pageMargins left="0.7" right="0.7" top="0.75" bottom="0.75" header="0.3" footer="0.3"/>
  <pageSetup paperSize="9" scale="7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K11"/>
  <sheetViews>
    <sheetView zoomScale="80" zoomScaleNormal="80" workbookViewId="0">
      <selection activeCell="I5" sqref="I5"/>
    </sheetView>
  </sheetViews>
  <sheetFormatPr defaultColWidth="9.109375" defaultRowHeight="14.4" x14ac:dyDescent="0.3"/>
  <cols>
    <col min="1" max="1" width="4.33203125" style="407" customWidth="1"/>
    <col min="2" max="2" width="40.44140625" style="407" customWidth="1"/>
    <col min="3" max="3" width="12.44140625" style="407" customWidth="1"/>
    <col min="4" max="5" width="10.109375" style="407" customWidth="1"/>
    <col min="6" max="6" width="10.33203125" style="407" customWidth="1"/>
    <col min="7" max="7" width="11.6640625" style="407" customWidth="1"/>
    <col min="8" max="8" width="11.109375" style="407" customWidth="1"/>
    <col min="9" max="9" width="11.5546875" style="407" customWidth="1"/>
    <col min="10" max="10" width="9.88671875" style="407" customWidth="1"/>
    <col min="11" max="11" width="11.33203125" style="407" customWidth="1"/>
    <col min="12" max="16384" width="9.109375" style="407"/>
  </cols>
  <sheetData>
    <row r="1" spans="1:11" ht="18" x14ac:dyDescent="0.3">
      <c r="A1" s="731" t="s">
        <v>32</v>
      </c>
      <c r="B1" s="731"/>
      <c r="C1" s="731"/>
      <c r="D1" s="731"/>
      <c r="E1" s="731"/>
      <c r="F1" s="731"/>
      <c r="G1" s="731"/>
      <c r="H1" s="731"/>
      <c r="I1" s="731"/>
      <c r="J1" s="731"/>
      <c r="K1" s="406" t="s">
        <v>10</v>
      </c>
    </row>
    <row r="2" spans="1:11" ht="18.600000000000001" thickBot="1" x14ac:dyDescent="0.35">
      <c r="A2" s="735" t="str">
        <f>'Anx A'!A3:H3</f>
        <v>Project Control Unit:-  Dev of C-15 Islamabad</v>
      </c>
      <c r="B2" s="735"/>
      <c r="C2" s="735"/>
      <c r="D2" s="735"/>
      <c r="E2" s="735"/>
      <c r="F2" s="735"/>
      <c r="G2" s="735"/>
      <c r="H2" s="735"/>
      <c r="I2" s="735"/>
      <c r="J2" s="735"/>
      <c r="K2" s="735"/>
    </row>
    <row r="3" spans="1:11" ht="15.6" thickTop="1" thickBot="1" x14ac:dyDescent="0.35">
      <c r="A3" s="732" t="s">
        <v>6</v>
      </c>
      <c r="B3" s="729" t="s">
        <v>42</v>
      </c>
      <c r="C3" s="733" t="s">
        <v>8</v>
      </c>
      <c r="D3" s="734"/>
      <c r="E3" s="734"/>
      <c r="F3" s="734"/>
      <c r="G3" s="734"/>
      <c r="H3" s="734"/>
      <c r="I3" s="734"/>
      <c r="J3" s="734"/>
      <c r="K3" s="729" t="s">
        <v>19</v>
      </c>
    </row>
    <row r="4" spans="1:11" ht="72.599999999999994" thickTop="1" x14ac:dyDescent="0.3">
      <c r="A4" s="729"/>
      <c r="B4" s="730"/>
      <c r="C4" s="392" t="s">
        <v>62</v>
      </c>
      <c r="D4" s="392" t="s">
        <v>63</v>
      </c>
      <c r="E4" s="392" t="s">
        <v>546</v>
      </c>
      <c r="F4" s="452" t="s">
        <v>34</v>
      </c>
      <c r="G4" s="452" t="s">
        <v>35</v>
      </c>
      <c r="H4" s="392" t="s">
        <v>67</v>
      </c>
      <c r="I4" s="392" t="s">
        <v>36</v>
      </c>
      <c r="J4" s="453" t="s">
        <v>55</v>
      </c>
      <c r="K4" s="730"/>
    </row>
    <row r="5" spans="1:11" ht="52.5" customHeight="1" thickBot="1" x14ac:dyDescent="0.35">
      <c r="A5" s="316">
        <v>1</v>
      </c>
      <c r="B5" s="687" t="s">
        <v>566</v>
      </c>
      <c r="C5" s="676">
        <v>633.04999999999995</v>
      </c>
      <c r="D5" s="676">
        <v>497.06</v>
      </c>
      <c r="E5" s="676">
        <v>21.48</v>
      </c>
      <c r="F5" s="431">
        <v>0</v>
      </c>
      <c r="G5" s="448">
        <f>100.68+33.88+29.86+51.54+24.42+12.11+3.56+2.7+0.799+0.277+30.61+43.12</f>
        <v>333.55599999999998</v>
      </c>
      <c r="H5" s="431">
        <v>0</v>
      </c>
      <c r="I5" s="431">
        <v>0</v>
      </c>
      <c r="J5" s="431">
        <v>0</v>
      </c>
      <c r="K5" s="454"/>
    </row>
    <row r="6" spans="1:11" ht="52.5" customHeight="1" thickTop="1" thickBot="1" x14ac:dyDescent="0.35">
      <c r="A6" s="432"/>
      <c r="B6" s="433" t="s">
        <v>9</v>
      </c>
      <c r="C6" s="434">
        <f>SUM(C5:C5)</f>
        <v>633.04999999999995</v>
      </c>
      <c r="D6" s="434">
        <f>SUM(D5:D5)</f>
        <v>497.06</v>
      </c>
      <c r="E6" s="434"/>
      <c r="F6" s="434">
        <f>SUM(F5:F5)</f>
        <v>0</v>
      </c>
      <c r="G6" s="434">
        <f>SUM(G5:G5)</f>
        <v>333.55599999999998</v>
      </c>
      <c r="H6" s="434">
        <f>SUM(H5:H5)</f>
        <v>0</v>
      </c>
      <c r="I6" s="434">
        <f>SUM(I5:I5)</f>
        <v>0</v>
      </c>
      <c r="J6" s="434"/>
      <c r="K6" s="455"/>
    </row>
    <row r="7" spans="1:11" ht="15" thickTop="1" x14ac:dyDescent="0.3"/>
    <row r="8" spans="1:11" x14ac:dyDescent="0.3">
      <c r="F8" s="409"/>
      <c r="G8" s="409"/>
      <c r="H8" s="409"/>
    </row>
    <row r="9" spans="1:11" x14ac:dyDescent="0.3">
      <c r="F9" s="409"/>
      <c r="G9" s="409"/>
      <c r="H9" s="409"/>
    </row>
    <row r="10" spans="1:11" x14ac:dyDescent="0.3">
      <c r="G10" s="409"/>
      <c r="H10" s="409"/>
    </row>
    <row r="11" spans="1:11" x14ac:dyDescent="0.3">
      <c r="G11" s="409"/>
      <c r="H11" s="409"/>
    </row>
  </sheetData>
  <mergeCells count="6">
    <mergeCell ref="K3:K4"/>
    <mergeCell ref="A1:J1"/>
    <mergeCell ref="A3:A4"/>
    <mergeCell ref="B3:B4"/>
    <mergeCell ref="C3:J3"/>
    <mergeCell ref="A2:K2"/>
  </mergeCells>
  <pageMargins left="0.7" right="0.7" top="0.75" bottom="0.75" header="0.3" footer="0.3"/>
  <pageSetup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Y24"/>
  <sheetViews>
    <sheetView view="pageBreakPreview" topLeftCell="B1" zoomScale="60" workbookViewId="0">
      <selection activeCell="I25" sqref="I25"/>
    </sheetView>
  </sheetViews>
  <sheetFormatPr defaultColWidth="9.109375" defaultRowHeight="14.4" x14ac:dyDescent="0.3"/>
  <cols>
    <col min="1" max="1" width="6.109375" style="8" hidden="1" customWidth="1"/>
    <col min="2" max="2" width="79.109375" style="8" customWidth="1"/>
    <col min="3" max="3" width="20.109375" style="8" customWidth="1"/>
    <col min="4" max="4" width="12.44140625" style="8" hidden="1" customWidth="1"/>
    <col min="5" max="5" width="13.5546875" style="8" hidden="1" customWidth="1"/>
    <col min="6" max="6" width="0" style="8" hidden="1" customWidth="1"/>
    <col min="7" max="7" width="17.109375" style="8" bestFit="1" customWidth="1"/>
    <col min="8" max="9" width="9.109375" style="8"/>
    <col min="10" max="10" width="24.109375" style="8" bestFit="1" customWidth="1"/>
    <col min="11" max="11" width="17.33203125" style="8" bestFit="1" customWidth="1"/>
    <col min="12" max="12" width="16.109375" style="8" bestFit="1" customWidth="1"/>
    <col min="13" max="13" width="19.109375" style="8" bestFit="1" customWidth="1"/>
    <col min="14" max="14" width="12.88671875" style="8" bestFit="1" customWidth="1"/>
    <col min="15" max="15" width="9.109375" style="8"/>
    <col min="16" max="16" width="9.88671875" style="8" bestFit="1" customWidth="1"/>
    <col min="17" max="18" width="9.109375" style="8"/>
    <col min="19" max="19" width="9.44140625" style="8" bestFit="1" customWidth="1"/>
    <col min="20" max="26" width="9.109375" style="8"/>
    <col min="27" max="27" width="9.44140625" style="8" customWidth="1"/>
    <col min="28" max="16384" width="9.109375" style="8"/>
  </cols>
  <sheetData>
    <row r="1" spans="1:25" ht="18" x14ac:dyDescent="0.35">
      <c r="A1" s="737"/>
      <c r="B1" s="737"/>
      <c r="C1" s="737"/>
      <c r="L1" s="179"/>
    </row>
    <row r="2" spans="1:25" s="17" customFormat="1" ht="18" x14ac:dyDescent="0.35">
      <c r="A2" s="738" t="s">
        <v>56</v>
      </c>
      <c r="B2" s="738"/>
      <c r="C2" s="738"/>
      <c r="D2" s="16"/>
      <c r="E2" s="16"/>
      <c r="F2" s="16"/>
      <c r="G2" s="16"/>
      <c r="H2" s="16"/>
      <c r="I2" s="16"/>
      <c r="J2" s="16"/>
      <c r="K2" s="16"/>
      <c r="L2" s="180"/>
    </row>
    <row r="3" spans="1:25" s="17" customFormat="1" ht="18" x14ac:dyDescent="0.3">
      <c r="A3" s="739" t="s">
        <v>147</v>
      </c>
      <c r="B3" s="739"/>
      <c r="C3" s="739"/>
      <c r="D3" s="18"/>
      <c r="E3" s="18"/>
      <c r="F3" s="18"/>
      <c r="G3" s="18"/>
      <c r="H3" s="18"/>
      <c r="I3" s="18"/>
      <c r="J3" s="18"/>
      <c r="K3" s="18"/>
      <c r="L3" s="180"/>
    </row>
    <row r="4" spans="1:25" s="17" customFormat="1" ht="18" x14ac:dyDescent="0.3">
      <c r="A4" s="739" t="s">
        <v>146</v>
      </c>
      <c r="B4" s="739"/>
      <c r="C4" s="739"/>
      <c r="D4" s="18"/>
      <c r="E4" s="18"/>
      <c r="F4" s="18"/>
      <c r="G4" s="18"/>
      <c r="H4" s="18"/>
      <c r="I4" s="18"/>
      <c r="J4" s="18"/>
      <c r="K4" s="18"/>
    </row>
    <row r="5" spans="1:25" s="17" customFormat="1" ht="16.2" thickBot="1" x14ac:dyDescent="0.35">
      <c r="A5" s="740"/>
      <c r="B5" s="740"/>
      <c r="C5" s="740"/>
    </row>
    <row r="6" spans="1:25" s="7" customFormat="1" ht="15.6" thickTop="1" thickBot="1" x14ac:dyDescent="0.35">
      <c r="A6" s="741" t="s">
        <v>6</v>
      </c>
      <c r="B6" s="741" t="s">
        <v>14</v>
      </c>
      <c r="C6" s="249"/>
    </row>
    <row r="7" spans="1:25" s="7" customFormat="1" ht="37.5" customHeight="1" thickTop="1" x14ac:dyDescent="0.3">
      <c r="A7" s="742"/>
      <c r="B7" s="742"/>
      <c r="C7" s="250" t="s">
        <v>51</v>
      </c>
    </row>
    <row r="8" spans="1:25" x14ac:dyDescent="0.3">
      <c r="A8" s="736" t="s">
        <v>30</v>
      </c>
      <c r="B8" s="736"/>
      <c r="C8" s="251"/>
      <c r="J8" s="8" t="s">
        <v>309</v>
      </c>
      <c r="K8" s="8" t="s">
        <v>310</v>
      </c>
      <c r="L8" s="8" t="s">
        <v>50</v>
      </c>
    </row>
    <row r="9" spans="1:25" x14ac:dyDescent="0.3">
      <c r="A9" s="2"/>
      <c r="B9" s="2" t="s">
        <v>319</v>
      </c>
      <c r="C9" s="209">
        <v>17.78</v>
      </c>
      <c r="D9" s="134">
        <v>6.4062999999999995E-2</v>
      </c>
      <c r="E9" s="134">
        <f>C9/1000000</f>
        <v>1.7780000000000003E-5</v>
      </c>
      <c r="F9" s="58" t="e">
        <f>#REF!+D9</f>
        <v>#REF!</v>
      </c>
      <c r="G9" s="15">
        <f t="shared" ref="G9:G15" si="0">C9*1000000</f>
        <v>17780000</v>
      </c>
      <c r="H9" s="58"/>
      <c r="I9" s="58"/>
      <c r="J9" s="137"/>
      <c r="K9" s="58"/>
      <c r="L9" s="12"/>
      <c r="M9" s="19"/>
      <c r="N9" s="134"/>
      <c r="P9" s="19"/>
      <c r="S9" s="19"/>
      <c r="T9" s="19"/>
      <c r="X9" s="137" t="e">
        <f>#REF!+#REF!</f>
        <v>#REF!</v>
      </c>
    </row>
    <row r="10" spans="1:25" x14ac:dyDescent="0.3">
      <c r="A10" s="4"/>
      <c r="B10" s="4" t="s">
        <v>320</v>
      </c>
      <c r="C10" s="248">
        <v>1</v>
      </c>
      <c r="D10" s="134"/>
      <c r="E10" s="134"/>
      <c r="G10" s="15">
        <f>C10*1000000</f>
        <v>1000000</v>
      </c>
      <c r="J10" s="137"/>
      <c r="K10" s="19"/>
      <c r="L10" s="12"/>
      <c r="P10" s="19"/>
      <c r="X10" s="137" t="e">
        <f>#REF!+#REF!</f>
        <v>#REF!</v>
      </c>
    </row>
    <row r="11" spans="1:25" x14ac:dyDescent="0.3">
      <c r="A11" s="1">
        <v>5</v>
      </c>
      <c r="B11" s="10" t="s">
        <v>315</v>
      </c>
      <c r="C11" s="209">
        <v>0</v>
      </c>
      <c r="D11" s="134">
        <v>0</v>
      </c>
      <c r="E11" s="134">
        <f>C11/1000000</f>
        <v>0</v>
      </c>
      <c r="F11" s="8" t="e">
        <f>#REF!+D11</f>
        <v>#REF!</v>
      </c>
      <c r="G11" s="15">
        <f t="shared" si="0"/>
        <v>0</v>
      </c>
      <c r="J11" s="137"/>
      <c r="L11" s="12"/>
      <c r="M11" s="19"/>
      <c r="N11" s="134"/>
      <c r="P11" s="19"/>
      <c r="X11" s="137"/>
    </row>
    <row r="12" spans="1:25" x14ac:dyDescent="0.3">
      <c r="A12" s="2"/>
      <c r="B12" s="2" t="s">
        <v>314</v>
      </c>
      <c r="C12" s="209" t="e">
        <f>#REF!</f>
        <v>#REF!</v>
      </c>
      <c r="D12" s="134">
        <v>0</v>
      </c>
      <c r="E12" s="134" t="e">
        <f>C12/1000000</f>
        <v>#REF!</v>
      </c>
      <c r="F12" s="8" t="e">
        <f>#REF!+D12</f>
        <v>#REF!</v>
      </c>
      <c r="G12" s="15" t="e">
        <f t="shared" si="0"/>
        <v>#REF!</v>
      </c>
      <c r="J12" s="137"/>
      <c r="K12" s="19"/>
      <c r="L12" s="12"/>
      <c r="M12" s="19"/>
      <c r="N12" s="134"/>
      <c r="P12" s="19"/>
      <c r="X12" s="137"/>
    </row>
    <row r="13" spans="1:25" x14ac:dyDescent="0.3">
      <c r="A13" s="4"/>
      <c r="B13" s="4" t="s">
        <v>316</v>
      </c>
      <c r="C13" s="209">
        <v>4.7</v>
      </c>
      <c r="D13" s="134"/>
      <c r="E13" s="134">
        <f>C13/1000000</f>
        <v>4.6999999999999999E-6</v>
      </c>
      <c r="G13" s="15">
        <f t="shared" si="0"/>
        <v>4700000</v>
      </c>
      <c r="J13" s="137"/>
      <c r="K13" s="19"/>
      <c r="L13" s="12"/>
      <c r="P13" s="19"/>
      <c r="X13" s="137" t="e">
        <f>#REF!+#REF!</f>
        <v>#REF!</v>
      </c>
    </row>
    <row r="14" spans="1:25" x14ac:dyDescent="0.3">
      <c r="A14" s="4"/>
      <c r="B14" s="4" t="s">
        <v>317</v>
      </c>
      <c r="C14" s="209">
        <v>0.44397300000000001</v>
      </c>
      <c r="D14" s="134"/>
      <c r="E14" s="134"/>
      <c r="G14" s="15">
        <f t="shared" si="0"/>
        <v>443973</v>
      </c>
      <c r="J14" s="137">
        <v>0.44397300000000001</v>
      </c>
      <c r="K14" s="19">
        <f>J14-C14</f>
        <v>0</v>
      </c>
      <c r="L14" s="12"/>
      <c r="P14" s="19"/>
      <c r="X14" s="137" t="e">
        <f>#REF!+#REF!</f>
        <v>#REF!</v>
      </c>
      <c r="Y14" s="8">
        <v>11890</v>
      </c>
    </row>
    <row r="15" spans="1:25" ht="15" thickBot="1" x14ac:dyDescent="0.35">
      <c r="A15" s="2"/>
      <c r="B15" s="2" t="s">
        <v>318</v>
      </c>
      <c r="C15" s="209">
        <v>3.8391540000000002</v>
      </c>
      <c r="D15" s="134">
        <v>1.7439359999999999</v>
      </c>
      <c r="E15" s="134"/>
      <c r="F15" s="8" t="e">
        <f>#REF!+D15</f>
        <v>#REF!</v>
      </c>
      <c r="G15" s="15">
        <f t="shared" si="0"/>
        <v>3839154</v>
      </c>
      <c r="J15" s="137">
        <v>3.8391540000000002</v>
      </c>
      <c r="K15" s="19">
        <f>J15-C15</f>
        <v>0</v>
      </c>
      <c r="L15" s="12"/>
      <c r="M15" s="19"/>
      <c r="N15" s="134"/>
      <c r="P15" s="19"/>
    </row>
    <row r="16" spans="1:25" ht="15.6" thickTop="1" thickBot="1" x14ac:dyDescent="0.35">
      <c r="A16" s="11"/>
      <c r="B16" s="9" t="s">
        <v>16</v>
      </c>
      <c r="C16" s="210" t="e">
        <f>SUM(C9:C15)</f>
        <v>#REF!</v>
      </c>
      <c r="D16" s="134"/>
      <c r="E16" s="134"/>
      <c r="K16" s="19"/>
      <c r="L16" s="15"/>
    </row>
    <row r="17" spans="3:12" ht="15" thickTop="1" x14ac:dyDescent="0.3">
      <c r="C17" s="227"/>
      <c r="D17" s="134"/>
      <c r="E17" s="134"/>
      <c r="J17" s="19"/>
    </row>
    <row r="18" spans="3:12" x14ac:dyDescent="0.3">
      <c r="C18" s="133"/>
      <c r="D18" s="134"/>
      <c r="E18" s="134"/>
    </row>
    <row r="19" spans="3:12" x14ac:dyDescent="0.3">
      <c r="C19" s="12"/>
      <c r="D19" s="134"/>
      <c r="E19" s="134"/>
      <c r="L19" s="12"/>
    </row>
    <row r="20" spans="3:12" x14ac:dyDescent="0.3">
      <c r="C20" s="12"/>
      <c r="D20" s="134"/>
      <c r="E20" s="134"/>
    </row>
    <row r="21" spans="3:12" x14ac:dyDescent="0.3">
      <c r="D21" s="134"/>
      <c r="E21" s="134"/>
    </row>
    <row r="22" spans="3:12" x14ac:dyDescent="0.3">
      <c r="C22" s="122"/>
      <c r="D22" s="134"/>
      <c r="E22" s="134"/>
    </row>
    <row r="23" spans="3:12" x14ac:dyDescent="0.3">
      <c r="D23" s="134"/>
      <c r="E23" s="134"/>
    </row>
    <row r="24" spans="3:12" x14ac:dyDescent="0.3">
      <c r="D24" s="134"/>
      <c r="E24" s="134"/>
    </row>
  </sheetData>
  <mergeCells count="8">
    <mergeCell ref="A8:B8"/>
    <mergeCell ref="A1:C1"/>
    <mergeCell ref="A2:C2"/>
    <mergeCell ref="A3:C3"/>
    <mergeCell ref="A4:C4"/>
    <mergeCell ref="A5:C5"/>
    <mergeCell ref="A6:A7"/>
    <mergeCell ref="B6:B7"/>
  </mergeCells>
  <printOptions horizontalCentered="1"/>
  <pageMargins left="0.16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0"/>
  <sheetViews>
    <sheetView view="pageBreakPreview" zoomScale="80" zoomScaleSheetLayoutView="80" workbookViewId="0">
      <selection activeCell="H15" sqref="H15"/>
    </sheetView>
  </sheetViews>
  <sheetFormatPr defaultColWidth="9.109375" defaultRowHeight="14.4" x14ac:dyDescent="0.3"/>
  <cols>
    <col min="1" max="1" width="7" style="314" customWidth="1"/>
    <col min="2" max="2" width="39" style="314" customWidth="1"/>
    <col min="3" max="3" width="12.6640625" style="430" customWidth="1"/>
    <col min="4" max="4" width="15.33203125" style="317" customWidth="1"/>
    <col min="5" max="5" width="16.44140625" style="437" customWidth="1"/>
    <col min="6" max="6" width="25.88671875" style="314" customWidth="1"/>
    <col min="7" max="7" width="9.109375" style="314" customWidth="1"/>
    <col min="8" max="8" width="18.33203125" style="314" bestFit="1" customWidth="1"/>
    <col min="9" max="9" width="17" style="314" customWidth="1"/>
    <col min="10" max="10" width="17.6640625" style="314" customWidth="1"/>
    <col min="11" max="11" width="17.109375" style="314" customWidth="1"/>
    <col min="12" max="12" width="16.109375" style="314" customWidth="1"/>
    <col min="13" max="13" width="16.5546875" style="314" customWidth="1"/>
    <col min="14" max="14" width="15.88671875" style="314" customWidth="1"/>
    <col min="15" max="15" width="18.88671875" style="314" bestFit="1" customWidth="1"/>
    <col min="16" max="16" width="16.109375" style="314" bestFit="1" customWidth="1"/>
    <col min="17" max="17" width="19.109375" style="314" bestFit="1" customWidth="1"/>
    <col min="18" max="18" width="12.88671875" style="314" bestFit="1" customWidth="1"/>
    <col min="19" max="19" width="9.109375" style="314"/>
    <col min="20" max="20" width="9.88671875" style="314" bestFit="1" customWidth="1"/>
    <col min="21" max="22" width="9.109375" style="314"/>
    <col min="23" max="23" width="12.88671875" style="314" bestFit="1" customWidth="1"/>
    <col min="24" max="24" width="11.44140625" style="314" bestFit="1" customWidth="1"/>
    <col min="25" max="25" width="13.33203125" style="314" bestFit="1" customWidth="1"/>
    <col min="26" max="26" width="11.44140625" style="314" bestFit="1" customWidth="1"/>
    <col min="27" max="30" width="9.109375" style="314"/>
    <col min="31" max="31" width="9.44140625" style="314" customWidth="1"/>
    <col min="32" max="16384" width="9.109375" style="314"/>
  </cols>
  <sheetData>
    <row r="1" spans="1:28" s="469" customFormat="1" ht="15.6" x14ac:dyDescent="0.3">
      <c r="A1" s="748"/>
      <c r="B1" s="748"/>
      <c r="C1" s="748"/>
      <c r="D1" s="748"/>
      <c r="E1" s="748"/>
      <c r="F1" s="471" t="s">
        <v>532</v>
      </c>
      <c r="P1" s="468"/>
    </row>
    <row r="2" spans="1:28" s="469" customFormat="1" ht="17.399999999999999" x14ac:dyDescent="0.3">
      <c r="A2" s="752" t="s">
        <v>531</v>
      </c>
      <c r="B2" s="752"/>
      <c r="C2" s="752"/>
      <c r="D2" s="752"/>
      <c r="E2" s="752"/>
      <c r="F2" s="752"/>
      <c r="P2" s="468"/>
    </row>
    <row r="3" spans="1:28" s="469" customFormat="1" ht="17.399999999999999" x14ac:dyDescent="0.3">
      <c r="A3" s="751" t="str">
        <f>'Anx A'!A3:H3</f>
        <v>Project Control Unit:-  Dev of C-15 Islamabad</v>
      </c>
      <c r="B3" s="751"/>
      <c r="C3" s="751"/>
      <c r="D3" s="751"/>
      <c r="E3" s="751"/>
      <c r="F3" s="751"/>
      <c r="G3" s="473"/>
      <c r="H3" s="473"/>
      <c r="I3" s="473"/>
      <c r="J3" s="473"/>
      <c r="K3" s="473"/>
      <c r="L3" s="473"/>
      <c r="M3" s="473"/>
      <c r="N3" s="473"/>
      <c r="O3" s="473"/>
      <c r="P3" s="468"/>
    </row>
    <row r="4" spans="1:28" s="469" customFormat="1" ht="16.2" thickBot="1" x14ac:dyDescent="0.3">
      <c r="A4" s="750"/>
      <c r="B4" s="750"/>
      <c r="C4" s="750"/>
      <c r="D4" s="750"/>
      <c r="E4" s="750"/>
      <c r="F4" s="474"/>
      <c r="G4" s="473"/>
      <c r="H4" s="473"/>
      <c r="I4" s="473"/>
      <c r="J4" s="473"/>
      <c r="K4" s="473"/>
      <c r="L4" s="473"/>
      <c r="M4" s="473"/>
      <c r="N4" s="473"/>
      <c r="O4" s="473"/>
    </row>
    <row r="5" spans="1:28" s="456" customFormat="1" ht="24.75" customHeight="1" thickTop="1" thickBot="1" x14ac:dyDescent="0.3">
      <c r="A5" s="749" t="s">
        <v>6</v>
      </c>
      <c r="B5" s="749" t="s">
        <v>14</v>
      </c>
      <c r="C5" s="753" t="s">
        <v>487</v>
      </c>
      <c r="D5" s="753"/>
      <c r="E5" s="754"/>
      <c r="F5" s="744" t="s">
        <v>19</v>
      </c>
      <c r="P5" s="469"/>
      <c r="Q5" s="469"/>
      <c r="R5" s="469"/>
    </row>
    <row r="6" spans="1:28" s="456" customFormat="1" ht="37.5" customHeight="1" thickTop="1" thickBot="1" x14ac:dyDescent="0.3">
      <c r="A6" s="749"/>
      <c r="B6" s="749"/>
      <c r="C6" s="644" t="s">
        <v>537</v>
      </c>
      <c r="D6" s="644" t="s">
        <v>50</v>
      </c>
      <c r="E6" s="614" t="s">
        <v>66</v>
      </c>
      <c r="F6" s="745"/>
      <c r="P6" s="469"/>
      <c r="Q6" s="469"/>
      <c r="R6" s="469"/>
    </row>
    <row r="7" spans="1:28" s="456" customFormat="1" ht="30" customHeight="1" thickTop="1" x14ac:dyDescent="0.3">
      <c r="A7" s="746" t="s">
        <v>30</v>
      </c>
      <c r="B7" s="747"/>
      <c r="C7" s="475"/>
      <c r="D7" s="476"/>
      <c r="E7" s="477"/>
      <c r="F7" s="478"/>
      <c r="L7" s="458"/>
    </row>
    <row r="8" spans="1:28" s="470" customFormat="1" ht="28.5" customHeight="1" x14ac:dyDescent="0.3">
      <c r="A8" s="615">
        <v>1</v>
      </c>
      <c r="B8" s="479" t="s">
        <v>498</v>
      </c>
      <c r="C8" s="480">
        <f>'Anx G'!G12</f>
        <v>0</v>
      </c>
      <c r="D8" s="465">
        <f>'Anx G'!H12</f>
        <v>0</v>
      </c>
      <c r="E8" s="480">
        <f>'Anx G'!J12</f>
        <v>0</v>
      </c>
      <c r="F8" s="584"/>
      <c r="L8" s="482"/>
      <c r="N8" s="483"/>
      <c r="O8" s="484"/>
    </row>
    <row r="9" spans="1:28" s="470" customFormat="1" ht="26.25" customHeight="1" x14ac:dyDescent="0.3">
      <c r="A9" s="615">
        <v>2</v>
      </c>
      <c r="B9" s="479" t="s">
        <v>68</v>
      </c>
      <c r="C9" s="480">
        <f>'Anx E'!J8</f>
        <v>0</v>
      </c>
      <c r="D9" s="600">
        <f>'Anx E'!K8</f>
        <v>261.90799999999996</v>
      </c>
      <c r="E9" s="480">
        <f>'Anx E'!O8</f>
        <v>0</v>
      </c>
      <c r="F9" s="485"/>
      <c r="H9" s="482">
        <f>D9+D17</f>
        <v>272.98699999999997</v>
      </c>
      <c r="N9" s="483"/>
      <c r="O9" s="482"/>
    </row>
    <row r="10" spans="1:28" s="456" customFormat="1" ht="26.25" customHeight="1" x14ac:dyDescent="0.3">
      <c r="A10" s="616">
        <v>3</v>
      </c>
      <c r="B10" s="479" t="s">
        <v>478</v>
      </c>
      <c r="C10" s="480"/>
      <c r="D10" s="600"/>
      <c r="E10" s="480"/>
      <c r="F10" s="486"/>
      <c r="H10" s="458">
        <f>H9*1000000</f>
        <v>272986999.99999994</v>
      </c>
      <c r="K10" s="489"/>
      <c r="N10" s="490"/>
      <c r="O10" s="458"/>
    </row>
    <row r="11" spans="1:28" s="470" customFormat="1" ht="26.25" customHeight="1" x14ac:dyDescent="0.3">
      <c r="A11" s="487"/>
      <c r="B11" s="486" t="s">
        <v>479</v>
      </c>
      <c r="C11" s="480"/>
      <c r="D11" s="600"/>
      <c r="E11" s="480"/>
      <c r="F11" s="486"/>
      <c r="K11" s="488"/>
      <c r="N11" s="483"/>
      <c r="O11" s="482"/>
    </row>
    <row r="12" spans="1:28" s="470" customFormat="1" ht="26.25" customHeight="1" x14ac:dyDescent="0.3">
      <c r="A12" s="487"/>
      <c r="B12" s="486" t="s">
        <v>480</v>
      </c>
      <c r="C12" s="480"/>
      <c r="D12" s="600"/>
      <c r="E12" s="480"/>
      <c r="F12" s="486"/>
      <c r="K12" s="488"/>
      <c r="N12" s="483"/>
      <c r="O12" s="482"/>
    </row>
    <row r="13" spans="1:28" s="456" customFormat="1" ht="26.25" customHeight="1" x14ac:dyDescent="0.3">
      <c r="A13" s="616">
        <v>4</v>
      </c>
      <c r="B13" s="479" t="s">
        <v>481</v>
      </c>
      <c r="C13" s="480"/>
      <c r="D13" s="600"/>
      <c r="E13" s="480"/>
      <c r="F13" s="486"/>
      <c r="K13" s="489"/>
      <c r="N13" s="490"/>
      <c r="O13" s="458"/>
    </row>
    <row r="14" spans="1:28" s="470" customFormat="1" ht="26.25" customHeight="1" x14ac:dyDescent="0.3">
      <c r="A14" s="487"/>
      <c r="B14" s="486" t="s">
        <v>484</v>
      </c>
      <c r="C14" s="627">
        <v>0.51</v>
      </c>
      <c r="D14" s="628">
        <f>0.32+0.61+0.61+0.301+0.301+0.801+0.585+0.585+0.485+0.485+0.35+0.385+0.385+0.385+0.375+0.375+0.536+0.536+0.536+0.51+0.51+0.51+0.51+0.51+0.51+0.51</f>
        <v>12.515999999999996</v>
      </c>
      <c r="E14" s="629">
        <v>0.51</v>
      </c>
      <c r="F14" s="481"/>
      <c r="H14" s="482">
        <f>D14+D16</f>
        <v>20.319999999999997</v>
      </c>
      <c r="K14" s="488"/>
      <c r="N14" s="483"/>
      <c r="O14" s="482"/>
    </row>
    <row r="15" spans="1:28" s="456" customFormat="1" ht="26.25" customHeight="1" x14ac:dyDescent="0.3">
      <c r="A15" s="616">
        <v>5</v>
      </c>
      <c r="B15" s="479" t="s">
        <v>57</v>
      </c>
      <c r="C15" s="506"/>
      <c r="D15" s="600"/>
      <c r="E15" s="506"/>
      <c r="F15" s="480"/>
      <c r="H15" s="458">
        <f>H14*1000000</f>
        <v>20319999.999999996</v>
      </c>
      <c r="J15" s="458"/>
      <c r="K15" s="489"/>
      <c r="M15" s="458"/>
      <c r="N15" s="490"/>
      <c r="O15" s="491"/>
      <c r="P15" s="491"/>
      <c r="Q15" s="491"/>
      <c r="R15" s="491"/>
      <c r="T15" s="458"/>
      <c r="AB15" s="490"/>
    </row>
    <row r="16" spans="1:28" s="470" customFormat="1" ht="26.25" customHeight="1" x14ac:dyDescent="0.3">
      <c r="A16" s="492"/>
      <c r="B16" s="492" t="s">
        <v>554</v>
      </c>
      <c r="C16" s="704">
        <v>0</v>
      </c>
      <c r="D16" s="703">
        <f>4.169+0.095+2.17+1.37</f>
        <v>7.8039999999999994</v>
      </c>
      <c r="E16" s="704">
        <v>0</v>
      </c>
      <c r="F16" s="493"/>
      <c r="I16" s="597"/>
      <c r="J16" s="482"/>
      <c r="K16" s="488"/>
      <c r="N16" s="483"/>
      <c r="O16" s="484"/>
      <c r="P16" s="484"/>
      <c r="Q16" s="482"/>
      <c r="R16" s="494"/>
    </row>
    <row r="17" spans="1:18" s="470" customFormat="1" ht="26.25" customHeight="1" x14ac:dyDescent="0.3">
      <c r="A17" s="486"/>
      <c r="B17" s="486" t="s">
        <v>567</v>
      </c>
      <c r="C17" s="480">
        <v>2.5000000000000001E-2</v>
      </c>
      <c r="D17" s="465">
        <f>0.305+2.3+0.025+0.025+0.138+0.025+0.364+0.025+0.251+3.25+0.241+0.08+0.025+0.06+1.66+2.28+0.025</f>
        <v>11.078999999999999</v>
      </c>
      <c r="E17" s="480">
        <v>0.03</v>
      </c>
      <c r="F17" s="480"/>
      <c r="I17" s="597"/>
      <c r="J17" s="482"/>
      <c r="K17" s="488"/>
      <c r="N17" s="483"/>
      <c r="O17" s="484"/>
      <c r="P17" s="484"/>
      <c r="Q17" s="482"/>
      <c r="R17" s="494"/>
    </row>
    <row r="18" spans="1:18" s="456" customFormat="1" ht="26.25" customHeight="1" thickBot="1" x14ac:dyDescent="0.35">
      <c r="A18" s="695"/>
      <c r="B18" s="696" t="s">
        <v>16</v>
      </c>
      <c r="C18" s="697">
        <f>SUM(C8:C17)</f>
        <v>0.53500000000000003</v>
      </c>
      <c r="D18" s="697">
        <f>SUM(D8:D17)</f>
        <v>293.30699999999996</v>
      </c>
      <c r="E18" s="697">
        <f>SUM(E8:E17)</f>
        <v>0.54</v>
      </c>
      <c r="F18" s="698"/>
      <c r="H18" s="458"/>
      <c r="J18" s="491"/>
      <c r="O18" s="458"/>
      <c r="P18" s="458"/>
    </row>
    <row r="19" spans="1:18" s="469" customFormat="1" ht="16.2" thickTop="1" x14ac:dyDescent="0.3">
      <c r="A19" s="314"/>
      <c r="B19" s="743"/>
      <c r="C19" s="743"/>
      <c r="D19" s="743"/>
      <c r="E19" s="743"/>
      <c r="F19" s="743"/>
      <c r="N19" s="495"/>
    </row>
    <row r="20" spans="1:18" s="469" customFormat="1" ht="15.6" x14ac:dyDescent="0.3">
      <c r="A20" s="314"/>
      <c r="B20" s="496"/>
      <c r="C20" s="497"/>
      <c r="D20" s="498"/>
      <c r="E20" s="499"/>
      <c r="F20" s="500"/>
      <c r="J20" s="495"/>
      <c r="M20" s="501"/>
    </row>
    <row r="21" spans="1:18" x14ac:dyDescent="0.3">
      <c r="F21" s="319">
        <f>D18*1000000</f>
        <v>293306999.99999994</v>
      </c>
      <c r="P21" s="317"/>
    </row>
    <row r="22" spans="1:18" x14ac:dyDescent="0.3">
      <c r="F22" s="319"/>
    </row>
    <row r="23" spans="1:18" x14ac:dyDescent="0.3">
      <c r="E23" s="438"/>
      <c r="F23" s="319"/>
    </row>
    <row r="24" spans="1:18" x14ac:dyDescent="0.3">
      <c r="F24" s="319"/>
    </row>
    <row r="25" spans="1:18" ht="21" x14ac:dyDescent="0.3">
      <c r="E25" s="582"/>
      <c r="F25" s="319"/>
    </row>
    <row r="26" spans="1:18" x14ac:dyDescent="0.3">
      <c r="F26" s="319"/>
    </row>
    <row r="30" spans="1:18" ht="21" x14ac:dyDescent="0.3">
      <c r="E30" s="583"/>
    </row>
  </sheetData>
  <mergeCells count="10">
    <mergeCell ref="B19:F19"/>
    <mergeCell ref="F5:F6"/>
    <mergeCell ref="A7:B7"/>
    <mergeCell ref="A1:E1"/>
    <mergeCell ref="A5:A6"/>
    <mergeCell ref="B5:B6"/>
    <mergeCell ref="A4:E4"/>
    <mergeCell ref="A3:F3"/>
    <mergeCell ref="A2:F2"/>
    <mergeCell ref="C5:E5"/>
  </mergeCells>
  <phoneticPr fontId="0" type="noConversion"/>
  <printOptions horizontalCentered="1"/>
  <pageMargins left="0.7" right="0.7" top="0.75" bottom="0.75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G397"/>
  <sheetViews>
    <sheetView view="pageBreakPreview" zoomScale="60" workbookViewId="0">
      <pane xSplit="3" ySplit="6" topLeftCell="G7" activePane="bottomRight" state="frozen"/>
      <selection activeCell="G34" sqref="G34"/>
      <selection pane="topRight" activeCell="G34" sqref="G34"/>
      <selection pane="bottomLeft" activeCell="G34" sqref="G34"/>
      <selection pane="bottomRight" activeCell="R8" sqref="R8"/>
    </sheetView>
  </sheetViews>
  <sheetFormatPr defaultColWidth="9.109375" defaultRowHeight="14.4" x14ac:dyDescent="0.3"/>
  <cols>
    <col min="1" max="1" width="5.44140625" style="427" bestFit="1" customWidth="1"/>
    <col min="2" max="2" width="12.33203125" style="332" hidden="1" customWidth="1"/>
    <col min="3" max="3" width="61.5546875" style="329" customWidth="1"/>
    <col min="4" max="4" width="13.88671875" style="329" customWidth="1"/>
    <col min="5" max="5" width="16" style="329" bestFit="1" customWidth="1"/>
    <col min="6" max="6" width="19.44140625" style="329" bestFit="1" customWidth="1"/>
    <col min="7" max="7" width="10.109375" style="329" customWidth="1"/>
    <col min="8" max="8" width="11.88671875" style="329" customWidth="1"/>
    <col min="9" max="9" width="9.5546875" style="329" customWidth="1"/>
    <col min="10" max="10" width="15.88671875" style="329" customWidth="1"/>
    <col min="11" max="11" width="18.33203125" style="329" customWidth="1"/>
    <col min="12" max="12" width="13.88671875" style="329" customWidth="1"/>
    <col min="13" max="13" width="12.44140625" style="329" customWidth="1"/>
    <col min="14" max="14" width="14.109375" style="329" customWidth="1"/>
    <col min="15" max="15" width="15.44140625" style="329" customWidth="1"/>
    <col min="16" max="16" width="14.6640625" style="329" customWidth="1"/>
    <col min="17" max="17" width="11.5546875" style="329" customWidth="1"/>
    <col min="18" max="18" width="12.5546875" style="329" customWidth="1"/>
    <col min="19" max="19" width="10.6640625" style="329" customWidth="1"/>
    <col min="20" max="20" width="19.6640625" style="329" hidden="1" customWidth="1"/>
    <col min="21" max="21" width="14.6640625" style="329" hidden="1" customWidth="1"/>
    <col min="22" max="22" width="13.6640625" style="329" hidden="1" customWidth="1"/>
    <col min="23" max="23" width="0" style="329" hidden="1" customWidth="1"/>
    <col min="24" max="24" width="12.6640625" style="329" hidden="1" customWidth="1"/>
    <col min="25" max="25" width="0" style="329" hidden="1" customWidth="1"/>
    <col min="26" max="26" width="11.109375" style="329" hidden="1" customWidth="1"/>
    <col min="27" max="27" width="0" style="329" hidden="1" customWidth="1"/>
    <col min="28" max="28" width="3.44140625" style="329" customWidth="1"/>
    <col min="29" max="29" width="17.109375" style="329" bestFit="1" customWidth="1"/>
    <col min="30" max="30" width="15.33203125" style="329" bestFit="1" customWidth="1"/>
    <col min="31" max="31" width="14.6640625" style="329" bestFit="1" customWidth="1"/>
    <col min="32" max="32" width="11.109375" style="329" bestFit="1" customWidth="1"/>
    <col min="33" max="33" width="14.6640625" style="329" bestFit="1" customWidth="1"/>
    <col min="34" max="16384" width="9.109375" style="329"/>
  </cols>
  <sheetData>
    <row r="1" spans="1:33" s="502" customFormat="1" ht="17.399999999999999" x14ac:dyDescent="0.3">
      <c r="A1" s="770" t="s">
        <v>64</v>
      </c>
      <c r="B1" s="770"/>
      <c r="C1" s="770"/>
      <c r="D1" s="770"/>
      <c r="E1" s="770"/>
      <c r="F1" s="770"/>
      <c r="G1" s="770"/>
      <c r="H1" s="770"/>
      <c r="I1" s="770"/>
      <c r="J1" s="770"/>
      <c r="K1" s="770"/>
      <c r="L1" s="770"/>
      <c r="M1" s="770"/>
      <c r="N1" s="770"/>
      <c r="O1" s="770"/>
      <c r="P1" s="770"/>
      <c r="Q1" s="770"/>
      <c r="R1" s="770"/>
      <c r="S1" s="770"/>
      <c r="T1" s="503"/>
    </row>
    <row r="2" spans="1:33" s="502" customFormat="1" ht="29.25" customHeight="1" x14ac:dyDescent="0.25">
      <c r="A2" s="771" t="s">
        <v>71</v>
      </c>
      <c r="B2" s="771"/>
      <c r="C2" s="771"/>
      <c r="D2" s="771"/>
      <c r="E2" s="771"/>
      <c r="F2" s="771"/>
      <c r="G2" s="771"/>
      <c r="H2" s="771"/>
      <c r="I2" s="771"/>
      <c r="J2" s="771"/>
      <c r="K2" s="771"/>
      <c r="L2" s="771"/>
      <c r="M2" s="771"/>
      <c r="N2" s="771"/>
      <c r="O2" s="771"/>
      <c r="P2" s="771"/>
      <c r="Q2" s="771"/>
      <c r="R2" s="771"/>
      <c r="S2" s="771"/>
      <c r="T2" s="503"/>
    </row>
    <row r="3" spans="1:33" s="502" customFormat="1" ht="31.5" customHeight="1" x14ac:dyDescent="0.25">
      <c r="A3" s="771" t="str">
        <f>'Anx A'!A3:H3</f>
        <v>Project Control Unit:-  Dev of C-15 Islamabad</v>
      </c>
      <c r="B3" s="771"/>
      <c r="C3" s="771"/>
      <c r="D3" s="771"/>
      <c r="E3" s="771"/>
      <c r="F3" s="771"/>
      <c r="G3" s="771"/>
      <c r="H3" s="771"/>
      <c r="I3" s="771"/>
      <c r="J3" s="771"/>
      <c r="K3" s="771"/>
      <c r="L3" s="771"/>
      <c r="M3" s="771"/>
      <c r="N3" s="771"/>
      <c r="O3" s="771"/>
      <c r="P3" s="771"/>
      <c r="Q3" s="771"/>
      <c r="R3" s="771"/>
      <c r="S3" s="771"/>
    </row>
    <row r="4" spans="1:33" s="502" customFormat="1" ht="16.2" thickBot="1" x14ac:dyDescent="0.35">
      <c r="A4" s="766"/>
      <c r="B4" s="766"/>
      <c r="C4" s="766"/>
      <c r="D4" s="766"/>
      <c r="E4" s="766"/>
      <c r="F4" s="766"/>
      <c r="G4" s="766"/>
      <c r="H4" s="766"/>
      <c r="I4" s="766"/>
      <c r="J4" s="766"/>
      <c r="K4" s="766"/>
      <c r="L4" s="766"/>
      <c r="M4" s="766"/>
      <c r="N4" s="766"/>
      <c r="O4" s="766"/>
      <c r="P4" s="766"/>
      <c r="Q4" s="766"/>
      <c r="R4" s="766"/>
    </row>
    <row r="5" spans="1:33" s="521" customFormat="1" ht="33" customHeight="1" thickTop="1" thickBot="1" x14ac:dyDescent="0.35">
      <c r="A5" s="762" t="s">
        <v>41</v>
      </c>
      <c r="B5" s="762" t="s">
        <v>59</v>
      </c>
      <c r="C5" s="762" t="s">
        <v>42</v>
      </c>
      <c r="D5" s="764" t="s">
        <v>140</v>
      </c>
      <c r="E5" s="767" t="s">
        <v>141</v>
      </c>
      <c r="F5" s="758" t="s">
        <v>15</v>
      </c>
      <c r="G5" s="759"/>
      <c r="H5" s="759"/>
      <c r="I5" s="759"/>
      <c r="J5" s="760"/>
      <c r="K5" s="761" t="s">
        <v>50</v>
      </c>
      <c r="L5" s="759"/>
      <c r="M5" s="759"/>
      <c r="N5" s="759"/>
      <c r="O5" s="761" t="s">
        <v>51</v>
      </c>
      <c r="P5" s="759"/>
      <c r="Q5" s="759"/>
      <c r="R5" s="759"/>
      <c r="S5" s="756" t="s">
        <v>19</v>
      </c>
    </row>
    <row r="6" spans="1:33" s="502" customFormat="1" ht="81" customHeight="1" thickTop="1" x14ac:dyDescent="0.25">
      <c r="A6" s="769"/>
      <c r="B6" s="769"/>
      <c r="C6" s="763"/>
      <c r="D6" s="765"/>
      <c r="E6" s="768"/>
      <c r="F6" s="681" t="s">
        <v>60</v>
      </c>
      <c r="G6" s="522" t="s">
        <v>69</v>
      </c>
      <c r="H6" s="522" t="s">
        <v>24</v>
      </c>
      <c r="I6" s="522" t="s">
        <v>148</v>
      </c>
      <c r="J6" s="522" t="s">
        <v>70</v>
      </c>
      <c r="K6" s="522" t="s">
        <v>60</v>
      </c>
      <c r="L6" s="522" t="s">
        <v>24</v>
      </c>
      <c r="M6" s="522" t="s">
        <v>469</v>
      </c>
      <c r="N6" s="522" t="s">
        <v>489</v>
      </c>
      <c r="O6" s="522" t="s">
        <v>60</v>
      </c>
      <c r="P6" s="522" t="s">
        <v>24</v>
      </c>
      <c r="Q6" s="522" t="s">
        <v>151</v>
      </c>
      <c r="R6" s="522" t="s">
        <v>70</v>
      </c>
      <c r="S6" s="757"/>
      <c r="V6" s="504"/>
    </row>
    <row r="7" spans="1:33" s="502" customFormat="1" ht="43.5" customHeight="1" x14ac:dyDescent="0.25">
      <c r="A7" s="682">
        <v>1</v>
      </c>
      <c r="B7" s="682"/>
      <c r="C7" s="687" t="s">
        <v>566</v>
      </c>
      <c r="D7" s="676">
        <v>633.04999999999995</v>
      </c>
      <c r="E7" s="676">
        <v>497.06</v>
      </c>
      <c r="F7" s="684">
        <v>0</v>
      </c>
      <c r="G7" s="685">
        <v>0</v>
      </c>
      <c r="H7" s="685">
        <v>0</v>
      </c>
      <c r="I7" s="685">
        <v>0</v>
      </c>
      <c r="J7" s="686">
        <f>F7</f>
        <v>0</v>
      </c>
      <c r="K7" s="686">
        <f>79.05+26.6+23.45+40.46+19.17+9.51+2.79+2.12+0.628+30.61+27.52</f>
        <v>261.90799999999996</v>
      </c>
      <c r="L7" s="686">
        <v>0</v>
      </c>
      <c r="M7" s="686">
        <v>0</v>
      </c>
      <c r="N7" s="686">
        <f>K7</f>
        <v>261.90799999999996</v>
      </c>
      <c r="O7" s="686">
        <v>0</v>
      </c>
      <c r="P7" s="686">
        <v>0</v>
      </c>
      <c r="Q7" s="686">
        <v>0</v>
      </c>
      <c r="R7" s="686">
        <f>O7</f>
        <v>0</v>
      </c>
      <c r="S7" s="683"/>
      <c r="V7" s="504"/>
    </row>
    <row r="8" spans="1:33" s="590" customFormat="1" ht="43.5" customHeight="1" x14ac:dyDescent="0.3">
      <c r="A8" s="523"/>
      <c r="B8" s="678"/>
      <c r="C8" s="679" t="s">
        <v>547</v>
      </c>
      <c r="D8" s="677"/>
      <c r="E8" s="677"/>
      <c r="F8" s="677">
        <f t="shared" ref="F8:R8" si="0">SUM(F7:F7)</f>
        <v>0</v>
      </c>
      <c r="G8" s="677">
        <f t="shared" si="0"/>
        <v>0</v>
      </c>
      <c r="H8" s="677">
        <f t="shared" si="0"/>
        <v>0</v>
      </c>
      <c r="I8" s="677">
        <f t="shared" si="0"/>
        <v>0</v>
      </c>
      <c r="J8" s="677">
        <f t="shared" si="0"/>
        <v>0</v>
      </c>
      <c r="K8" s="677">
        <f t="shared" si="0"/>
        <v>261.90799999999996</v>
      </c>
      <c r="L8" s="677">
        <f t="shared" si="0"/>
        <v>0</v>
      </c>
      <c r="M8" s="677">
        <f t="shared" si="0"/>
        <v>0</v>
      </c>
      <c r="N8" s="677">
        <f t="shared" si="0"/>
        <v>261.90799999999996</v>
      </c>
      <c r="O8" s="677">
        <f t="shared" si="0"/>
        <v>0</v>
      </c>
      <c r="P8" s="677">
        <f t="shared" si="0"/>
        <v>0</v>
      </c>
      <c r="Q8" s="677">
        <f t="shared" si="0"/>
        <v>0</v>
      </c>
      <c r="R8" s="677">
        <f t="shared" si="0"/>
        <v>0</v>
      </c>
      <c r="S8" s="679"/>
      <c r="T8" s="590">
        <v>221775361</v>
      </c>
      <c r="AC8" s="680"/>
      <c r="AE8" s="680"/>
      <c r="AG8" s="680"/>
    </row>
    <row r="9" spans="1:33" s="502" customFormat="1" ht="16.5" customHeight="1" x14ac:dyDescent="0.3">
      <c r="A9" s="755"/>
      <c r="B9" s="755"/>
      <c r="C9" s="755"/>
      <c r="D9" s="755"/>
      <c r="E9" s="755"/>
      <c r="F9" s="755"/>
      <c r="G9" s="755"/>
      <c r="H9" s="755"/>
      <c r="I9" s="755"/>
      <c r="J9" s="755"/>
      <c r="K9" s="755"/>
      <c r="L9" s="755"/>
      <c r="M9" s="755"/>
      <c r="N9" s="755"/>
      <c r="O9" s="755"/>
      <c r="P9" s="755"/>
      <c r="Q9" s="755"/>
      <c r="R9" s="755"/>
      <c r="S9" s="755"/>
      <c r="T9" s="504" t="e">
        <f>#REF!-T8</f>
        <v>#REF!</v>
      </c>
    </row>
    <row r="10" spans="1:33" s="502" customFormat="1" ht="15.6" x14ac:dyDescent="0.3">
      <c r="A10" s="507"/>
      <c r="B10" s="509"/>
      <c r="D10" s="510"/>
      <c r="E10" s="511"/>
      <c r="F10" s="512"/>
      <c r="G10" s="505"/>
      <c r="I10" s="513"/>
      <c r="J10" s="514"/>
      <c r="L10" s="515"/>
    </row>
    <row r="11" spans="1:33" s="502" customFormat="1" ht="15.6" x14ac:dyDescent="0.3">
      <c r="A11" s="507"/>
      <c r="B11" s="509"/>
      <c r="D11" s="472"/>
      <c r="F11" s="512"/>
      <c r="G11" s="505"/>
      <c r="H11" s="505"/>
      <c r="K11" s="505"/>
    </row>
    <row r="12" spans="1:33" s="502" customFormat="1" ht="15.6" x14ac:dyDescent="0.3">
      <c r="A12" s="507"/>
      <c r="B12" s="509"/>
      <c r="C12" s="428"/>
      <c r="D12" s="510"/>
      <c r="F12" s="512"/>
      <c r="G12" s="505"/>
      <c r="O12" s="505"/>
    </row>
    <row r="13" spans="1:33" s="502" customFormat="1" ht="15.6" x14ac:dyDescent="0.3">
      <c r="A13" s="507"/>
      <c r="B13" s="509"/>
      <c r="C13" s="428"/>
      <c r="D13" s="472"/>
      <c r="F13" s="512"/>
      <c r="G13" s="505"/>
    </row>
    <row r="14" spans="1:33" s="502" customFormat="1" ht="15" x14ac:dyDescent="0.25">
      <c r="A14" s="507"/>
      <c r="B14" s="509"/>
      <c r="C14" s="428"/>
      <c r="D14" s="472"/>
      <c r="F14" s="516"/>
      <c r="G14" s="505"/>
      <c r="H14" s="505"/>
    </row>
    <row r="15" spans="1:33" s="502" customFormat="1" ht="15" x14ac:dyDescent="0.25">
      <c r="A15" s="507"/>
      <c r="B15" s="509"/>
      <c r="C15" s="428"/>
      <c r="D15" s="472"/>
      <c r="F15" s="516"/>
      <c r="G15" s="505"/>
      <c r="I15" s="505"/>
    </row>
    <row r="16" spans="1:33" s="502" customFormat="1" ht="15" x14ac:dyDescent="0.25">
      <c r="A16" s="507"/>
      <c r="B16" s="509"/>
      <c r="C16" s="428"/>
      <c r="D16" s="472"/>
      <c r="F16" s="516"/>
      <c r="G16" s="517"/>
    </row>
    <row r="17" spans="1:12" s="502" customFormat="1" ht="15" x14ac:dyDescent="0.25">
      <c r="A17" s="507"/>
      <c r="B17" s="509"/>
      <c r="C17" s="428"/>
      <c r="D17" s="472"/>
      <c r="F17" s="516"/>
      <c r="G17" s="518"/>
    </row>
    <row r="18" spans="1:12" s="502" customFormat="1" ht="15" x14ac:dyDescent="0.25">
      <c r="A18" s="507"/>
      <c r="B18" s="509"/>
      <c r="C18" s="428"/>
      <c r="D18" s="472"/>
      <c r="F18" s="516"/>
      <c r="G18" s="516"/>
    </row>
    <row r="19" spans="1:12" s="502" customFormat="1" ht="15" x14ac:dyDescent="0.25">
      <c r="A19" s="507"/>
      <c r="B19" s="509"/>
      <c r="C19" s="519"/>
      <c r="D19" s="472"/>
      <c r="F19" s="516"/>
    </row>
    <row r="20" spans="1:12" s="502" customFormat="1" ht="15" x14ac:dyDescent="0.25">
      <c r="A20" s="507"/>
      <c r="B20" s="509"/>
      <c r="C20" s="519"/>
      <c r="D20" s="472"/>
      <c r="F20" s="516"/>
    </row>
    <row r="21" spans="1:12" s="502" customFormat="1" ht="15" x14ac:dyDescent="0.25">
      <c r="A21" s="507"/>
      <c r="B21" s="509"/>
      <c r="C21" s="520"/>
      <c r="D21" s="472"/>
      <c r="F21" s="516"/>
    </row>
    <row r="22" spans="1:12" s="502" customFormat="1" ht="15" x14ac:dyDescent="0.25">
      <c r="A22" s="507"/>
      <c r="B22" s="509"/>
      <c r="C22" s="520"/>
      <c r="D22" s="472"/>
      <c r="F22" s="516"/>
    </row>
    <row r="23" spans="1:12" s="502" customFormat="1" ht="15" x14ac:dyDescent="0.25">
      <c r="A23" s="507"/>
      <c r="B23" s="509"/>
      <c r="C23" s="520"/>
      <c r="D23" s="472"/>
      <c r="F23" s="516"/>
    </row>
    <row r="24" spans="1:12" s="502" customFormat="1" ht="15" x14ac:dyDescent="0.25">
      <c r="A24" s="507"/>
      <c r="B24" s="509"/>
      <c r="C24" s="516"/>
    </row>
    <row r="25" spans="1:12" s="502" customFormat="1" ht="15" x14ac:dyDescent="0.25">
      <c r="A25" s="507"/>
      <c r="B25" s="509"/>
      <c r="C25" s="516"/>
    </row>
    <row r="26" spans="1:12" s="502" customFormat="1" ht="15" x14ac:dyDescent="0.25">
      <c r="A26" s="507"/>
      <c r="B26" s="509"/>
      <c r="C26" s="516"/>
      <c r="L26" s="502">
        <f>L25</f>
        <v>0</v>
      </c>
    </row>
    <row r="27" spans="1:12" s="502" customFormat="1" ht="15" x14ac:dyDescent="0.25">
      <c r="A27" s="507"/>
      <c r="B27" s="509"/>
      <c r="C27" s="516"/>
    </row>
    <row r="28" spans="1:12" s="502" customFormat="1" ht="15" x14ac:dyDescent="0.25">
      <c r="A28" s="507"/>
      <c r="B28" s="509"/>
      <c r="C28" s="516"/>
    </row>
    <row r="29" spans="1:12" s="502" customFormat="1" ht="15" x14ac:dyDescent="0.25">
      <c r="A29" s="507"/>
      <c r="B29" s="509"/>
      <c r="C29" s="516"/>
    </row>
    <row r="30" spans="1:12" s="502" customFormat="1" ht="15" x14ac:dyDescent="0.25">
      <c r="A30" s="507"/>
      <c r="B30" s="509"/>
      <c r="C30" s="516"/>
    </row>
    <row r="31" spans="1:12" s="502" customFormat="1" ht="15" x14ac:dyDescent="0.25">
      <c r="A31" s="507"/>
      <c r="B31" s="508"/>
    </row>
    <row r="32" spans="1:12" s="502" customFormat="1" ht="15" x14ac:dyDescent="0.25">
      <c r="A32" s="507"/>
      <c r="B32" s="508"/>
    </row>
    <row r="33" spans="1:2" s="502" customFormat="1" ht="15" x14ac:dyDescent="0.25">
      <c r="A33" s="507"/>
      <c r="B33" s="508"/>
    </row>
    <row r="34" spans="1:2" s="502" customFormat="1" ht="15" x14ac:dyDescent="0.25">
      <c r="A34" s="507"/>
      <c r="B34" s="508"/>
    </row>
    <row r="35" spans="1:2" s="502" customFormat="1" ht="15" x14ac:dyDescent="0.25">
      <c r="A35" s="507"/>
      <c r="B35" s="508"/>
    </row>
    <row r="36" spans="1:2" s="502" customFormat="1" ht="15" x14ac:dyDescent="0.25">
      <c r="A36" s="507"/>
      <c r="B36" s="508"/>
    </row>
    <row r="37" spans="1:2" s="502" customFormat="1" ht="15" x14ac:dyDescent="0.25">
      <c r="A37" s="507"/>
      <c r="B37" s="508"/>
    </row>
    <row r="38" spans="1:2" s="502" customFormat="1" ht="15" x14ac:dyDescent="0.25">
      <c r="A38" s="507"/>
      <c r="B38" s="508"/>
    </row>
    <row r="39" spans="1:2" s="502" customFormat="1" ht="15" x14ac:dyDescent="0.25">
      <c r="A39" s="507"/>
      <c r="B39" s="508"/>
    </row>
    <row r="40" spans="1:2" s="502" customFormat="1" ht="15" x14ac:dyDescent="0.25">
      <c r="A40" s="507"/>
      <c r="B40" s="508"/>
    </row>
    <row r="41" spans="1:2" s="502" customFormat="1" ht="15" x14ac:dyDescent="0.25">
      <c r="A41" s="507"/>
      <c r="B41" s="508"/>
    </row>
    <row r="42" spans="1:2" s="502" customFormat="1" ht="15" x14ac:dyDescent="0.25">
      <c r="A42" s="507"/>
      <c r="B42" s="508"/>
    </row>
    <row r="43" spans="1:2" s="502" customFormat="1" ht="15" x14ac:dyDescent="0.25">
      <c r="A43" s="507"/>
      <c r="B43" s="508"/>
    </row>
    <row r="44" spans="1:2" s="502" customFormat="1" ht="15" x14ac:dyDescent="0.25">
      <c r="A44" s="507"/>
      <c r="B44" s="508"/>
    </row>
    <row r="45" spans="1:2" s="502" customFormat="1" ht="15" x14ac:dyDescent="0.25">
      <c r="A45" s="507"/>
      <c r="B45" s="508"/>
    </row>
    <row r="46" spans="1:2" s="502" customFormat="1" ht="15" x14ac:dyDescent="0.25">
      <c r="A46" s="507"/>
      <c r="B46" s="508"/>
    </row>
    <row r="47" spans="1:2" s="502" customFormat="1" ht="15" x14ac:dyDescent="0.25">
      <c r="A47" s="507"/>
      <c r="B47" s="508"/>
    </row>
    <row r="48" spans="1:2" s="502" customFormat="1" ht="15" x14ac:dyDescent="0.25">
      <c r="A48" s="507"/>
      <c r="B48" s="508"/>
    </row>
    <row r="49" spans="1:2" s="502" customFormat="1" ht="15" x14ac:dyDescent="0.25">
      <c r="A49" s="507"/>
      <c r="B49" s="508"/>
    </row>
    <row r="50" spans="1:2" s="502" customFormat="1" ht="15" x14ac:dyDescent="0.25">
      <c r="A50" s="507"/>
      <c r="B50" s="508"/>
    </row>
    <row r="51" spans="1:2" s="502" customFormat="1" ht="15" x14ac:dyDescent="0.25">
      <c r="A51" s="507"/>
      <c r="B51" s="508"/>
    </row>
    <row r="52" spans="1:2" s="502" customFormat="1" ht="15" x14ac:dyDescent="0.25">
      <c r="A52" s="507"/>
      <c r="B52" s="508"/>
    </row>
    <row r="53" spans="1:2" s="502" customFormat="1" ht="15" x14ac:dyDescent="0.25">
      <c r="A53" s="507"/>
      <c r="B53" s="508"/>
    </row>
    <row r="54" spans="1:2" s="502" customFormat="1" ht="15" x14ac:dyDescent="0.25">
      <c r="A54" s="507"/>
      <c r="B54" s="508"/>
    </row>
    <row r="55" spans="1:2" s="502" customFormat="1" ht="15" x14ac:dyDescent="0.25">
      <c r="A55" s="507"/>
      <c r="B55" s="508"/>
    </row>
    <row r="56" spans="1:2" s="502" customFormat="1" ht="15" x14ac:dyDescent="0.25">
      <c r="A56" s="507"/>
      <c r="B56" s="508"/>
    </row>
    <row r="57" spans="1:2" s="502" customFormat="1" ht="15" x14ac:dyDescent="0.25">
      <c r="A57" s="507"/>
      <c r="B57" s="508"/>
    </row>
    <row r="58" spans="1:2" s="502" customFormat="1" ht="15" x14ac:dyDescent="0.25">
      <c r="A58" s="507"/>
      <c r="B58" s="508"/>
    </row>
    <row r="59" spans="1:2" s="502" customFormat="1" ht="15" x14ac:dyDescent="0.25">
      <c r="A59" s="507"/>
      <c r="B59" s="508"/>
    </row>
    <row r="60" spans="1:2" s="502" customFormat="1" ht="15" x14ac:dyDescent="0.25">
      <c r="A60" s="507"/>
      <c r="B60" s="508"/>
    </row>
    <row r="61" spans="1:2" s="502" customFormat="1" ht="15" x14ac:dyDescent="0.25">
      <c r="A61" s="507"/>
      <c r="B61" s="508"/>
    </row>
    <row r="62" spans="1:2" s="502" customFormat="1" ht="15" x14ac:dyDescent="0.25">
      <c r="A62" s="507"/>
      <c r="B62" s="508"/>
    </row>
    <row r="63" spans="1:2" s="502" customFormat="1" ht="15" x14ac:dyDescent="0.25">
      <c r="A63" s="507"/>
      <c r="B63" s="508"/>
    </row>
    <row r="64" spans="1:2" s="502" customFormat="1" ht="15" x14ac:dyDescent="0.25">
      <c r="A64" s="507"/>
      <c r="B64" s="508"/>
    </row>
    <row r="65" spans="1:12" s="502" customFormat="1" ht="15" x14ac:dyDescent="0.25">
      <c r="A65" s="507"/>
      <c r="B65" s="508"/>
    </row>
    <row r="66" spans="1:12" s="502" customFormat="1" ht="15" x14ac:dyDescent="0.25">
      <c r="A66" s="507"/>
      <c r="B66" s="508"/>
    </row>
    <row r="67" spans="1:12" s="502" customFormat="1" ht="15" x14ac:dyDescent="0.25">
      <c r="A67" s="507"/>
      <c r="B67" s="508"/>
    </row>
    <row r="68" spans="1:12" s="502" customFormat="1" ht="15" x14ac:dyDescent="0.25">
      <c r="A68" s="507"/>
      <c r="B68" s="508"/>
    </row>
    <row r="69" spans="1:12" s="502" customFormat="1" ht="15" x14ac:dyDescent="0.25">
      <c r="A69" s="507"/>
      <c r="B69" s="508"/>
    </row>
    <row r="70" spans="1:12" s="502" customFormat="1" ht="15" x14ac:dyDescent="0.25">
      <c r="A70" s="507"/>
      <c r="B70" s="508"/>
    </row>
    <row r="71" spans="1:12" s="502" customFormat="1" ht="15" x14ac:dyDescent="0.25">
      <c r="A71" s="507"/>
      <c r="B71" s="508"/>
    </row>
    <row r="72" spans="1:12" s="502" customFormat="1" ht="15" x14ac:dyDescent="0.25">
      <c r="A72" s="507"/>
      <c r="B72" s="508"/>
    </row>
    <row r="73" spans="1:12" s="502" customFormat="1" ht="15" x14ac:dyDescent="0.25">
      <c r="A73" s="507"/>
      <c r="B73" s="508"/>
    </row>
    <row r="74" spans="1:12" s="502" customFormat="1" ht="15" x14ac:dyDescent="0.25">
      <c r="A74" s="507"/>
      <c r="B74" s="508"/>
    </row>
    <row r="75" spans="1:12" s="502" customFormat="1" ht="15" x14ac:dyDescent="0.25">
      <c r="A75" s="507"/>
      <c r="B75" s="508"/>
    </row>
    <row r="76" spans="1:12" s="502" customFormat="1" ht="15" x14ac:dyDescent="0.25">
      <c r="A76" s="507"/>
      <c r="B76" s="508"/>
    </row>
    <row r="77" spans="1:12" s="502" customFormat="1" ht="15" x14ac:dyDescent="0.25">
      <c r="A77" s="507"/>
      <c r="B77" s="508"/>
    </row>
    <row r="78" spans="1:12" s="502" customFormat="1" ht="15" x14ac:dyDescent="0.25">
      <c r="A78" s="507"/>
      <c r="B78" s="508"/>
      <c r="L78" s="502">
        <f>L77</f>
        <v>0</v>
      </c>
    </row>
    <row r="79" spans="1:12" s="502" customFormat="1" ht="15" x14ac:dyDescent="0.25">
      <c r="A79" s="507"/>
      <c r="B79" s="508"/>
    </row>
    <row r="80" spans="1:12" s="502" customFormat="1" ht="15" x14ac:dyDescent="0.25">
      <c r="A80" s="507"/>
      <c r="B80" s="508"/>
    </row>
    <row r="81" spans="1:2" s="502" customFormat="1" ht="15" x14ac:dyDescent="0.25">
      <c r="A81" s="507"/>
      <c r="B81" s="508"/>
    </row>
    <row r="82" spans="1:2" s="502" customFormat="1" ht="15" x14ac:dyDescent="0.25">
      <c r="A82" s="507"/>
      <c r="B82" s="508"/>
    </row>
    <row r="83" spans="1:2" s="502" customFormat="1" ht="15" x14ac:dyDescent="0.25">
      <c r="A83" s="507"/>
      <c r="B83" s="508"/>
    </row>
    <row r="84" spans="1:2" s="502" customFormat="1" ht="15" x14ac:dyDescent="0.25">
      <c r="A84" s="507"/>
      <c r="B84" s="508"/>
    </row>
    <row r="85" spans="1:2" s="502" customFormat="1" ht="15" x14ac:dyDescent="0.25">
      <c r="A85" s="507"/>
      <c r="B85" s="508"/>
    </row>
    <row r="86" spans="1:2" s="502" customFormat="1" ht="15" x14ac:dyDescent="0.25">
      <c r="A86" s="507"/>
      <c r="B86" s="508"/>
    </row>
    <row r="87" spans="1:2" s="502" customFormat="1" ht="15" x14ac:dyDescent="0.25">
      <c r="A87" s="507"/>
      <c r="B87" s="508"/>
    </row>
    <row r="88" spans="1:2" s="502" customFormat="1" ht="15" x14ac:dyDescent="0.25">
      <c r="A88" s="507"/>
      <c r="B88" s="508"/>
    </row>
    <row r="89" spans="1:2" s="502" customFormat="1" ht="15" x14ac:dyDescent="0.25">
      <c r="A89" s="507"/>
      <c r="B89" s="508"/>
    </row>
    <row r="90" spans="1:2" s="502" customFormat="1" ht="15" x14ac:dyDescent="0.25">
      <c r="A90" s="507"/>
      <c r="B90" s="508"/>
    </row>
    <row r="91" spans="1:2" s="502" customFormat="1" ht="15" x14ac:dyDescent="0.25">
      <c r="A91" s="507"/>
      <c r="B91" s="508"/>
    </row>
    <row r="92" spans="1:2" s="502" customFormat="1" ht="15" x14ac:dyDescent="0.25">
      <c r="A92" s="507"/>
      <c r="B92" s="508"/>
    </row>
    <row r="93" spans="1:2" s="502" customFormat="1" ht="15" x14ac:dyDescent="0.25">
      <c r="A93" s="507"/>
      <c r="B93" s="508"/>
    </row>
    <row r="94" spans="1:2" s="502" customFormat="1" ht="15" x14ac:dyDescent="0.25">
      <c r="A94" s="507"/>
      <c r="B94" s="508"/>
    </row>
    <row r="95" spans="1:2" s="502" customFormat="1" ht="15" x14ac:dyDescent="0.25">
      <c r="A95" s="507"/>
      <c r="B95" s="508"/>
    </row>
    <row r="96" spans="1:2" s="502" customFormat="1" ht="15" x14ac:dyDescent="0.25">
      <c r="A96" s="507"/>
      <c r="B96" s="508"/>
    </row>
    <row r="97" spans="1:12" s="502" customFormat="1" ht="15" x14ac:dyDescent="0.25">
      <c r="A97" s="507"/>
      <c r="B97" s="508"/>
    </row>
    <row r="98" spans="1:12" s="502" customFormat="1" ht="15" x14ac:dyDescent="0.25">
      <c r="A98" s="507"/>
      <c r="B98" s="508"/>
    </row>
    <row r="99" spans="1:12" s="502" customFormat="1" ht="15" x14ac:dyDescent="0.25">
      <c r="A99" s="507"/>
      <c r="B99" s="508"/>
    </row>
    <row r="100" spans="1:12" s="502" customFormat="1" ht="15" x14ac:dyDescent="0.25">
      <c r="A100" s="507"/>
      <c r="B100" s="508"/>
    </row>
    <row r="101" spans="1:12" s="502" customFormat="1" ht="15" x14ac:dyDescent="0.25">
      <c r="A101" s="507"/>
      <c r="B101" s="508"/>
    </row>
    <row r="102" spans="1:12" s="502" customFormat="1" ht="15" x14ac:dyDescent="0.25">
      <c r="A102" s="507"/>
      <c r="B102" s="508"/>
    </row>
    <row r="103" spans="1:12" s="502" customFormat="1" ht="15" x14ac:dyDescent="0.25">
      <c r="A103" s="507"/>
      <c r="B103" s="508"/>
      <c r="D103" s="502">
        <v>13</v>
      </c>
      <c r="E103" s="502">
        <f>L102</f>
        <v>0</v>
      </c>
      <c r="F103" s="502">
        <v>120258</v>
      </c>
      <c r="H103" s="502">
        <v>12026</v>
      </c>
      <c r="K103" s="502">
        <f>E103+F103-H103-I103-J103</f>
        <v>108232</v>
      </c>
      <c r="L103" s="502" t="e">
        <f>K103-#REF!</f>
        <v>#REF!</v>
      </c>
    </row>
    <row r="104" spans="1:12" s="502" customFormat="1" ht="15" x14ac:dyDescent="0.25">
      <c r="A104" s="507"/>
      <c r="B104" s="508"/>
      <c r="F104" s="502">
        <f>SUM(F90:F103)</f>
        <v>120258</v>
      </c>
      <c r="H104" s="502">
        <f>SUM(H90:H103)</f>
        <v>12026</v>
      </c>
      <c r="K104" s="502">
        <f>SUM(K90:K103)</f>
        <v>108232</v>
      </c>
      <c r="L104" s="502" t="e">
        <f>L103</f>
        <v>#REF!</v>
      </c>
    </row>
    <row r="105" spans="1:12" s="502" customFormat="1" ht="15" x14ac:dyDescent="0.25">
      <c r="A105" s="507"/>
      <c r="B105" s="508"/>
    </row>
    <row r="106" spans="1:12" s="502" customFormat="1" ht="15" x14ac:dyDescent="0.25">
      <c r="A106" s="507"/>
      <c r="B106" s="508"/>
    </row>
    <row r="107" spans="1:12" s="502" customFormat="1" ht="15" x14ac:dyDescent="0.25">
      <c r="A107" s="507"/>
      <c r="B107" s="508"/>
    </row>
    <row r="108" spans="1:12" s="502" customFormat="1" ht="15" x14ac:dyDescent="0.25">
      <c r="A108" s="507"/>
      <c r="B108" s="508"/>
    </row>
    <row r="109" spans="1:12" s="502" customFormat="1" ht="15" x14ac:dyDescent="0.25">
      <c r="A109" s="507"/>
      <c r="B109" s="508"/>
    </row>
    <row r="110" spans="1:12" s="502" customFormat="1" ht="15" x14ac:dyDescent="0.25">
      <c r="A110" s="507"/>
      <c r="B110" s="508"/>
    </row>
    <row r="111" spans="1:12" s="502" customFormat="1" ht="15" x14ac:dyDescent="0.25">
      <c r="A111" s="507"/>
      <c r="B111" s="508"/>
    </row>
    <row r="112" spans="1:12" s="502" customFormat="1" ht="15" x14ac:dyDescent="0.25">
      <c r="A112" s="507"/>
      <c r="B112" s="508"/>
    </row>
    <row r="113" spans="1:2" s="502" customFormat="1" ht="15" x14ac:dyDescent="0.25">
      <c r="A113" s="507"/>
      <c r="B113" s="508"/>
    </row>
    <row r="114" spans="1:2" s="502" customFormat="1" ht="15" x14ac:dyDescent="0.25">
      <c r="A114" s="507"/>
      <c r="B114" s="508"/>
    </row>
    <row r="115" spans="1:2" s="502" customFormat="1" ht="15" x14ac:dyDescent="0.25">
      <c r="A115" s="507"/>
      <c r="B115" s="508"/>
    </row>
    <row r="116" spans="1:2" s="502" customFormat="1" ht="15" x14ac:dyDescent="0.25">
      <c r="A116" s="507"/>
      <c r="B116" s="508"/>
    </row>
    <row r="117" spans="1:2" s="502" customFormat="1" ht="15" x14ac:dyDescent="0.25">
      <c r="A117" s="507"/>
      <c r="B117" s="508"/>
    </row>
    <row r="118" spans="1:2" s="502" customFormat="1" ht="15" x14ac:dyDescent="0.25">
      <c r="A118" s="507"/>
      <c r="B118" s="508"/>
    </row>
    <row r="119" spans="1:2" s="502" customFormat="1" ht="15" x14ac:dyDescent="0.25">
      <c r="A119" s="507"/>
      <c r="B119" s="508"/>
    </row>
    <row r="120" spans="1:2" s="502" customFormat="1" ht="15" x14ac:dyDescent="0.25">
      <c r="A120" s="507"/>
      <c r="B120" s="508"/>
    </row>
    <row r="121" spans="1:2" s="502" customFormat="1" ht="15" x14ac:dyDescent="0.25">
      <c r="A121" s="507"/>
      <c r="B121" s="508"/>
    </row>
    <row r="122" spans="1:2" s="502" customFormat="1" ht="15" x14ac:dyDescent="0.25">
      <c r="A122" s="507"/>
      <c r="B122" s="508"/>
    </row>
    <row r="123" spans="1:2" s="502" customFormat="1" ht="15" x14ac:dyDescent="0.25">
      <c r="A123" s="507"/>
      <c r="B123" s="508"/>
    </row>
    <row r="124" spans="1:2" s="502" customFormat="1" ht="15" x14ac:dyDescent="0.25">
      <c r="A124" s="507"/>
      <c r="B124" s="508"/>
    </row>
    <row r="125" spans="1:2" s="502" customFormat="1" ht="15" x14ac:dyDescent="0.25">
      <c r="A125" s="507"/>
      <c r="B125" s="508"/>
    </row>
    <row r="126" spans="1:2" s="502" customFormat="1" ht="15" x14ac:dyDescent="0.25">
      <c r="A126" s="507"/>
      <c r="B126" s="508"/>
    </row>
    <row r="127" spans="1:2" s="502" customFormat="1" ht="15" x14ac:dyDescent="0.25">
      <c r="A127" s="507"/>
      <c r="B127" s="508"/>
    </row>
    <row r="128" spans="1:2" s="502" customFormat="1" ht="15" x14ac:dyDescent="0.25">
      <c r="A128" s="507"/>
      <c r="B128" s="508"/>
    </row>
    <row r="129" spans="1:2" s="502" customFormat="1" ht="15" x14ac:dyDescent="0.25">
      <c r="A129" s="507"/>
      <c r="B129" s="508"/>
    </row>
    <row r="130" spans="1:2" s="502" customFormat="1" ht="15" x14ac:dyDescent="0.25">
      <c r="A130" s="507"/>
      <c r="B130" s="508"/>
    </row>
    <row r="131" spans="1:2" s="502" customFormat="1" ht="15" x14ac:dyDescent="0.25">
      <c r="A131" s="507"/>
      <c r="B131" s="508"/>
    </row>
    <row r="132" spans="1:2" s="502" customFormat="1" ht="15" x14ac:dyDescent="0.25">
      <c r="A132" s="507"/>
      <c r="B132" s="508"/>
    </row>
    <row r="133" spans="1:2" s="502" customFormat="1" ht="15" x14ac:dyDescent="0.25">
      <c r="A133" s="507"/>
      <c r="B133" s="508"/>
    </row>
    <row r="134" spans="1:2" s="502" customFormat="1" ht="15" x14ac:dyDescent="0.25">
      <c r="A134" s="507"/>
      <c r="B134" s="508"/>
    </row>
    <row r="135" spans="1:2" s="502" customFormat="1" ht="15" x14ac:dyDescent="0.25">
      <c r="A135" s="507"/>
      <c r="B135" s="508"/>
    </row>
    <row r="136" spans="1:2" s="502" customFormat="1" ht="15" x14ac:dyDescent="0.25">
      <c r="A136" s="507"/>
      <c r="B136" s="508"/>
    </row>
    <row r="137" spans="1:2" s="502" customFormat="1" ht="15" x14ac:dyDescent="0.25">
      <c r="A137" s="507"/>
      <c r="B137" s="508"/>
    </row>
    <row r="138" spans="1:2" s="502" customFormat="1" ht="15" x14ac:dyDescent="0.25">
      <c r="A138" s="507"/>
      <c r="B138" s="508"/>
    </row>
    <row r="139" spans="1:2" s="502" customFormat="1" ht="15" x14ac:dyDescent="0.25">
      <c r="A139" s="507"/>
      <c r="B139" s="508"/>
    </row>
    <row r="140" spans="1:2" s="502" customFormat="1" ht="15" x14ac:dyDescent="0.25">
      <c r="A140" s="507"/>
      <c r="B140" s="508"/>
    </row>
    <row r="141" spans="1:2" s="502" customFormat="1" ht="15" x14ac:dyDescent="0.25">
      <c r="A141" s="507"/>
      <c r="B141" s="508"/>
    </row>
    <row r="142" spans="1:2" s="502" customFormat="1" ht="15" x14ac:dyDescent="0.25">
      <c r="A142" s="507"/>
      <c r="B142" s="508"/>
    </row>
    <row r="143" spans="1:2" s="502" customFormat="1" ht="15" x14ac:dyDescent="0.25">
      <c r="A143" s="507"/>
      <c r="B143" s="508"/>
    </row>
    <row r="144" spans="1:2" s="502" customFormat="1" ht="15" x14ac:dyDescent="0.25">
      <c r="A144" s="507"/>
      <c r="B144" s="508"/>
    </row>
    <row r="145" spans="1:2" s="502" customFormat="1" ht="15" x14ac:dyDescent="0.25">
      <c r="A145" s="507"/>
      <c r="B145" s="508"/>
    </row>
    <row r="146" spans="1:2" s="502" customFormat="1" ht="15" x14ac:dyDescent="0.25">
      <c r="A146" s="507"/>
      <c r="B146" s="508"/>
    </row>
    <row r="147" spans="1:2" s="502" customFormat="1" ht="15" x14ac:dyDescent="0.25">
      <c r="A147" s="507"/>
      <c r="B147" s="508"/>
    </row>
    <row r="148" spans="1:2" s="502" customFormat="1" ht="15" x14ac:dyDescent="0.25">
      <c r="A148" s="507"/>
      <c r="B148" s="508"/>
    </row>
    <row r="149" spans="1:2" s="502" customFormat="1" ht="15" x14ac:dyDescent="0.25">
      <c r="A149" s="507"/>
      <c r="B149" s="508"/>
    </row>
    <row r="150" spans="1:2" s="502" customFormat="1" ht="15" x14ac:dyDescent="0.25">
      <c r="A150" s="507"/>
      <c r="B150" s="508"/>
    </row>
    <row r="151" spans="1:2" s="502" customFormat="1" ht="15" x14ac:dyDescent="0.25">
      <c r="A151" s="507"/>
      <c r="B151" s="508"/>
    </row>
    <row r="152" spans="1:2" s="502" customFormat="1" ht="15" x14ac:dyDescent="0.25">
      <c r="A152" s="507"/>
      <c r="B152" s="508"/>
    </row>
    <row r="153" spans="1:2" s="502" customFormat="1" ht="15" x14ac:dyDescent="0.25">
      <c r="A153" s="507"/>
      <c r="B153" s="508"/>
    </row>
    <row r="154" spans="1:2" s="502" customFormat="1" ht="15" x14ac:dyDescent="0.25">
      <c r="A154" s="507"/>
      <c r="B154" s="508"/>
    </row>
    <row r="155" spans="1:2" s="502" customFormat="1" ht="15" x14ac:dyDescent="0.25">
      <c r="A155" s="507"/>
      <c r="B155" s="508"/>
    </row>
    <row r="156" spans="1:2" s="502" customFormat="1" ht="15" x14ac:dyDescent="0.25">
      <c r="A156" s="507"/>
      <c r="B156" s="508"/>
    </row>
    <row r="157" spans="1:2" s="502" customFormat="1" ht="15" x14ac:dyDescent="0.25">
      <c r="A157" s="507"/>
      <c r="B157" s="508"/>
    </row>
    <row r="158" spans="1:2" s="502" customFormat="1" ht="15" x14ac:dyDescent="0.25">
      <c r="A158" s="507"/>
      <c r="B158" s="508"/>
    </row>
    <row r="159" spans="1:2" s="502" customFormat="1" ht="15" x14ac:dyDescent="0.25">
      <c r="A159" s="507"/>
      <c r="B159" s="508"/>
    </row>
    <row r="160" spans="1:2" s="502" customFormat="1" ht="15" x14ac:dyDescent="0.25">
      <c r="A160" s="507"/>
      <c r="B160" s="508"/>
    </row>
    <row r="161" spans="1:12" s="502" customFormat="1" ht="15" x14ac:dyDescent="0.25">
      <c r="A161" s="507"/>
      <c r="B161" s="508"/>
    </row>
    <row r="162" spans="1:12" s="502" customFormat="1" ht="15" x14ac:dyDescent="0.25">
      <c r="A162" s="507"/>
      <c r="B162" s="508"/>
    </row>
    <row r="163" spans="1:12" s="502" customFormat="1" ht="15" x14ac:dyDescent="0.25">
      <c r="A163" s="507"/>
      <c r="B163" s="508"/>
    </row>
    <row r="164" spans="1:12" s="502" customFormat="1" ht="15" x14ac:dyDescent="0.25">
      <c r="A164" s="507"/>
      <c r="B164" s="508"/>
      <c r="L164" s="502">
        <f>L163</f>
        <v>0</v>
      </c>
    </row>
    <row r="165" spans="1:12" s="502" customFormat="1" ht="15" x14ac:dyDescent="0.25">
      <c r="A165" s="507"/>
      <c r="B165" s="508"/>
    </row>
    <row r="166" spans="1:12" s="502" customFormat="1" ht="15" x14ac:dyDescent="0.25">
      <c r="A166" s="507"/>
      <c r="B166" s="508"/>
    </row>
    <row r="167" spans="1:12" s="502" customFormat="1" ht="15" x14ac:dyDescent="0.25">
      <c r="A167" s="507"/>
      <c r="B167" s="508"/>
    </row>
    <row r="168" spans="1:12" s="502" customFormat="1" ht="15" x14ac:dyDescent="0.25">
      <c r="A168" s="507"/>
      <c r="B168" s="508"/>
    </row>
    <row r="169" spans="1:12" s="502" customFormat="1" ht="15" x14ac:dyDescent="0.25">
      <c r="A169" s="507"/>
      <c r="B169" s="508"/>
    </row>
    <row r="170" spans="1:12" s="502" customFormat="1" ht="15" x14ac:dyDescent="0.25">
      <c r="A170" s="507"/>
      <c r="B170" s="508"/>
    </row>
    <row r="171" spans="1:12" s="502" customFormat="1" ht="15" x14ac:dyDescent="0.25">
      <c r="A171" s="507"/>
      <c r="B171" s="508"/>
    </row>
    <row r="172" spans="1:12" s="502" customFormat="1" ht="15" x14ac:dyDescent="0.25">
      <c r="A172" s="507"/>
      <c r="B172" s="508"/>
    </row>
    <row r="173" spans="1:12" s="502" customFormat="1" ht="15" x14ac:dyDescent="0.25">
      <c r="A173" s="507"/>
      <c r="B173" s="508"/>
    </row>
    <row r="174" spans="1:12" s="502" customFormat="1" ht="15" x14ac:dyDescent="0.25">
      <c r="A174" s="507"/>
      <c r="B174" s="508"/>
    </row>
    <row r="175" spans="1:12" s="502" customFormat="1" ht="15" x14ac:dyDescent="0.25">
      <c r="A175" s="507"/>
      <c r="B175" s="508"/>
    </row>
    <row r="176" spans="1:12" s="502" customFormat="1" ht="15" x14ac:dyDescent="0.25">
      <c r="A176" s="507"/>
      <c r="B176" s="508"/>
    </row>
    <row r="177" spans="1:14" s="502" customFormat="1" ht="15" x14ac:dyDescent="0.25">
      <c r="A177" s="507"/>
      <c r="B177" s="508"/>
    </row>
    <row r="178" spans="1:14" s="502" customFormat="1" ht="15" x14ac:dyDescent="0.25">
      <c r="A178" s="507"/>
      <c r="B178" s="508"/>
    </row>
    <row r="179" spans="1:14" s="502" customFormat="1" ht="15" x14ac:dyDescent="0.25">
      <c r="A179" s="507"/>
      <c r="B179" s="508"/>
    </row>
    <row r="180" spans="1:14" s="502" customFormat="1" ht="15" x14ac:dyDescent="0.25">
      <c r="A180" s="507"/>
      <c r="B180" s="508"/>
    </row>
    <row r="181" spans="1:14" s="502" customFormat="1" ht="15" x14ac:dyDescent="0.25">
      <c r="A181" s="507"/>
      <c r="B181" s="508"/>
    </row>
    <row r="182" spans="1:14" s="502" customFormat="1" ht="15" x14ac:dyDescent="0.25">
      <c r="A182" s="507"/>
      <c r="B182" s="508"/>
    </row>
    <row r="183" spans="1:14" s="502" customFormat="1" ht="15" x14ac:dyDescent="0.25">
      <c r="A183" s="507"/>
      <c r="B183" s="508"/>
    </row>
    <row r="184" spans="1:14" s="502" customFormat="1" ht="15" x14ac:dyDescent="0.25">
      <c r="A184" s="507"/>
      <c r="B184" s="508"/>
    </row>
    <row r="185" spans="1:14" s="502" customFormat="1" ht="15" x14ac:dyDescent="0.25">
      <c r="A185" s="507"/>
      <c r="B185" s="508"/>
    </row>
    <row r="186" spans="1:14" s="502" customFormat="1" ht="15" x14ac:dyDescent="0.25">
      <c r="A186" s="507"/>
      <c r="B186" s="508"/>
    </row>
    <row r="187" spans="1:14" s="502" customFormat="1" ht="15" x14ac:dyDescent="0.25">
      <c r="A187" s="507"/>
      <c r="B187" s="508"/>
    </row>
    <row r="188" spans="1:14" s="502" customFormat="1" ht="15" x14ac:dyDescent="0.25">
      <c r="A188" s="507"/>
      <c r="B188" s="508"/>
    </row>
    <row r="189" spans="1:14" s="502" customFormat="1" ht="15" x14ac:dyDescent="0.25">
      <c r="A189" s="507"/>
      <c r="B189" s="508"/>
    </row>
    <row r="190" spans="1:14" s="502" customFormat="1" ht="15" x14ac:dyDescent="0.25">
      <c r="A190" s="507"/>
      <c r="B190" s="508"/>
    </row>
    <row r="191" spans="1:14" s="502" customFormat="1" ht="15" x14ac:dyDescent="0.25">
      <c r="A191" s="507"/>
      <c r="B191" s="508"/>
      <c r="D191" s="502">
        <v>18</v>
      </c>
      <c r="E191" s="502">
        <f>L190</f>
        <v>0</v>
      </c>
      <c r="F191" s="502">
        <v>0</v>
      </c>
      <c r="H191" s="502">
        <v>0</v>
      </c>
      <c r="I191" s="502">
        <v>0</v>
      </c>
      <c r="J191" s="502">
        <v>0</v>
      </c>
      <c r="K191" s="502">
        <f>P190</f>
        <v>0</v>
      </c>
      <c r="L191" s="502" t="e">
        <f>K191-#REF!</f>
        <v>#REF!</v>
      </c>
      <c r="M191" s="502">
        <v>1693981</v>
      </c>
      <c r="N191" s="502" t="s">
        <v>130</v>
      </c>
    </row>
    <row r="192" spans="1:14" s="502" customFormat="1" ht="15" x14ac:dyDescent="0.25">
      <c r="A192" s="507"/>
      <c r="B192" s="508"/>
      <c r="L192" s="502" t="e">
        <f>L191</f>
        <v>#REF!</v>
      </c>
    </row>
    <row r="193" spans="1:2" s="502" customFormat="1" ht="15" x14ac:dyDescent="0.25">
      <c r="A193" s="507"/>
      <c r="B193" s="508"/>
    </row>
    <row r="194" spans="1:2" s="502" customFormat="1" ht="15" x14ac:dyDescent="0.25">
      <c r="A194" s="507"/>
      <c r="B194" s="508"/>
    </row>
    <row r="195" spans="1:2" s="502" customFormat="1" ht="15" x14ac:dyDescent="0.25">
      <c r="A195" s="507"/>
      <c r="B195" s="508"/>
    </row>
    <row r="196" spans="1:2" s="502" customFormat="1" ht="15" x14ac:dyDescent="0.25">
      <c r="A196" s="507"/>
      <c r="B196" s="508"/>
    </row>
    <row r="197" spans="1:2" s="502" customFormat="1" ht="15" x14ac:dyDescent="0.25">
      <c r="A197" s="507"/>
      <c r="B197" s="508"/>
    </row>
    <row r="198" spans="1:2" s="502" customFormat="1" ht="15" x14ac:dyDescent="0.25">
      <c r="A198" s="507"/>
      <c r="B198" s="508"/>
    </row>
    <row r="199" spans="1:2" s="502" customFormat="1" ht="15" x14ac:dyDescent="0.25">
      <c r="A199" s="507"/>
      <c r="B199" s="508"/>
    </row>
    <row r="200" spans="1:2" s="502" customFormat="1" ht="15" x14ac:dyDescent="0.25">
      <c r="A200" s="507"/>
      <c r="B200" s="508"/>
    </row>
    <row r="201" spans="1:2" s="502" customFormat="1" ht="15" x14ac:dyDescent="0.25">
      <c r="A201" s="507"/>
      <c r="B201" s="508"/>
    </row>
    <row r="202" spans="1:2" s="502" customFormat="1" ht="15" x14ac:dyDescent="0.25">
      <c r="A202" s="507"/>
      <c r="B202" s="508"/>
    </row>
    <row r="203" spans="1:2" s="502" customFormat="1" ht="15" x14ac:dyDescent="0.25">
      <c r="A203" s="507"/>
      <c r="B203" s="508"/>
    </row>
    <row r="204" spans="1:2" s="502" customFormat="1" ht="15" x14ac:dyDescent="0.25">
      <c r="A204" s="507"/>
      <c r="B204" s="508"/>
    </row>
    <row r="205" spans="1:2" s="502" customFormat="1" ht="15" x14ac:dyDescent="0.25">
      <c r="A205" s="507"/>
      <c r="B205" s="508"/>
    </row>
    <row r="206" spans="1:2" s="502" customFormat="1" ht="15" x14ac:dyDescent="0.25">
      <c r="A206" s="507"/>
      <c r="B206" s="508"/>
    </row>
    <row r="207" spans="1:2" s="502" customFormat="1" ht="15" x14ac:dyDescent="0.25">
      <c r="A207" s="507"/>
      <c r="B207" s="508"/>
    </row>
    <row r="208" spans="1:2" s="502" customFormat="1" ht="15" x14ac:dyDescent="0.25">
      <c r="A208" s="507"/>
      <c r="B208" s="508"/>
    </row>
    <row r="209" spans="1:2" s="502" customFormat="1" ht="15" x14ac:dyDescent="0.25">
      <c r="A209" s="507"/>
      <c r="B209" s="508"/>
    </row>
    <row r="210" spans="1:2" s="502" customFormat="1" ht="15" x14ac:dyDescent="0.25">
      <c r="A210" s="507"/>
      <c r="B210" s="508"/>
    </row>
    <row r="211" spans="1:2" s="502" customFormat="1" ht="15" x14ac:dyDescent="0.25">
      <c r="A211" s="507"/>
      <c r="B211" s="508"/>
    </row>
    <row r="212" spans="1:2" s="502" customFormat="1" ht="15" x14ac:dyDescent="0.25">
      <c r="A212" s="507"/>
      <c r="B212" s="508"/>
    </row>
    <row r="213" spans="1:2" s="502" customFormat="1" ht="15" x14ac:dyDescent="0.25">
      <c r="A213" s="507"/>
      <c r="B213" s="508"/>
    </row>
    <row r="214" spans="1:2" s="502" customFormat="1" ht="15" x14ac:dyDescent="0.25">
      <c r="A214" s="507"/>
      <c r="B214" s="508"/>
    </row>
    <row r="215" spans="1:2" s="502" customFormat="1" ht="15" x14ac:dyDescent="0.25">
      <c r="A215" s="507"/>
      <c r="B215" s="508"/>
    </row>
    <row r="216" spans="1:2" s="502" customFormat="1" ht="15" x14ac:dyDescent="0.25">
      <c r="A216" s="507"/>
      <c r="B216" s="508"/>
    </row>
    <row r="217" spans="1:2" s="502" customFormat="1" ht="15" x14ac:dyDescent="0.25">
      <c r="A217" s="507"/>
      <c r="B217" s="508"/>
    </row>
    <row r="218" spans="1:2" s="502" customFormat="1" ht="15" x14ac:dyDescent="0.25">
      <c r="A218" s="507"/>
      <c r="B218" s="508"/>
    </row>
    <row r="219" spans="1:2" s="502" customFormat="1" ht="15" x14ac:dyDescent="0.25">
      <c r="A219" s="507"/>
      <c r="B219" s="508"/>
    </row>
    <row r="220" spans="1:2" s="502" customFormat="1" ht="15" x14ac:dyDescent="0.25">
      <c r="A220" s="507"/>
      <c r="B220" s="508"/>
    </row>
    <row r="221" spans="1:2" s="502" customFormat="1" ht="15" x14ac:dyDescent="0.25">
      <c r="A221" s="507"/>
      <c r="B221" s="508"/>
    </row>
    <row r="222" spans="1:2" s="502" customFormat="1" ht="15" x14ac:dyDescent="0.25">
      <c r="A222" s="507"/>
      <c r="B222" s="508"/>
    </row>
    <row r="223" spans="1:2" s="502" customFormat="1" ht="15" x14ac:dyDescent="0.25">
      <c r="A223" s="507"/>
      <c r="B223" s="508"/>
    </row>
    <row r="224" spans="1:2" s="502" customFormat="1" ht="15" x14ac:dyDescent="0.25">
      <c r="A224" s="507"/>
      <c r="B224" s="508"/>
    </row>
    <row r="225" spans="1:2" s="502" customFormat="1" ht="15" x14ac:dyDescent="0.25">
      <c r="A225" s="507"/>
      <c r="B225" s="508"/>
    </row>
    <row r="226" spans="1:2" s="502" customFormat="1" ht="15" x14ac:dyDescent="0.25">
      <c r="A226" s="507"/>
      <c r="B226" s="508"/>
    </row>
    <row r="227" spans="1:2" s="502" customFormat="1" ht="15" x14ac:dyDescent="0.25">
      <c r="A227" s="507"/>
      <c r="B227" s="508"/>
    </row>
    <row r="228" spans="1:2" s="502" customFormat="1" ht="15" x14ac:dyDescent="0.25">
      <c r="A228" s="507"/>
      <c r="B228" s="508"/>
    </row>
    <row r="229" spans="1:2" s="502" customFormat="1" ht="15" x14ac:dyDescent="0.25">
      <c r="A229" s="507"/>
      <c r="B229" s="508"/>
    </row>
    <row r="230" spans="1:2" s="502" customFormat="1" ht="15" x14ac:dyDescent="0.25">
      <c r="A230" s="507"/>
      <c r="B230" s="508"/>
    </row>
    <row r="231" spans="1:2" s="502" customFormat="1" ht="15" x14ac:dyDescent="0.25">
      <c r="A231" s="507"/>
      <c r="B231" s="508"/>
    </row>
    <row r="232" spans="1:2" s="502" customFormat="1" ht="15" x14ac:dyDescent="0.25">
      <c r="A232" s="507"/>
      <c r="B232" s="508"/>
    </row>
    <row r="233" spans="1:2" s="502" customFormat="1" ht="15" x14ac:dyDescent="0.25">
      <c r="A233" s="507"/>
      <c r="B233" s="508"/>
    </row>
    <row r="234" spans="1:2" s="502" customFormat="1" ht="15" x14ac:dyDescent="0.25">
      <c r="A234" s="507"/>
      <c r="B234" s="508"/>
    </row>
    <row r="235" spans="1:2" s="502" customFormat="1" ht="15" x14ac:dyDescent="0.25">
      <c r="A235" s="507"/>
      <c r="B235" s="508"/>
    </row>
    <row r="236" spans="1:2" s="502" customFormat="1" ht="15" x14ac:dyDescent="0.25">
      <c r="A236" s="507"/>
      <c r="B236" s="508"/>
    </row>
    <row r="237" spans="1:2" s="502" customFormat="1" ht="15" x14ac:dyDescent="0.25">
      <c r="A237" s="507"/>
      <c r="B237" s="508"/>
    </row>
    <row r="238" spans="1:2" s="502" customFormat="1" ht="15" x14ac:dyDescent="0.25">
      <c r="A238" s="507"/>
      <c r="B238" s="508"/>
    </row>
    <row r="239" spans="1:2" s="502" customFormat="1" ht="15" x14ac:dyDescent="0.25">
      <c r="A239" s="507"/>
      <c r="B239" s="508"/>
    </row>
    <row r="240" spans="1:2" s="502" customFormat="1" ht="15" x14ac:dyDescent="0.25">
      <c r="A240" s="507"/>
      <c r="B240" s="508"/>
    </row>
    <row r="241" spans="1:14" s="502" customFormat="1" ht="15" x14ac:dyDescent="0.25">
      <c r="A241" s="507"/>
      <c r="B241" s="508"/>
    </row>
    <row r="242" spans="1:14" s="502" customFormat="1" ht="15" x14ac:dyDescent="0.25">
      <c r="A242" s="507"/>
      <c r="B242" s="508"/>
    </row>
    <row r="243" spans="1:14" s="502" customFormat="1" ht="15" x14ac:dyDescent="0.25">
      <c r="A243" s="507"/>
      <c r="B243" s="508"/>
    </row>
    <row r="244" spans="1:14" s="502" customFormat="1" ht="15" x14ac:dyDescent="0.25">
      <c r="A244" s="507"/>
      <c r="B244" s="508"/>
    </row>
    <row r="245" spans="1:14" s="502" customFormat="1" ht="15" x14ac:dyDescent="0.25">
      <c r="A245" s="507"/>
      <c r="B245" s="508"/>
    </row>
    <row r="246" spans="1:14" s="502" customFormat="1" ht="15" x14ac:dyDescent="0.25">
      <c r="A246" s="507"/>
      <c r="B246" s="508"/>
    </row>
    <row r="247" spans="1:14" s="502" customFormat="1" ht="15" x14ac:dyDescent="0.25">
      <c r="A247" s="507"/>
      <c r="B247" s="508"/>
    </row>
    <row r="248" spans="1:14" s="502" customFormat="1" ht="15" x14ac:dyDescent="0.25">
      <c r="A248" s="507"/>
      <c r="B248" s="508"/>
    </row>
    <row r="249" spans="1:14" s="502" customFormat="1" ht="15" x14ac:dyDescent="0.25">
      <c r="A249" s="507"/>
      <c r="B249" s="508"/>
    </row>
    <row r="250" spans="1:14" s="502" customFormat="1" ht="15" x14ac:dyDescent="0.25">
      <c r="A250" s="507"/>
      <c r="B250" s="508"/>
    </row>
    <row r="251" spans="1:14" s="502" customFormat="1" ht="15" x14ac:dyDescent="0.25">
      <c r="A251" s="507"/>
      <c r="B251" s="508"/>
    </row>
    <row r="252" spans="1:14" s="502" customFormat="1" ht="15" x14ac:dyDescent="0.25">
      <c r="A252" s="507"/>
      <c r="B252" s="508"/>
    </row>
    <row r="253" spans="1:14" s="502" customFormat="1" ht="15" x14ac:dyDescent="0.25">
      <c r="A253" s="507"/>
      <c r="B253" s="508"/>
    </row>
    <row r="254" spans="1:14" s="502" customFormat="1" ht="15" x14ac:dyDescent="0.25">
      <c r="A254" s="507"/>
      <c r="B254" s="508"/>
      <c r="D254" s="502">
        <v>20</v>
      </c>
      <c r="E254" s="502">
        <f>L253</f>
        <v>0</v>
      </c>
      <c r="F254" s="502">
        <v>0</v>
      </c>
      <c r="H254" s="502">
        <v>0</v>
      </c>
      <c r="I254" s="502">
        <v>0</v>
      </c>
      <c r="J254" s="502">
        <v>0</v>
      </c>
      <c r="K254" s="502">
        <f>P253</f>
        <v>0</v>
      </c>
      <c r="L254" s="502" t="e">
        <f>K254-#REF!</f>
        <v>#REF!</v>
      </c>
      <c r="M254" s="502">
        <v>1693980</v>
      </c>
      <c r="N254" s="502" t="s">
        <v>129</v>
      </c>
    </row>
    <row r="255" spans="1:14" s="502" customFormat="1" ht="15" x14ac:dyDescent="0.25">
      <c r="A255" s="507"/>
      <c r="B255" s="508"/>
      <c r="L255" s="502" t="e">
        <f>L254</f>
        <v>#REF!</v>
      </c>
    </row>
    <row r="256" spans="1:14" s="502" customFormat="1" ht="15" x14ac:dyDescent="0.25">
      <c r="A256" s="507"/>
      <c r="B256" s="508"/>
    </row>
    <row r="257" spans="1:2" s="502" customFormat="1" ht="15" x14ac:dyDescent="0.25">
      <c r="A257" s="507"/>
      <c r="B257" s="508"/>
    </row>
    <row r="258" spans="1:2" s="502" customFormat="1" ht="15" x14ac:dyDescent="0.25">
      <c r="A258" s="507"/>
      <c r="B258" s="508"/>
    </row>
    <row r="259" spans="1:2" s="502" customFormat="1" ht="15" x14ac:dyDescent="0.25">
      <c r="A259" s="507"/>
      <c r="B259" s="508"/>
    </row>
    <row r="260" spans="1:2" s="502" customFormat="1" ht="15" x14ac:dyDescent="0.25">
      <c r="A260" s="507"/>
      <c r="B260" s="508"/>
    </row>
    <row r="261" spans="1:2" s="502" customFormat="1" ht="15" x14ac:dyDescent="0.25">
      <c r="A261" s="507"/>
      <c r="B261" s="508"/>
    </row>
    <row r="262" spans="1:2" s="502" customFormat="1" ht="15" x14ac:dyDescent="0.25">
      <c r="A262" s="507"/>
      <c r="B262" s="508"/>
    </row>
    <row r="263" spans="1:2" s="502" customFormat="1" ht="15" x14ac:dyDescent="0.25">
      <c r="A263" s="507"/>
      <c r="B263" s="508"/>
    </row>
    <row r="264" spans="1:2" s="502" customFormat="1" ht="15" x14ac:dyDescent="0.25">
      <c r="A264" s="507"/>
      <c r="B264" s="508"/>
    </row>
    <row r="265" spans="1:2" s="502" customFormat="1" ht="15" x14ac:dyDescent="0.25">
      <c r="A265" s="507"/>
      <c r="B265" s="508"/>
    </row>
    <row r="266" spans="1:2" s="502" customFormat="1" ht="15" x14ac:dyDescent="0.25">
      <c r="A266" s="507"/>
      <c r="B266" s="508"/>
    </row>
    <row r="267" spans="1:2" s="502" customFormat="1" ht="15" x14ac:dyDescent="0.25">
      <c r="A267" s="507"/>
      <c r="B267" s="508"/>
    </row>
    <row r="268" spans="1:2" s="502" customFormat="1" ht="15" x14ac:dyDescent="0.25">
      <c r="A268" s="507"/>
      <c r="B268" s="508"/>
    </row>
    <row r="269" spans="1:2" s="502" customFormat="1" ht="15" x14ac:dyDescent="0.25">
      <c r="A269" s="507"/>
      <c r="B269" s="508"/>
    </row>
    <row r="270" spans="1:2" s="502" customFormat="1" ht="15" x14ac:dyDescent="0.25">
      <c r="A270" s="507"/>
      <c r="B270" s="508"/>
    </row>
    <row r="271" spans="1:2" s="502" customFormat="1" ht="15" x14ac:dyDescent="0.25">
      <c r="A271" s="507"/>
      <c r="B271" s="508"/>
    </row>
    <row r="272" spans="1:2" s="502" customFormat="1" ht="15" x14ac:dyDescent="0.25">
      <c r="A272" s="507"/>
      <c r="B272" s="508"/>
    </row>
    <row r="273" spans="1:12" s="502" customFormat="1" ht="15" x14ac:dyDescent="0.25">
      <c r="A273" s="507"/>
      <c r="B273" s="508"/>
    </row>
    <row r="274" spans="1:12" s="502" customFormat="1" ht="15" x14ac:dyDescent="0.25">
      <c r="A274" s="507"/>
      <c r="B274" s="508"/>
    </row>
    <row r="275" spans="1:12" s="502" customFormat="1" ht="15" x14ac:dyDescent="0.25">
      <c r="A275" s="507"/>
      <c r="B275" s="508"/>
    </row>
    <row r="276" spans="1:12" s="502" customFormat="1" ht="15" x14ac:dyDescent="0.25">
      <c r="A276" s="507"/>
      <c r="B276" s="508"/>
    </row>
    <row r="277" spans="1:12" s="502" customFormat="1" ht="15" x14ac:dyDescent="0.25">
      <c r="A277" s="507"/>
      <c r="B277" s="508"/>
    </row>
    <row r="278" spans="1:12" s="502" customFormat="1" ht="15" x14ac:dyDescent="0.25">
      <c r="A278" s="507"/>
      <c r="B278" s="508"/>
    </row>
    <row r="279" spans="1:12" s="502" customFormat="1" ht="15" x14ac:dyDescent="0.25">
      <c r="A279" s="507"/>
      <c r="B279" s="508"/>
      <c r="L279" s="502">
        <f>L278</f>
        <v>0</v>
      </c>
    </row>
    <row r="280" spans="1:12" s="502" customFormat="1" ht="15" x14ac:dyDescent="0.25">
      <c r="A280" s="507"/>
      <c r="B280" s="508"/>
    </row>
    <row r="281" spans="1:12" s="502" customFormat="1" ht="15" x14ac:dyDescent="0.25">
      <c r="A281" s="507"/>
      <c r="B281" s="508"/>
    </row>
    <row r="282" spans="1:12" s="502" customFormat="1" ht="15" x14ac:dyDescent="0.25">
      <c r="A282" s="507"/>
      <c r="B282" s="508"/>
    </row>
    <row r="283" spans="1:12" s="502" customFormat="1" ht="15" x14ac:dyDescent="0.25">
      <c r="A283" s="507"/>
      <c r="B283" s="508"/>
    </row>
    <row r="284" spans="1:12" s="502" customFormat="1" ht="15" x14ac:dyDescent="0.25">
      <c r="A284" s="507"/>
      <c r="B284" s="508"/>
    </row>
    <row r="285" spans="1:12" s="502" customFormat="1" ht="15" x14ac:dyDescent="0.25">
      <c r="A285" s="507"/>
      <c r="B285" s="508"/>
    </row>
    <row r="286" spans="1:12" s="502" customFormat="1" ht="15" x14ac:dyDescent="0.25">
      <c r="A286" s="507"/>
      <c r="B286" s="508"/>
    </row>
    <row r="287" spans="1:12" s="502" customFormat="1" ht="15" x14ac:dyDescent="0.25">
      <c r="A287" s="507"/>
      <c r="B287" s="508"/>
    </row>
    <row r="288" spans="1:12" s="502" customFormat="1" ht="15" x14ac:dyDescent="0.25">
      <c r="A288" s="507"/>
      <c r="B288" s="508"/>
    </row>
    <row r="289" spans="1:2" s="502" customFormat="1" ht="15" x14ac:dyDescent="0.25">
      <c r="A289" s="507"/>
      <c r="B289" s="508"/>
    </row>
    <row r="290" spans="1:2" s="502" customFormat="1" ht="15" x14ac:dyDescent="0.25">
      <c r="A290" s="507"/>
      <c r="B290" s="508"/>
    </row>
    <row r="291" spans="1:2" s="502" customFormat="1" ht="15" x14ac:dyDescent="0.25">
      <c r="A291" s="507"/>
      <c r="B291" s="508"/>
    </row>
    <row r="292" spans="1:2" s="502" customFormat="1" ht="15" x14ac:dyDescent="0.25">
      <c r="A292" s="507"/>
      <c r="B292" s="508"/>
    </row>
    <row r="293" spans="1:2" s="502" customFormat="1" ht="15" x14ac:dyDescent="0.25">
      <c r="A293" s="507"/>
      <c r="B293" s="508"/>
    </row>
    <row r="294" spans="1:2" s="502" customFormat="1" ht="15" x14ac:dyDescent="0.25">
      <c r="A294" s="507"/>
      <c r="B294" s="508"/>
    </row>
    <row r="295" spans="1:2" s="502" customFormat="1" ht="15" x14ac:dyDescent="0.25">
      <c r="A295" s="507"/>
      <c r="B295" s="508"/>
    </row>
    <row r="296" spans="1:2" s="502" customFormat="1" ht="15" x14ac:dyDescent="0.25">
      <c r="A296" s="507"/>
      <c r="B296" s="508"/>
    </row>
    <row r="297" spans="1:2" s="502" customFormat="1" ht="15" x14ac:dyDescent="0.25">
      <c r="A297" s="507"/>
      <c r="B297" s="508"/>
    </row>
    <row r="298" spans="1:2" s="502" customFormat="1" ht="15" x14ac:dyDescent="0.25">
      <c r="A298" s="507"/>
      <c r="B298" s="508"/>
    </row>
    <row r="299" spans="1:2" s="502" customFormat="1" ht="15" x14ac:dyDescent="0.25">
      <c r="A299" s="507"/>
      <c r="B299" s="508"/>
    </row>
    <row r="300" spans="1:2" s="502" customFormat="1" ht="15" x14ac:dyDescent="0.25">
      <c r="A300" s="507"/>
      <c r="B300" s="508"/>
    </row>
    <row r="301" spans="1:2" s="502" customFormat="1" ht="15" x14ac:dyDescent="0.25">
      <c r="A301" s="507"/>
      <c r="B301" s="508"/>
    </row>
    <row r="302" spans="1:2" s="502" customFormat="1" ht="15" x14ac:dyDescent="0.25">
      <c r="A302" s="507"/>
      <c r="B302" s="508"/>
    </row>
    <row r="303" spans="1:2" s="502" customFormat="1" ht="15" x14ac:dyDescent="0.25">
      <c r="A303" s="507"/>
      <c r="B303" s="508"/>
    </row>
    <row r="304" spans="1:2" s="502" customFormat="1" ht="15" x14ac:dyDescent="0.25">
      <c r="A304" s="507"/>
      <c r="B304" s="508"/>
    </row>
    <row r="305" spans="1:14" s="502" customFormat="1" ht="15" x14ac:dyDescent="0.25">
      <c r="A305" s="507"/>
      <c r="B305" s="508"/>
    </row>
    <row r="306" spans="1:14" s="502" customFormat="1" ht="15" x14ac:dyDescent="0.25">
      <c r="A306" s="507"/>
      <c r="B306" s="508"/>
    </row>
    <row r="307" spans="1:14" s="502" customFormat="1" ht="15" x14ac:dyDescent="0.25">
      <c r="A307" s="507"/>
      <c r="B307" s="508"/>
    </row>
    <row r="308" spans="1:14" s="502" customFormat="1" ht="15" x14ac:dyDescent="0.25">
      <c r="A308" s="507"/>
      <c r="B308" s="508"/>
    </row>
    <row r="309" spans="1:14" s="502" customFormat="1" ht="15" x14ac:dyDescent="0.25">
      <c r="A309" s="507"/>
      <c r="B309" s="508"/>
    </row>
    <row r="310" spans="1:14" s="502" customFormat="1" ht="15" x14ac:dyDescent="0.25">
      <c r="A310" s="507"/>
      <c r="B310" s="508"/>
    </row>
    <row r="311" spans="1:14" s="502" customFormat="1" ht="15" x14ac:dyDescent="0.25">
      <c r="A311" s="507"/>
      <c r="B311" s="508"/>
    </row>
    <row r="312" spans="1:14" s="502" customFormat="1" ht="15" x14ac:dyDescent="0.25">
      <c r="A312" s="507"/>
      <c r="B312" s="508"/>
    </row>
    <row r="313" spans="1:14" s="502" customFormat="1" ht="15" x14ac:dyDescent="0.25">
      <c r="A313" s="507"/>
      <c r="B313" s="508"/>
    </row>
    <row r="314" spans="1:14" s="502" customFormat="1" ht="15" x14ac:dyDescent="0.25">
      <c r="A314" s="507"/>
      <c r="B314" s="508"/>
    </row>
    <row r="315" spans="1:14" s="502" customFormat="1" ht="15" x14ac:dyDescent="0.25">
      <c r="A315" s="507"/>
      <c r="B315" s="508"/>
      <c r="N315" s="502" t="s">
        <v>128</v>
      </c>
    </row>
    <row r="316" spans="1:14" s="502" customFormat="1" ht="15" x14ac:dyDescent="0.25">
      <c r="A316" s="507"/>
      <c r="B316" s="508"/>
    </row>
    <row r="317" spans="1:14" s="502" customFormat="1" ht="15" x14ac:dyDescent="0.25">
      <c r="A317" s="507"/>
      <c r="B317" s="508"/>
    </row>
    <row r="318" spans="1:14" s="502" customFormat="1" ht="15" x14ac:dyDescent="0.25">
      <c r="A318" s="507"/>
      <c r="B318" s="508"/>
    </row>
    <row r="319" spans="1:14" s="502" customFormat="1" ht="15" x14ac:dyDescent="0.25">
      <c r="A319" s="507"/>
      <c r="B319" s="508"/>
    </row>
    <row r="320" spans="1:14" s="502" customFormat="1" ht="15" x14ac:dyDescent="0.25">
      <c r="A320" s="507"/>
      <c r="B320" s="508"/>
    </row>
    <row r="321" spans="1:14" s="502" customFormat="1" ht="15" x14ac:dyDescent="0.25">
      <c r="A321" s="507"/>
      <c r="B321" s="508"/>
    </row>
    <row r="322" spans="1:14" s="502" customFormat="1" ht="15" x14ac:dyDescent="0.25">
      <c r="A322" s="507"/>
      <c r="B322" s="508"/>
    </row>
    <row r="323" spans="1:14" s="502" customFormat="1" ht="15" x14ac:dyDescent="0.25">
      <c r="A323" s="507"/>
      <c r="B323" s="508"/>
    </row>
    <row r="324" spans="1:14" s="502" customFormat="1" ht="15" x14ac:dyDescent="0.25">
      <c r="A324" s="507"/>
      <c r="B324" s="508"/>
    </row>
    <row r="325" spans="1:14" s="502" customFormat="1" ht="15" x14ac:dyDescent="0.25">
      <c r="A325" s="507"/>
      <c r="B325" s="508"/>
    </row>
    <row r="326" spans="1:14" s="502" customFormat="1" ht="15" x14ac:dyDescent="0.25">
      <c r="A326" s="507"/>
      <c r="B326" s="508"/>
    </row>
    <row r="327" spans="1:14" s="502" customFormat="1" ht="15" x14ac:dyDescent="0.25">
      <c r="A327" s="507"/>
      <c r="B327" s="508"/>
    </row>
    <row r="328" spans="1:14" s="502" customFormat="1" ht="15" x14ac:dyDescent="0.25">
      <c r="A328" s="507"/>
      <c r="B328" s="508"/>
    </row>
    <row r="329" spans="1:14" s="502" customFormat="1" ht="15" x14ac:dyDescent="0.25">
      <c r="A329" s="507"/>
      <c r="B329" s="508"/>
    </row>
    <row r="330" spans="1:14" s="502" customFormat="1" ht="15" x14ac:dyDescent="0.25">
      <c r="A330" s="507"/>
      <c r="B330" s="508"/>
    </row>
    <row r="331" spans="1:14" s="502" customFormat="1" ht="15" x14ac:dyDescent="0.25">
      <c r="A331" s="507"/>
      <c r="B331" s="508"/>
    </row>
    <row r="332" spans="1:14" s="502" customFormat="1" ht="15" x14ac:dyDescent="0.25">
      <c r="A332" s="507"/>
      <c r="B332" s="508"/>
      <c r="D332" s="502">
        <v>9</v>
      </c>
      <c r="F332" s="502">
        <v>0</v>
      </c>
      <c r="H332" s="502">
        <v>0</v>
      </c>
      <c r="I332" s="502">
        <v>0</v>
      </c>
      <c r="J332" s="502">
        <v>0</v>
      </c>
      <c r="L332" s="502" t="e">
        <f>K332-#REF!</f>
        <v>#REF!</v>
      </c>
      <c r="M332" s="502">
        <v>1693982</v>
      </c>
      <c r="N332" s="502" t="s">
        <v>131</v>
      </c>
    </row>
    <row r="333" spans="1:14" s="502" customFormat="1" ht="15" x14ac:dyDescent="0.25">
      <c r="A333" s="507"/>
      <c r="B333" s="508"/>
      <c r="L333" s="502" t="e">
        <f>L332</f>
        <v>#REF!</v>
      </c>
    </row>
    <row r="334" spans="1:14" s="502" customFormat="1" ht="15" x14ac:dyDescent="0.25">
      <c r="A334" s="507"/>
      <c r="B334" s="508"/>
    </row>
    <row r="335" spans="1:14" s="502" customFormat="1" ht="15" x14ac:dyDescent="0.25">
      <c r="A335" s="507"/>
      <c r="B335" s="508"/>
    </row>
    <row r="336" spans="1:14" s="502" customFormat="1" ht="15" x14ac:dyDescent="0.25">
      <c r="A336" s="507"/>
      <c r="B336" s="508"/>
    </row>
    <row r="337" spans="1:2" s="502" customFormat="1" ht="15" x14ac:dyDescent="0.25">
      <c r="A337" s="507"/>
      <c r="B337" s="508"/>
    </row>
    <row r="338" spans="1:2" s="502" customFormat="1" ht="15" x14ac:dyDescent="0.25">
      <c r="A338" s="507"/>
      <c r="B338" s="508"/>
    </row>
    <row r="339" spans="1:2" s="502" customFormat="1" ht="15" x14ac:dyDescent="0.25">
      <c r="A339" s="507"/>
      <c r="B339" s="508"/>
    </row>
    <row r="393" spans="1:14" x14ac:dyDescent="0.3">
      <c r="K393" s="329">
        <f>E393+F393-H393-I393-J393</f>
        <v>0</v>
      </c>
      <c r="N393" s="329" t="s">
        <v>127</v>
      </c>
    </row>
    <row r="394" spans="1:14" x14ac:dyDescent="0.3">
      <c r="D394" s="333"/>
      <c r="E394" s="333">
        <v>0</v>
      </c>
      <c r="F394" s="333"/>
      <c r="G394" s="333"/>
      <c r="H394" s="333"/>
      <c r="I394" s="333"/>
      <c r="J394" s="333"/>
      <c r="K394" s="333">
        <f>SUM(K393:K393)</f>
        <v>0</v>
      </c>
      <c r="L394" s="333"/>
      <c r="M394" s="333"/>
      <c r="N394" s="333"/>
    </row>
    <row r="395" spans="1:14" x14ac:dyDescent="0.3">
      <c r="A395" s="427">
        <v>43</v>
      </c>
      <c r="B395" s="332" t="s">
        <v>125</v>
      </c>
    </row>
    <row r="396" spans="1:14" x14ac:dyDescent="0.3">
      <c r="F396" s="329">
        <v>2030560</v>
      </c>
      <c r="H396" s="329">
        <v>203056</v>
      </c>
      <c r="K396" s="329">
        <f>E396+F396-H396-I396-J396</f>
        <v>1827504</v>
      </c>
      <c r="L396" s="329" t="e">
        <f>K396-#REF!</f>
        <v>#REF!</v>
      </c>
      <c r="M396" s="329">
        <v>1693977</v>
      </c>
      <c r="N396" s="329" t="s">
        <v>126</v>
      </c>
    </row>
    <row r="397" spans="1:14" x14ac:dyDescent="0.3">
      <c r="D397" s="333"/>
      <c r="E397" s="333">
        <v>0</v>
      </c>
      <c r="F397" s="333">
        <f>SUM(F396:F396)</f>
        <v>2030560</v>
      </c>
      <c r="G397" s="333"/>
      <c r="H397" s="333">
        <f>SUM(H396:H396)</f>
        <v>203056</v>
      </c>
      <c r="I397" s="333"/>
      <c r="J397" s="333"/>
      <c r="K397" s="333">
        <f>SUM(K396:K396)</f>
        <v>1827504</v>
      </c>
      <c r="L397" s="333" t="e">
        <f>L396</f>
        <v>#REF!</v>
      </c>
      <c r="M397" s="333"/>
      <c r="N397" s="333"/>
    </row>
  </sheetData>
  <mergeCells count="14">
    <mergeCell ref="A4:R4"/>
    <mergeCell ref="E5:E6"/>
    <mergeCell ref="B5:B6"/>
    <mergeCell ref="A5:A6"/>
    <mergeCell ref="A1:S1"/>
    <mergeCell ref="A2:S2"/>
    <mergeCell ref="A3:S3"/>
    <mergeCell ref="A9:S9"/>
    <mergeCell ref="S5:S6"/>
    <mergeCell ref="F5:J5"/>
    <mergeCell ref="K5:N5"/>
    <mergeCell ref="O5:R5"/>
    <mergeCell ref="C5:C6"/>
    <mergeCell ref="D5:D6"/>
  </mergeCells>
  <phoneticPr fontId="0" type="noConversion"/>
  <printOptions horizontalCentered="1"/>
  <pageMargins left="0.65" right="0.37" top="0.5" bottom="0.5" header="0.2" footer="0.27"/>
  <pageSetup paperSize="9" scale="45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B1:U26"/>
  <sheetViews>
    <sheetView view="pageBreakPreview" topLeftCell="B1" zoomScale="80" zoomScaleNormal="80" zoomScaleSheetLayoutView="80" workbookViewId="0">
      <pane xSplit="2" ySplit="5" topLeftCell="G12" activePane="bottomRight" state="frozen"/>
      <selection activeCell="U24" sqref="U24"/>
      <selection pane="topRight" activeCell="U24" sqref="U24"/>
      <selection pane="bottomLeft" activeCell="U24" sqref="U24"/>
      <selection pane="bottomRight" activeCell="E17" sqref="E17:K17"/>
    </sheetView>
  </sheetViews>
  <sheetFormatPr defaultRowHeight="18" x14ac:dyDescent="0.3"/>
  <cols>
    <col min="1" max="1" width="8.33203125" style="670" customWidth="1"/>
    <col min="2" max="2" width="7.5546875" style="670" bestFit="1" customWidth="1"/>
    <col min="3" max="3" width="59.5546875" style="670" bestFit="1" customWidth="1"/>
    <col min="4" max="4" width="14.6640625" style="670" customWidth="1"/>
    <col min="5" max="5" width="17.88671875" style="460" customWidth="1"/>
    <col min="6" max="6" width="16.44140625" style="460" customWidth="1"/>
    <col min="7" max="7" width="15" style="460" customWidth="1"/>
    <col min="8" max="8" width="13.88671875" style="460" bestFit="1" customWidth="1"/>
    <col min="9" max="9" width="15.5546875" style="460" customWidth="1"/>
    <col min="10" max="10" width="13.6640625" style="460" customWidth="1"/>
    <col min="11" max="11" width="15" style="460" customWidth="1"/>
    <col min="12" max="12" width="15.33203125" style="460" customWidth="1"/>
    <col min="13" max="13" width="14.5546875" style="672" customWidth="1"/>
    <col min="14" max="14" width="14" style="673" customWidth="1"/>
    <col min="15" max="15" width="37" style="674" bestFit="1" customWidth="1"/>
    <col min="16" max="17" width="27.44140625" style="670" bestFit="1" customWidth="1"/>
    <col min="18" max="18" width="20.44140625" style="670" bestFit="1" customWidth="1"/>
    <col min="19" max="19" width="9.109375" style="670"/>
    <col min="20" max="20" width="22.33203125" style="459" bestFit="1" customWidth="1"/>
    <col min="21" max="21" width="14.44140625" style="459" bestFit="1" customWidth="1"/>
    <col min="22" max="255" width="9.109375" style="670"/>
    <col min="256" max="256" width="8.33203125" style="670" customWidth="1"/>
    <col min="257" max="257" width="7.5546875" style="670" bestFit="1" customWidth="1"/>
    <col min="258" max="258" width="59.5546875" style="670" bestFit="1" customWidth="1"/>
    <col min="259" max="259" width="23.6640625" style="670" bestFit="1" customWidth="1"/>
    <col min="260" max="260" width="26.6640625" style="670" customWidth="1"/>
    <col min="261" max="261" width="23" style="670" customWidth="1"/>
    <col min="262" max="262" width="23.33203125" style="670" bestFit="1" customWidth="1"/>
    <col min="263" max="263" width="24" style="670" customWidth="1"/>
    <col min="264" max="264" width="26.109375" style="670" customWidth="1"/>
    <col min="265" max="265" width="25.5546875" style="670" customWidth="1"/>
    <col min="266" max="266" width="22.44140625" style="670" customWidth="1"/>
    <col min="267" max="267" width="25.109375" style="670" bestFit="1" customWidth="1"/>
    <col min="268" max="268" width="26.88671875" style="670" bestFit="1" customWidth="1"/>
    <col min="269" max="269" width="20.88671875" style="670" bestFit="1" customWidth="1"/>
    <col min="270" max="270" width="17.33203125" style="670" bestFit="1" customWidth="1"/>
    <col min="271" max="271" width="37" style="670" bestFit="1" customWidth="1"/>
    <col min="272" max="273" width="27.44140625" style="670" bestFit="1" customWidth="1"/>
    <col min="274" max="274" width="20.44140625" style="670" bestFit="1" customWidth="1"/>
    <col min="275" max="275" width="9.109375" style="670"/>
    <col min="276" max="276" width="22.33203125" style="670" bestFit="1" customWidth="1"/>
    <col min="277" max="277" width="14.44140625" style="670" bestFit="1" customWidth="1"/>
    <col min="278" max="511" width="9.109375" style="670"/>
    <col min="512" max="512" width="8.33203125" style="670" customWidth="1"/>
    <col min="513" max="513" width="7.5546875" style="670" bestFit="1" customWidth="1"/>
    <col min="514" max="514" width="59.5546875" style="670" bestFit="1" customWidth="1"/>
    <col min="515" max="515" width="23.6640625" style="670" bestFit="1" customWidth="1"/>
    <col min="516" max="516" width="26.6640625" style="670" customWidth="1"/>
    <col min="517" max="517" width="23" style="670" customWidth="1"/>
    <col min="518" max="518" width="23.33203125" style="670" bestFit="1" customWidth="1"/>
    <col min="519" max="519" width="24" style="670" customWidth="1"/>
    <col min="520" max="520" width="26.109375" style="670" customWidth="1"/>
    <col min="521" max="521" width="25.5546875" style="670" customWidth="1"/>
    <col min="522" max="522" width="22.44140625" style="670" customWidth="1"/>
    <col min="523" max="523" width="25.109375" style="670" bestFit="1" customWidth="1"/>
    <col min="524" max="524" width="26.88671875" style="670" bestFit="1" customWidth="1"/>
    <col min="525" max="525" width="20.88671875" style="670" bestFit="1" customWidth="1"/>
    <col min="526" max="526" width="17.33203125" style="670" bestFit="1" customWidth="1"/>
    <col min="527" max="527" width="37" style="670" bestFit="1" customWidth="1"/>
    <col min="528" max="529" width="27.44140625" style="670" bestFit="1" customWidth="1"/>
    <col min="530" max="530" width="20.44140625" style="670" bestFit="1" customWidth="1"/>
    <col min="531" max="531" width="9.109375" style="670"/>
    <col min="532" max="532" width="22.33203125" style="670" bestFit="1" customWidth="1"/>
    <col min="533" max="533" width="14.44140625" style="670" bestFit="1" customWidth="1"/>
    <col min="534" max="767" width="9.109375" style="670"/>
    <col min="768" max="768" width="8.33203125" style="670" customWidth="1"/>
    <col min="769" max="769" width="7.5546875" style="670" bestFit="1" customWidth="1"/>
    <col min="770" max="770" width="59.5546875" style="670" bestFit="1" customWidth="1"/>
    <col min="771" max="771" width="23.6640625" style="670" bestFit="1" customWidth="1"/>
    <col min="772" max="772" width="26.6640625" style="670" customWidth="1"/>
    <col min="773" max="773" width="23" style="670" customWidth="1"/>
    <col min="774" max="774" width="23.33203125" style="670" bestFit="1" customWidth="1"/>
    <col min="775" max="775" width="24" style="670" customWidth="1"/>
    <col min="776" max="776" width="26.109375" style="670" customWidth="1"/>
    <col min="777" max="777" width="25.5546875" style="670" customWidth="1"/>
    <col min="778" max="778" width="22.44140625" style="670" customWidth="1"/>
    <col min="779" max="779" width="25.109375" style="670" bestFit="1" customWidth="1"/>
    <col min="780" max="780" width="26.88671875" style="670" bestFit="1" customWidth="1"/>
    <col min="781" max="781" width="20.88671875" style="670" bestFit="1" customWidth="1"/>
    <col min="782" max="782" width="17.33203125" style="670" bestFit="1" customWidth="1"/>
    <col min="783" max="783" width="37" style="670" bestFit="1" customWidth="1"/>
    <col min="784" max="785" width="27.44140625" style="670" bestFit="1" customWidth="1"/>
    <col min="786" max="786" width="20.44140625" style="670" bestFit="1" customWidth="1"/>
    <col min="787" max="787" width="9.109375" style="670"/>
    <col min="788" max="788" width="22.33203125" style="670" bestFit="1" customWidth="1"/>
    <col min="789" max="789" width="14.44140625" style="670" bestFit="1" customWidth="1"/>
    <col min="790" max="1023" width="9.109375" style="670"/>
    <col min="1024" max="1024" width="8.33203125" style="670" customWidth="1"/>
    <col min="1025" max="1025" width="7.5546875" style="670" bestFit="1" customWidth="1"/>
    <col min="1026" max="1026" width="59.5546875" style="670" bestFit="1" customWidth="1"/>
    <col min="1027" max="1027" width="23.6640625" style="670" bestFit="1" customWidth="1"/>
    <col min="1028" max="1028" width="26.6640625" style="670" customWidth="1"/>
    <col min="1029" max="1029" width="23" style="670" customWidth="1"/>
    <col min="1030" max="1030" width="23.33203125" style="670" bestFit="1" customWidth="1"/>
    <col min="1031" max="1031" width="24" style="670" customWidth="1"/>
    <col min="1032" max="1032" width="26.109375" style="670" customWidth="1"/>
    <col min="1033" max="1033" width="25.5546875" style="670" customWidth="1"/>
    <col min="1034" max="1034" width="22.44140625" style="670" customWidth="1"/>
    <col min="1035" max="1035" width="25.109375" style="670" bestFit="1" customWidth="1"/>
    <col min="1036" max="1036" width="26.88671875" style="670" bestFit="1" customWidth="1"/>
    <col min="1037" max="1037" width="20.88671875" style="670" bestFit="1" customWidth="1"/>
    <col min="1038" max="1038" width="17.33203125" style="670" bestFit="1" customWidth="1"/>
    <col min="1039" max="1039" width="37" style="670" bestFit="1" customWidth="1"/>
    <col min="1040" max="1041" width="27.44140625" style="670" bestFit="1" customWidth="1"/>
    <col min="1042" max="1042" width="20.44140625" style="670" bestFit="1" customWidth="1"/>
    <col min="1043" max="1043" width="9.109375" style="670"/>
    <col min="1044" max="1044" width="22.33203125" style="670" bestFit="1" customWidth="1"/>
    <col min="1045" max="1045" width="14.44140625" style="670" bestFit="1" customWidth="1"/>
    <col min="1046" max="1279" width="9.109375" style="670"/>
    <col min="1280" max="1280" width="8.33203125" style="670" customWidth="1"/>
    <col min="1281" max="1281" width="7.5546875" style="670" bestFit="1" customWidth="1"/>
    <col min="1282" max="1282" width="59.5546875" style="670" bestFit="1" customWidth="1"/>
    <col min="1283" max="1283" width="23.6640625" style="670" bestFit="1" customWidth="1"/>
    <col min="1284" max="1284" width="26.6640625" style="670" customWidth="1"/>
    <col min="1285" max="1285" width="23" style="670" customWidth="1"/>
    <col min="1286" max="1286" width="23.33203125" style="670" bestFit="1" customWidth="1"/>
    <col min="1287" max="1287" width="24" style="670" customWidth="1"/>
    <col min="1288" max="1288" width="26.109375" style="670" customWidth="1"/>
    <col min="1289" max="1289" width="25.5546875" style="670" customWidth="1"/>
    <col min="1290" max="1290" width="22.44140625" style="670" customWidth="1"/>
    <col min="1291" max="1291" width="25.109375" style="670" bestFit="1" customWidth="1"/>
    <col min="1292" max="1292" width="26.88671875" style="670" bestFit="1" customWidth="1"/>
    <col min="1293" max="1293" width="20.88671875" style="670" bestFit="1" customWidth="1"/>
    <col min="1294" max="1294" width="17.33203125" style="670" bestFit="1" customWidth="1"/>
    <col min="1295" max="1295" width="37" style="670" bestFit="1" customWidth="1"/>
    <col min="1296" max="1297" width="27.44140625" style="670" bestFit="1" customWidth="1"/>
    <col min="1298" max="1298" width="20.44140625" style="670" bestFit="1" customWidth="1"/>
    <col min="1299" max="1299" width="9.109375" style="670"/>
    <col min="1300" max="1300" width="22.33203125" style="670" bestFit="1" customWidth="1"/>
    <col min="1301" max="1301" width="14.44140625" style="670" bestFit="1" customWidth="1"/>
    <col min="1302" max="1535" width="9.109375" style="670"/>
    <col min="1536" max="1536" width="8.33203125" style="670" customWidth="1"/>
    <col min="1537" max="1537" width="7.5546875" style="670" bestFit="1" customWidth="1"/>
    <col min="1538" max="1538" width="59.5546875" style="670" bestFit="1" customWidth="1"/>
    <col min="1539" max="1539" width="23.6640625" style="670" bestFit="1" customWidth="1"/>
    <col min="1540" max="1540" width="26.6640625" style="670" customWidth="1"/>
    <col min="1541" max="1541" width="23" style="670" customWidth="1"/>
    <col min="1542" max="1542" width="23.33203125" style="670" bestFit="1" customWidth="1"/>
    <col min="1543" max="1543" width="24" style="670" customWidth="1"/>
    <col min="1544" max="1544" width="26.109375" style="670" customWidth="1"/>
    <col min="1545" max="1545" width="25.5546875" style="670" customWidth="1"/>
    <col min="1546" max="1546" width="22.44140625" style="670" customWidth="1"/>
    <col min="1547" max="1547" width="25.109375" style="670" bestFit="1" customWidth="1"/>
    <col min="1548" max="1548" width="26.88671875" style="670" bestFit="1" customWidth="1"/>
    <col min="1549" max="1549" width="20.88671875" style="670" bestFit="1" customWidth="1"/>
    <col min="1550" max="1550" width="17.33203125" style="670" bestFit="1" customWidth="1"/>
    <col min="1551" max="1551" width="37" style="670" bestFit="1" customWidth="1"/>
    <col min="1552" max="1553" width="27.44140625" style="670" bestFit="1" customWidth="1"/>
    <col min="1554" max="1554" width="20.44140625" style="670" bestFit="1" customWidth="1"/>
    <col min="1555" max="1555" width="9.109375" style="670"/>
    <col min="1556" max="1556" width="22.33203125" style="670" bestFit="1" customWidth="1"/>
    <col min="1557" max="1557" width="14.44140625" style="670" bestFit="1" customWidth="1"/>
    <col min="1558" max="1791" width="9.109375" style="670"/>
    <col min="1792" max="1792" width="8.33203125" style="670" customWidth="1"/>
    <col min="1793" max="1793" width="7.5546875" style="670" bestFit="1" customWidth="1"/>
    <col min="1794" max="1794" width="59.5546875" style="670" bestFit="1" customWidth="1"/>
    <col min="1795" max="1795" width="23.6640625" style="670" bestFit="1" customWidth="1"/>
    <col min="1796" max="1796" width="26.6640625" style="670" customWidth="1"/>
    <col min="1797" max="1797" width="23" style="670" customWidth="1"/>
    <col min="1798" max="1798" width="23.33203125" style="670" bestFit="1" customWidth="1"/>
    <col min="1799" max="1799" width="24" style="670" customWidth="1"/>
    <col min="1800" max="1800" width="26.109375" style="670" customWidth="1"/>
    <col min="1801" max="1801" width="25.5546875" style="670" customWidth="1"/>
    <col min="1802" max="1802" width="22.44140625" style="670" customWidth="1"/>
    <col min="1803" max="1803" width="25.109375" style="670" bestFit="1" customWidth="1"/>
    <col min="1804" max="1804" width="26.88671875" style="670" bestFit="1" customWidth="1"/>
    <col min="1805" max="1805" width="20.88671875" style="670" bestFit="1" customWidth="1"/>
    <col min="1806" max="1806" width="17.33203125" style="670" bestFit="1" customWidth="1"/>
    <col min="1807" max="1807" width="37" style="670" bestFit="1" customWidth="1"/>
    <col min="1808" max="1809" width="27.44140625" style="670" bestFit="1" customWidth="1"/>
    <col min="1810" max="1810" width="20.44140625" style="670" bestFit="1" customWidth="1"/>
    <col min="1811" max="1811" width="9.109375" style="670"/>
    <col min="1812" max="1812" width="22.33203125" style="670" bestFit="1" customWidth="1"/>
    <col min="1813" max="1813" width="14.44140625" style="670" bestFit="1" customWidth="1"/>
    <col min="1814" max="2047" width="9.109375" style="670"/>
    <col min="2048" max="2048" width="8.33203125" style="670" customWidth="1"/>
    <col min="2049" max="2049" width="7.5546875" style="670" bestFit="1" customWidth="1"/>
    <col min="2050" max="2050" width="59.5546875" style="670" bestFit="1" customWidth="1"/>
    <col min="2051" max="2051" width="23.6640625" style="670" bestFit="1" customWidth="1"/>
    <col min="2052" max="2052" width="26.6640625" style="670" customWidth="1"/>
    <col min="2053" max="2053" width="23" style="670" customWidth="1"/>
    <col min="2054" max="2054" width="23.33203125" style="670" bestFit="1" customWidth="1"/>
    <col min="2055" max="2055" width="24" style="670" customWidth="1"/>
    <col min="2056" max="2056" width="26.109375" style="670" customWidth="1"/>
    <col min="2057" max="2057" width="25.5546875" style="670" customWidth="1"/>
    <col min="2058" max="2058" width="22.44140625" style="670" customWidth="1"/>
    <col min="2059" max="2059" width="25.109375" style="670" bestFit="1" customWidth="1"/>
    <col min="2060" max="2060" width="26.88671875" style="670" bestFit="1" customWidth="1"/>
    <col min="2061" max="2061" width="20.88671875" style="670" bestFit="1" customWidth="1"/>
    <col min="2062" max="2062" width="17.33203125" style="670" bestFit="1" customWidth="1"/>
    <col min="2063" max="2063" width="37" style="670" bestFit="1" customWidth="1"/>
    <col min="2064" max="2065" width="27.44140625" style="670" bestFit="1" customWidth="1"/>
    <col min="2066" max="2066" width="20.44140625" style="670" bestFit="1" customWidth="1"/>
    <col min="2067" max="2067" width="9.109375" style="670"/>
    <col min="2068" max="2068" width="22.33203125" style="670" bestFit="1" customWidth="1"/>
    <col min="2069" max="2069" width="14.44140625" style="670" bestFit="1" customWidth="1"/>
    <col min="2070" max="2303" width="9.109375" style="670"/>
    <col min="2304" max="2304" width="8.33203125" style="670" customWidth="1"/>
    <col min="2305" max="2305" width="7.5546875" style="670" bestFit="1" customWidth="1"/>
    <col min="2306" max="2306" width="59.5546875" style="670" bestFit="1" customWidth="1"/>
    <col min="2307" max="2307" width="23.6640625" style="670" bestFit="1" customWidth="1"/>
    <col min="2308" max="2308" width="26.6640625" style="670" customWidth="1"/>
    <col min="2309" max="2309" width="23" style="670" customWidth="1"/>
    <col min="2310" max="2310" width="23.33203125" style="670" bestFit="1" customWidth="1"/>
    <col min="2311" max="2311" width="24" style="670" customWidth="1"/>
    <col min="2312" max="2312" width="26.109375" style="670" customWidth="1"/>
    <col min="2313" max="2313" width="25.5546875" style="670" customWidth="1"/>
    <col min="2314" max="2314" width="22.44140625" style="670" customWidth="1"/>
    <col min="2315" max="2315" width="25.109375" style="670" bestFit="1" customWidth="1"/>
    <col min="2316" max="2316" width="26.88671875" style="670" bestFit="1" customWidth="1"/>
    <col min="2317" max="2317" width="20.88671875" style="670" bestFit="1" customWidth="1"/>
    <col min="2318" max="2318" width="17.33203125" style="670" bestFit="1" customWidth="1"/>
    <col min="2319" max="2319" width="37" style="670" bestFit="1" customWidth="1"/>
    <col min="2320" max="2321" width="27.44140625" style="670" bestFit="1" customWidth="1"/>
    <col min="2322" max="2322" width="20.44140625" style="670" bestFit="1" customWidth="1"/>
    <col min="2323" max="2323" width="9.109375" style="670"/>
    <col min="2324" max="2324" width="22.33203125" style="670" bestFit="1" customWidth="1"/>
    <col min="2325" max="2325" width="14.44140625" style="670" bestFit="1" customWidth="1"/>
    <col min="2326" max="2559" width="9.109375" style="670"/>
    <col min="2560" max="2560" width="8.33203125" style="670" customWidth="1"/>
    <col min="2561" max="2561" width="7.5546875" style="670" bestFit="1" customWidth="1"/>
    <col min="2562" max="2562" width="59.5546875" style="670" bestFit="1" customWidth="1"/>
    <col min="2563" max="2563" width="23.6640625" style="670" bestFit="1" customWidth="1"/>
    <col min="2564" max="2564" width="26.6640625" style="670" customWidth="1"/>
    <col min="2565" max="2565" width="23" style="670" customWidth="1"/>
    <col min="2566" max="2566" width="23.33203125" style="670" bestFit="1" customWidth="1"/>
    <col min="2567" max="2567" width="24" style="670" customWidth="1"/>
    <col min="2568" max="2568" width="26.109375" style="670" customWidth="1"/>
    <col min="2569" max="2569" width="25.5546875" style="670" customWidth="1"/>
    <col min="2570" max="2570" width="22.44140625" style="670" customWidth="1"/>
    <col min="2571" max="2571" width="25.109375" style="670" bestFit="1" customWidth="1"/>
    <col min="2572" max="2572" width="26.88671875" style="670" bestFit="1" customWidth="1"/>
    <col min="2573" max="2573" width="20.88671875" style="670" bestFit="1" customWidth="1"/>
    <col min="2574" max="2574" width="17.33203125" style="670" bestFit="1" customWidth="1"/>
    <col min="2575" max="2575" width="37" style="670" bestFit="1" customWidth="1"/>
    <col min="2576" max="2577" width="27.44140625" style="670" bestFit="1" customWidth="1"/>
    <col min="2578" max="2578" width="20.44140625" style="670" bestFit="1" customWidth="1"/>
    <col min="2579" max="2579" width="9.109375" style="670"/>
    <col min="2580" max="2580" width="22.33203125" style="670" bestFit="1" customWidth="1"/>
    <col min="2581" max="2581" width="14.44140625" style="670" bestFit="1" customWidth="1"/>
    <col min="2582" max="2815" width="9.109375" style="670"/>
    <col min="2816" max="2816" width="8.33203125" style="670" customWidth="1"/>
    <col min="2817" max="2817" width="7.5546875" style="670" bestFit="1" customWidth="1"/>
    <col min="2818" max="2818" width="59.5546875" style="670" bestFit="1" customWidth="1"/>
    <col min="2819" max="2819" width="23.6640625" style="670" bestFit="1" customWidth="1"/>
    <col min="2820" max="2820" width="26.6640625" style="670" customWidth="1"/>
    <col min="2821" max="2821" width="23" style="670" customWidth="1"/>
    <col min="2822" max="2822" width="23.33203125" style="670" bestFit="1" customWidth="1"/>
    <col min="2823" max="2823" width="24" style="670" customWidth="1"/>
    <col min="2824" max="2824" width="26.109375" style="670" customWidth="1"/>
    <col min="2825" max="2825" width="25.5546875" style="670" customWidth="1"/>
    <col min="2826" max="2826" width="22.44140625" style="670" customWidth="1"/>
    <col min="2827" max="2827" width="25.109375" style="670" bestFit="1" customWidth="1"/>
    <col min="2828" max="2828" width="26.88671875" style="670" bestFit="1" customWidth="1"/>
    <col min="2829" max="2829" width="20.88671875" style="670" bestFit="1" customWidth="1"/>
    <col min="2830" max="2830" width="17.33203125" style="670" bestFit="1" customWidth="1"/>
    <col min="2831" max="2831" width="37" style="670" bestFit="1" customWidth="1"/>
    <col min="2832" max="2833" width="27.44140625" style="670" bestFit="1" customWidth="1"/>
    <col min="2834" max="2834" width="20.44140625" style="670" bestFit="1" customWidth="1"/>
    <col min="2835" max="2835" width="9.109375" style="670"/>
    <col min="2836" max="2836" width="22.33203125" style="670" bestFit="1" customWidth="1"/>
    <col min="2837" max="2837" width="14.44140625" style="670" bestFit="1" customWidth="1"/>
    <col min="2838" max="3071" width="9.109375" style="670"/>
    <col min="3072" max="3072" width="8.33203125" style="670" customWidth="1"/>
    <col min="3073" max="3073" width="7.5546875" style="670" bestFit="1" customWidth="1"/>
    <col min="3074" max="3074" width="59.5546875" style="670" bestFit="1" customWidth="1"/>
    <col min="3075" max="3075" width="23.6640625" style="670" bestFit="1" customWidth="1"/>
    <col min="3076" max="3076" width="26.6640625" style="670" customWidth="1"/>
    <col min="3077" max="3077" width="23" style="670" customWidth="1"/>
    <col min="3078" max="3078" width="23.33203125" style="670" bestFit="1" customWidth="1"/>
    <col min="3079" max="3079" width="24" style="670" customWidth="1"/>
    <col min="3080" max="3080" width="26.109375" style="670" customWidth="1"/>
    <col min="3081" max="3081" width="25.5546875" style="670" customWidth="1"/>
    <col min="3082" max="3082" width="22.44140625" style="670" customWidth="1"/>
    <col min="3083" max="3083" width="25.109375" style="670" bestFit="1" customWidth="1"/>
    <col min="3084" max="3084" width="26.88671875" style="670" bestFit="1" customWidth="1"/>
    <col min="3085" max="3085" width="20.88671875" style="670" bestFit="1" customWidth="1"/>
    <col min="3086" max="3086" width="17.33203125" style="670" bestFit="1" customWidth="1"/>
    <col min="3087" max="3087" width="37" style="670" bestFit="1" customWidth="1"/>
    <col min="3088" max="3089" width="27.44140625" style="670" bestFit="1" customWidth="1"/>
    <col min="3090" max="3090" width="20.44140625" style="670" bestFit="1" customWidth="1"/>
    <col min="3091" max="3091" width="9.109375" style="670"/>
    <col min="3092" max="3092" width="22.33203125" style="670" bestFit="1" customWidth="1"/>
    <col min="3093" max="3093" width="14.44140625" style="670" bestFit="1" customWidth="1"/>
    <col min="3094" max="3327" width="9.109375" style="670"/>
    <col min="3328" max="3328" width="8.33203125" style="670" customWidth="1"/>
    <col min="3329" max="3329" width="7.5546875" style="670" bestFit="1" customWidth="1"/>
    <col min="3330" max="3330" width="59.5546875" style="670" bestFit="1" customWidth="1"/>
    <col min="3331" max="3331" width="23.6640625" style="670" bestFit="1" customWidth="1"/>
    <col min="3332" max="3332" width="26.6640625" style="670" customWidth="1"/>
    <col min="3333" max="3333" width="23" style="670" customWidth="1"/>
    <col min="3334" max="3334" width="23.33203125" style="670" bestFit="1" customWidth="1"/>
    <col min="3335" max="3335" width="24" style="670" customWidth="1"/>
    <col min="3336" max="3336" width="26.109375" style="670" customWidth="1"/>
    <col min="3337" max="3337" width="25.5546875" style="670" customWidth="1"/>
    <col min="3338" max="3338" width="22.44140625" style="670" customWidth="1"/>
    <col min="3339" max="3339" width="25.109375" style="670" bestFit="1" customWidth="1"/>
    <col min="3340" max="3340" width="26.88671875" style="670" bestFit="1" customWidth="1"/>
    <col min="3341" max="3341" width="20.88671875" style="670" bestFit="1" customWidth="1"/>
    <col min="3342" max="3342" width="17.33203125" style="670" bestFit="1" customWidth="1"/>
    <col min="3343" max="3343" width="37" style="670" bestFit="1" customWidth="1"/>
    <col min="3344" max="3345" width="27.44140625" style="670" bestFit="1" customWidth="1"/>
    <col min="3346" max="3346" width="20.44140625" style="670" bestFit="1" customWidth="1"/>
    <col min="3347" max="3347" width="9.109375" style="670"/>
    <col min="3348" max="3348" width="22.33203125" style="670" bestFit="1" customWidth="1"/>
    <col min="3349" max="3349" width="14.44140625" style="670" bestFit="1" customWidth="1"/>
    <col min="3350" max="3583" width="9.109375" style="670"/>
    <col min="3584" max="3584" width="8.33203125" style="670" customWidth="1"/>
    <col min="3585" max="3585" width="7.5546875" style="670" bestFit="1" customWidth="1"/>
    <col min="3586" max="3586" width="59.5546875" style="670" bestFit="1" customWidth="1"/>
    <col min="3587" max="3587" width="23.6640625" style="670" bestFit="1" customWidth="1"/>
    <col min="3588" max="3588" width="26.6640625" style="670" customWidth="1"/>
    <col min="3589" max="3589" width="23" style="670" customWidth="1"/>
    <col min="3590" max="3590" width="23.33203125" style="670" bestFit="1" customWidth="1"/>
    <col min="3591" max="3591" width="24" style="670" customWidth="1"/>
    <col min="3592" max="3592" width="26.109375" style="670" customWidth="1"/>
    <col min="3593" max="3593" width="25.5546875" style="670" customWidth="1"/>
    <col min="3594" max="3594" width="22.44140625" style="670" customWidth="1"/>
    <col min="3595" max="3595" width="25.109375" style="670" bestFit="1" customWidth="1"/>
    <col min="3596" max="3596" width="26.88671875" style="670" bestFit="1" customWidth="1"/>
    <col min="3597" max="3597" width="20.88671875" style="670" bestFit="1" customWidth="1"/>
    <col min="3598" max="3598" width="17.33203125" style="670" bestFit="1" customWidth="1"/>
    <col min="3599" max="3599" width="37" style="670" bestFit="1" customWidth="1"/>
    <col min="3600" max="3601" width="27.44140625" style="670" bestFit="1" customWidth="1"/>
    <col min="3602" max="3602" width="20.44140625" style="670" bestFit="1" customWidth="1"/>
    <col min="3603" max="3603" width="9.109375" style="670"/>
    <col min="3604" max="3604" width="22.33203125" style="670" bestFit="1" customWidth="1"/>
    <col min="3605" max="3605" width="14.44140625" style="670" bestFit="1" customWidth="1"/>
    <col min="3606" max="3839" width="9.109375" style="670"/>
    <col min="3840" max="3840" width="8.33203125" style="670" customWidth="1"/>
    <col min="3841" max="3841" width="7.5546875" style="670" bestFit="1" customWidth="1"/>
    <col min="3842" max="3842" width="59.5546875" style="670" bestFit="1" customWidth="1"/>
    <col min="3843" max="3843" width="23.6640625" style="670" bestFit="1" customWidth="1"/>
    <col min="3844" max="3844" width="26.6640625" style="670" customWidth="1"/>
    <col min="3845" max="3845" width="23" style="670" customWidth="1"/>
    <col min="3846" max="3846" width="23.33203125" style="670" bestFit="1" customWidth="1"/>
    <col min="3847" max="3847" width="24" style="670" customWidth="1"/>
    <col min="3848" max="3848" width="26.109375" style="670" customWidth="1"/>
    <col min="3849" max="3849" width="25.5546875" style="670" customWidth="1"/>
    <col min="3850" max="3850" width="22.44140625" style="670" customWidth="1"/>
    <col min="3851" max="3851" width="25.109375" style="670" bestFit="1" customWidth="1"/>
    <col min="3852" max="3852" width="26.88671875" style="670" bestFit="1" customWidth="1"/>
    <col min="3853" max="3853" width="20.88671875" style="670" bestFit="1" customWidth="1"/>
    <col min="3854" max="3854" width="17.33203125" style="670" bestFit="1" customWidth="1"/>
    <col min="3855" max="3855" width="37" style="670" bestFit="1" customWidth="1"/>
    <col min="3856" max="3857" width="27.44140625" style="670" bestFit="1" customWidth="1"/>
    <col min="3858" max="3858" width="20.44140625" style="670" bestFit="1" customWidth="1"/>
    <col min="3859" max="3859" width="9.109375" style="670"/>
    <col min="3860" max="3860" width="22.33203125" style="670" bestFit="1" customWidth="1"/>
    <col min="3861" max="3861" width="14.44140625" style="670" bestFit="1" customWidth="1"/>
    <col min="3862" max="4095" width="9.109375" style="670"/>
    <col min="4096" max="4096" width="8.33203125" style="670" customWidth="1"/>
    <col min="4097" max="4097" width="7.5546875" style="670" bestFit="1" customWidth="1"/>
    <col min="4098" max="4098" width="59.5546875" style="670" bestFit="1" customWidth="1"/>
    <col min="4099" max="4099" width="23.6640625" style="670" bestFit="1" customWidth="1"/>
    <col min="4100" max="4100" width="26.6640625" style="670" customWidth="1"/>
    <col min="4101" max="4101" width="23" style="670" customWidth="1"/>
    <col min="4102" max="4102" width="23.33203125" style="670" bestFit="1" customWidth="1"/>
    <col min="4103" max="4103" width="24" style="670" customWidth="1"/>
    <col min="4104" max="4104" width="26.109375" style="670" customWidth="1"/>
    <col min="4105" max="4105" width="25.5546875" style="670" customWidth="1"/>
    <col min="4106" max="4106" width="22.44140625" style="670" customWidth="1"/>
    <col min="4107" max="4107" width="25.109375" style="670" bestFit="1" customWidth="1"/>
    <col min="4108" max="4108" width="26.88671875" style="670" bestFit="1" customWidth="1"/>
    <col min="4109" max="4109" width="20.88671875" style="670" bestFit="1" customWidth="1"/>
    <col min="4110" max="4110" width="17.33203125" style="670" bestFit="1" customWidth="1"/>
    <col min="4111" max="4111" width="37" style="670" bestFit="1" customWidth="1"/>
    <col min="4112" max="4113" width="27.44140625" style="670" bestFit="1" customWidth="1"/>
    <col min="4114" max="4114" width="20.44140625" style="670" bestFit="1" customWidth="1"/>
    <col min="4115" max="4115" width="9.109375" style="670"/>
    <col min="4116" max="4116" width="22.33203125" style="670" bestFit="1" customWidth="1"/>
    <col min="4117" max="4117" width="14.44140625" style="670" bestFit="1" customWidth="1"/>
    <col min="4118" max="4351" width="9.109375" style="670"/>
    <col min="4352" max="4352" width="8.33203125" style="670" customWidth="1"/>
    <col min="4353" max="4353" width="7.5546875" style="670" bestFit="1" customWidth="1"/>
    <col min="4354" max="4354" width="59.5546875" style="670" bestFit="1" customWidth="1"/>
    <col min="4355" max="4355" width="23.6640625" style="670" bestFit="1" customWidth="1"/>
    <col min="4356" max="4356" width="26.6640625" style="670" customWidth="1"/>
    <col min="4357" max="4357" width="23" style="670" customWidth="1"/>
    <col min="4358" max="4358" width="23.33203125" style="670" bestFit="1" customWidth="1"/>
    <col min="4359" max="4359" width="24" style="670" customWidth="1"/>
    <col min="4360" max="4360" width="26.109375" style="670" customWidth="1"/>
    <col min="4361" max="4361" width="25.5546875" style="670" customWidth="1"/>
    <col min="4362" max="4362" width="22.44140625" style="670" customWidth="1"/>
    <col min="4363" max="4363" width="25.109375" style="670" bestFit="1" customWidth="1"/>
    <col min="4364" max="4364" width="26.88671875" style="670" bestFit="1" customWidth="1"/>
    <col min="4365" max="4365" width="20.88671875" style="670" bestFit="1" customWidth="1"/>
    <col min="4366" max="4366" width="17.33203125" style="670" bestFit="1" customWidth="1"/>
    <col min="4367" max="4367" width="37" style="670" bestFit="1" customWidth="1"/>
    <col min="4368" max="4369" width="27.44140625" style="670" bestFit="1" customWidth="1"/>
    <col min="4370" max="4370" width="20.44140625" style="670" bestFit="1" customWidth="1"/>
    <col min="4371" max="4371" width="9.109375" style="670"/>
    <col min="4372" max="4372" width="22.33203125" style="670" bestFit="1" customWidth="1"/>
    <col min="4373" max="4373" width="14.44140625" style="670" bestFit="1" customWidth="1"/>
    <col min="4374" max="4607" width="9.109375" style="670"/>
    <col min="4608" max="4608" width="8.33203125" style="670" customWidth="1"/>
    <col min="4609" max="4609" width="7.5546875" style="670" bestFit="1" customWidth="1"/>
    <col min="4610" max="4610" width="59.5546875" style="670" bestFit="1" customWidth="1"/>
    <col min="4611" max="4611" width="23.6640625" style="670" bestFit="1" customWidth="1"/>
    <col min="4612" max="4612" width="26.6640625" style="670" customWidth="1"/>
    <col min="4613" max="4613" width="23" style="670" customWidth="1"/>
    <col min="4614" max="4614" width="23.33203125" style="670" bestFit="1" customWidth="1"/>
    <col min="4615" max="4615" width="24" style="670" customWidth="1"/>
    <col min="4616" max="4616" width="26.109375" style="670" customWidth="1"/>
    <col min="4617" max="4617" width="25.5546875" style="670" customWidth="1"/>
    <col min="4618" max="4618" width="22.44140625" style="670" customWidth="1"/>
    <col min="4619" max="4619" width="25.109375" style="670" bestFit="1" customWidth="1"/>
    <col min="4620" max="4620" width="26.88671875" style="670" bestFit="1" customWidth="1"/>
    <col min="4621" max="4621" width="20.88671875" style="670" bestFit="1" customWidth="1"/>
    <col min="4622" max="4622" width="17.33203125" style="670" bestFit="1" customWidth="1"/>
    <col min="4623" max="4623" width="37" style="670" bestFit="1" customWidth="1"/>
    <col min="4624" max="4625" width="27.44140625" style="670" bestFit="1" customWidth="1"/>
    <col min="4626" max="4626" width="20.44140625" style="670" bestFit="1" customWidth="1"/>
    <col min="4627" max="4627" width="9.109375" style="670"/>
    <col min="4628" max="4628" width="22.33203125" style="670" bestFit="1" customWidth="1"/>
    <col min="4629" max="4629" width="14.44140625" style="670" bestFit="1" customWidth="1"/>
    <col min="4630" max="4863" width="9.109375" style="670"/>
    <col min="4864" max="4864" width="8.33203125" style="670" customWidth="1"/>
    <col min="4865" max="4865" width="7.5546875" style="670" bestFit="1" customWidth="1"/>
    <col min="4866" max="4866" width="59.5546875" style="670" bestFit="1" customWidth="1"/>
    <col min="4867" max="4867" width="23.6640625" style="670" bestFit="1" customWidth="1"/>
    <col min="4868" max="4868" width="26.6640625" style="670" customWidth="1"/>
    <col min="4869" max="4869" width="23" style="670" customWidth="1"/>
    <col min="4870" max="4870" width="23.33203125" style="670" bestFit="1" customWidth="1"/>
    <col min="4871" max="4871" width="24" style="670" customWidth="1"/>
    <col min="4872" max="4872" width="26.109375" style="670" customWidth="1"/>
    <col min="4873" max="4873" width="25.5546875" style="670" customWidth="1"/>
    <col min="4874" max="4874" width="22.44140625" style="670" customWidth="1"/>
    <col min="4875" max="4875" width="25.109375" style="670" bestFit="1" customWidth="1"/>
    <col min="4876" max="4876" width="26.88671875" style="670" bestFit="1" customWidth="1"/>
    <col min="4877" max="4877" width="20.88671875" style="670" bestFit="1" customWidth="1"/>
    <col min="4878" max="4878" width="17.33203125" style="670" bestFit="1" customWidth="1"/>
    <col min="4879" max="4879" width="37" style="670" bestFit="1" customWidth="1"/>
    <col min="4880" max="4881" width="27.44140625" style="670" bestFit="1" customWidth="1"/>
    <col min="4882" max="4882" width="20.44140625" style="670" bestFit="1" customWidth="1"/>
    <col min="4883" max="4883" width="9.109375" style="670"/>
    <col min="4884" max="4884" width="22.33203125" style="670" bestFit="1" customWidth="1"/>
    <col min="4885" max="4885" width="14.44140625" style="670" bestFit="1" customWidth="1"/>
    <col min="4886" max="5119" width="9.109375" style="670"/>
    <col min="5120" max="5120" width="8.33203125" style="670" customWidth="1"/>
    <col min="5121" max="5121" width="7.5546875" style="670" bestFit="1" customWidth="1"/>
    <col min="5122" max="5122" width="59.5546875" style="670" bestFit="1" customWidth="1"/>
    <col min="5123" max="5123" width="23.6640625" style="670" bestFit="1" customWidth="1"/>
    <col min="5124" max="5124" width="26.6640625" style="670" customWidth="1"/>
    <col min="5125" max="5125" width="23" style="670" customWidth="1"/>
    <col min="5126" max="5126" width="23.33203125" style="670" bestFit="1" customWidth="1"/>
    <col min="5127" max="5127" width="24" style="670" customWidth="1"/>
    <col min="5128" max="5128" width="26.109375" style="670" customWidth="1"/>
    <col min="5129" max="5129" width="25.5546875" style="670" customWidth="1"/>
    <col min="5130" max="5130" width="22.44140625" style="670" customWidth="1"/>
    <col min="5131" max="5131" width="25.109375" style="670" bestFit="1" customWidth="1"/>
    <col min="5132" max="5132" width="26.88671875" style="670" bestFit="1" customWidth="1"/>
    <col min="5133" max="5133" width="20.88671875" style="670" bestFit="1" customWidth="1"/>
    <col min="5134" max="5134" width="17.33203125" style="670" bestFit="1" customWidth="1"/>
    <col min="5135" max="5135" width="37" style="670" bestFit="1" customWidth="1"/>
    <col min="5136" max="5137" width="27.44140625" style="670" bestFit="1" customWidth="1"/>
    <col min="5138" max="5138" width="20.44140625" style="670" bestFit="1" customWidth="1"/>
    <col min="5139" max="5139" width="9.109375" style="670"/>
    <col min="5140" max="5140" width="22.33203125" style="670" bestFit="1" customWidth="1"/>
    <col min="5141" max="5141" width="14.44140625" style="670" bestFit="1" customWidth="1"/>
    <col min="5142" max="5375" width="9.109375" style="670"/>
    <col min="5376" max="5376" width="8.33203125" style="670" customWidth="1"/>
    <col min="5377" max="5377" width="7.5546875" style="670" bestFit="1" customWidth="1"/>
    <col min="5378" max="5378" width="59.5546875" style="670" bestFit="1" customWidth="1"/>
    <col min="5379" max="5379" width="23.6640625" style="670" bestFit="1" customWidth="1"/>
    <col min="5380" max="5380" width="26.6640625" style="670" customWidth="1"/>
    <col min="5381" max="5381" width="23" style="670" customWidth="1"/>
    <col min="5382" max="5382" width="23.33203125" style="670" bestFit="1" customWidth="1"/>
    <col min="5383" max="5383" width="24" style="670" customWidth="1"/>
    <col min="5384" max="5384" width="26.109375" style="670" customWidth="1"/>
    <col min="5385" max="5385" width="25.5546875" style="670" customWidth="1"/>
    <col min="5386" max="5386" width="22.44140625" style="670" customWidth="1"/>
    <col min="5387" max="5387" width="25.109375" style="670" bestFit="1" customWidth="1"/>
    <col min="5388" max="5388" width="26.88671875" style="670" bestFit="1" customWidth="1"/>
    <col min="5389" max="5389" width="20.88671875" style="670" bestFit="1" customWidth="1"/>
    <col min="5390" max="5390" width="17.33203125" style="670" bestFit="1" customWidth="1"/>
    <col min="5391" max="5391" width="37" style="670" bestFit="1" customWidth="1"/>
    <col min="5392" max="5393" width="27.44140625" style="670" bestFit="1" customWidth="1"/>
    <col min="5394" max="5394" width="20.44140625" style="670" bestFit="1" customWidth="1"/>
    <col min="5395" max="5395" width="9.109375" style="670"/>
    <col min="5396" max="5396" width="22.33203125" style="670" bestFit="1" customWidth="1"/>
    <col min="5397" max="5397" width="14.44140625" style="670" bestFit="1" customWidth="1"/>
    <col min="5398" max="5631" width="9.109375" style="670"/>
    <col min="5632" max="5632" width="8.33203125" style="670" customWidth="1"/>
    <col min="5633" max="5633" width="7.5546875" style="670" bestFit="1" customWidth="1"/>
    <col min="5634" max="5634" width="59.5546875" style="670" bestFit="1" customWidth="1"/>
    <col min="5635" max="5635" width="23.6640625" style="670" bestFit="1" customWidth="1"/>
    <col min="5636" max="5636" width="26.6640625" style="670" customWidth="1"/>
    <col min="5637" max="5637" width="23" style="670" customWidth="1"/>
    <col min="5638" max="5638" width="23.33203125" style="670" bestFit="1" customWidth="1"/>
    <col min="5639" max="5639" width="24" style="670" customWidth="1"/>
    <col min="5640" max="5640" width="26.109375" style="670" customWidth="1"/>
    <col min="5641" max="5641" width="25.5546875" style="670" customWidth="1"/>
    <col min="5642" max="5642" width="22.44140625" style="670" customWidth="1"/>
    <col min="5643" max="5643" width="25.109375" style="670" bestFit="1" customWidth="1"/>
    <col min="5644" max="5644" width="26.88671875" style="670" bestFit="1" customWidth="1"/>
    <col min="5645" max="5645" width="20.88671875" style="670" bestFit="1" customWidth="1"/>
    <col min="5646" max="5646" width="17.33203125" style="670" bestFit="1" customWidth="1"/>
    <col min="5647" max="5647" width="37" style="670" bestFit="1" customWidth="1"/>
    <col min="5648" max="5649" width="27.44140625" style="670" bestFit="1" customWidth="1"/>
    <col min="5650" max="5650" width="20.44140625" style="670" bestFit="1" customWidth="1"/>
    <col min="5651" max="5651" width="9.109375" style="670"/>
    <col min="5652" max="5652" width="22.33203125" style="670" bestFit="1" customWidth="1"/>
    <col min="5653" max="5653" width="14.44140625" style="670" bestFit="1" customWidth="1"/>
    <col min="5654" max="5887" width="9.109375" style="670"/>
    <col min="5888" max="5888" width="8.33203125" style="670" customWidth="1"/>
    <col min="5889" max="5889" width="7.5546875" style="670" bestFit="1" customWidth="1"/>
    <col min="5890" max="5890" width="59.5546875" style="670" bestFit="1" customWidth="1"/>
    <col min="5891" max="5891" width="23.6640625" style="670" bestFit="1" customWidth="1"/>
    <col min="5892" max="5892" width="26.6640625" style="670" customWidth="1"/>
    <col min="5893" max="5893" width="23" style="670" customWidth="1"/>
    <col min="5894" max="5894" width="23.33203125" style="670" bestFit="1" customWidth="1"/>
    <col min="5895" max="5895" width="24" style="670" customWidth="1"/>
    <col min="5896" max="5896" width="26.109375" style="670" customWidth="1"/>
    <col min="5897" max="5897" width="25.5546875" style="670" customWidth="1"/>
    <col min="5898" max="5898" width="22.44140625" style="670" customWidth="1"/>
    <col min="5899" max="5899" width="25.109375" style="670" bestFit="1" customWidth="1"/>
    <col min="5900" max="5900" width="26.88671875" style="670" bestFit="1" customWidth="1"/>
    <col min="5901" max="5901" width="20.88671875" style="670" bestFit="1" customWidth="1"/>
    <col min="5902" max="5902" width="17.33203125" style="670" bestFit="1" customWidth="1"/>
    <col min="5903" max="5903" width="37" style="670" bestFit="1" customWidth="1"/>
    <col min="5904" max="5905" width="27.44140625" style="670" bestFit="1" customWidth="1"/>
    <col min="5906" max="5906" width="20.44140625" style="670" bestFit="1" customWidth="1"/>
    <col min="5907" max="5907" width="9.109375" style="670"/>
    <col min="5908" max="5908" width="22.33203125" style="670" bestFit="1" customWidth="1"/>
    <col min="5909" max="5909" width="14.44140625" style="670" bestFit="1" customWidth="1"/>
    <col min="5910" max="6143" width="9.109375" style="670"/>
    <col min="6144" max="6144" width="8.33203125" style="670" customWidth="1"/>
    <col min="6145" max="6145" width="7.5546875" style="670" bestFit="1" customWidth="1"/>
    <col min="6146" max="6146" width="59.5546875" style="670" bestFit="1" customWidth="1"/>
    <col min="6147" max="6147" width="23.6640625" style="670" bestFit="1" customWidth="1"/>
    <col min="6148" max="6148" width="26.6640625" style="670" customWidth="1"/>
    <col min="6149" max="6149" width="23" style="670" customWidth="1"/>
    <col min="6150" max="6150" width="23.33203125" style="670" bestFit="1" customWidth="1"/>
    <col min="6151" max="6151" width="24" style="670" customWidth="1"/>
    <col min="6152" max="6152" width="26.109375" style="670" customWidth="1"/>
    <col min="6153" max="6153" width="25.5546875" style="670" customWidth="1"/>
    <col min="6154" max="6154" width="22.44140625" style="670" customWidth="1"/>
    <col min="6155" max="6155" width="25.109375" style="670" bestFit="1" customWidth="1"/>
    <col min="6156" max="6156" width="26.88671875" style="670" bestFit="1" customWidth="1"/>
    <col min="6157" max="6157" width="20.88671875" style="670" bestFit="1" customWidth="1"/>
    <col min="6158" max="6158" width="17.33203125" style="670" bestFit="1" customWidth="1"/>
    <col min="6159" max="6159" width="37" style="670" bestFit="1" customWidth="1"/>
    <col min="6160" max="6161" width="27.44140625" style="670" bestFit="1" customWidth="1"/>
    <col min="6162" max="6162" width="20.44140625" style="670" bestFit="1" customWidth="1"/>
    <col min="6163" max="6163" width="9.109375" style="670"/>
    <col min="6164" max="6164" width="22.33203125" style="670" bestFit="1" customWidth="1"/>
    <col min="6165" max="6165" width="14.44140625" style="670" bestFit="1" customWidth="1"/>
    <col min="6166" max="6399" width="9.109375" style="670"/>
    <col min="6400" max="6400" width="8.33203125" style="670" customWidth="1"/>
    <col min="6401" max="6401" width="7.5546875" style="670" bestFit="1" customWidth="1"/>
    <col min="6402" max="6402" width="59.5546875" style="670" bestFit="1" customWidth="1"/>
    <col min="6403" max="6403" width="23.6640625" style="670" bestFit="1" customWidth="1"/>
    <col min="6404" max="6404" width="26.6640625" style="670" customWidth="1"/>
    <col min="6405" max="6405" width="23" style="670" customWidth="1"/>
    <col min="6406" max="6406" width="23.33203125" style="670" bestFit="1" customWidth="1"/>
    <col min="6407" max="6407" width="24" style="670" customWidth="1"/>
    <col min="6408" max="6408" width="26.109375" style="670" customWidth="1"/>
    <col min="6409" max="6409" width="25.5546875" style="670" customWidth="1"/>
    <col min="6410" max="6410" width="22.44140625" style="670" customWidth="1"/>
    <col min="6411" max="6411" width="25.109375" style="670" bestFit="1" customWidth="1"/>
    <col min="6412" max="6412" width="26.88671875" style="670" bestFit="1" customWidth="1"/>
    <col min="6413" max="6413" width="20.88671875" style="670" bestFit="1" customWidth="1"/>
    <col min="6414" max="6414" width="17.33203125" style="670" bestFit="1" customWidth="1"/>
    <col min="6415" max="6415" width="37" style="670" bestFit="1" customWidth="1"/>
    <col min="6416" max="6417" width="27.44140625" style="670" bestFit="1" customWidth="1"/>
    <col min="6418" max="6418" width="20.44140625" style="670" bestFit="1" customWidth="1"/>
    <col min="6419" max="6419" width="9.109375" style="670"/>
    <col min="6420" max="6420" width="22.33203125" style="670" bestFit="1" customWidth="1"/>
    <col min="6421" max="6421" width="14.44140625" style="670" bestFit="1" customWidth="1"/>
    <col min="6422" max="6655" width="9.109375" style="670"/>
    <col min="6656" max="6656" width="8.33203125" style="670" customWidth="1"/>
    <col min="6657" max="6657" width="7.5546875" style="670" bestFit="1" customWidth="1"/>
    <col min="6658" max="6658" width="59.5546875" style="670" bestFit="1" customWidth="1"/>
    <col min="6659" max="6659" width="23.6640625" style="670" bestFit="1" customWidth="1"/>
    <col min="6660" max="6660" width="26.6640625" style="670" customWidth="1"/>
    <col min="6661" max="6661" width="23" style="670" customWidth="1"/>
    <col min="6662" max="6662" width="23.33203125" style="670" bestFit="1" customWidth="1"/>
    <col min="6663" max="6663" width="24" style="670" customWidth="1"/>
    <col min="6664" max="6664" width="26.109375" style="670" customWidth="1"/>
    <col min="6665" max="6665" width="25.5546875" style="670" customWidth="1"/>
    <col min="6666" max="6666" width="22.44140625" style="670" customWidth="1"/>
    <col min="6667" max="6667" width="25.109375" style="670" bestFit="1" customWidth="1"/>
    <col min="6668" max="6668" width="26.88671875" style="670" bestFit="1" customWidth="1"/>
    <col min="6669" max="6669" width="20.88671875" style="670" bestFit="1" customWidth="1"/>
    <col min="6670" max="6670" width="17.33203125" style="670" bestFit="1" customWidth="1"/>
    <col min="6671" max="6671" width="37" style="670" bestFit="1" customWidth="1"/>
    <col min="6672" max="6673" width="27.44140625" style="670" bestFit="1" customWidth="1"/>
    <col min="6674" max="6674" width="20.44140625" style="670" bestFit="1" customWidth="1"/>
    <col min="6675" max="6675" width="9.109375" style="670"/>
    <col min="6676" max="6676" width="22.33203125" style="670" bestFit="1" customWidth="1"/>
    <col min="6677" max="6677" width="14.44140625" style="670" bestFit="1" customWidth="1"/>
    <col min="6678" max="6911" width="9.109375" style="670"/>
    <col min="6912" max="6912" width="8.33203125" style="670" customWidth="1"/>
    <col min="6913" max="6913" width="7.5546875" style="670" bestFit="1" customWidth="1"/>
    <col min="6914" max="6914" width="59.5546875" style="670" bestFit="1" customWidth="1"/>
    <col min="6915" max="6915" width="23.6640625" style="670" bestFit="1" customWidth="1"/>
    <col min="6916" max="6916" width="26.6640625" style="670" customWidth="1"/>
    <col min="6917" max="6917" width="23" style="670" customWidth="1"/>
    <col min="6918" max="6918" width="23.33203125" style="670" bestFit="1" customWidth="1"/>
    <col min="6919" max="6919" width="24" style="670" customWidth="1"/>
    <col min="6920" max="6920" width="26.109375" style="670" customWidth="1"/>
    <col min="6921" max="6921" width="25.5546875" style="670" customWidth="1"/>
    <col min="6922" max="6922" width="22.44140625" style="670" customWidth="1"/>
    <col min="6923" max="6923" width="25.109375" style="670" bestFit="1" customWidth="1"/>
    <col min="6924" max="6924" width="26.88671875" style="670" bestFit="1" customWidth="1"/>
    <col min="6925" max="6925" width="20.88671875" style="670" bestFit="1" customWidth="1"/>
    <col min="6926" max="6926" width="17.33203125" style="670" bestFit="1" customWidth="1"/>
    <col min="6927" max="6927" width="37" style="670" bestFit="1" customWidth="1"/>
    <col min="6928" max="6929" width="27.44140625" style="670" bestFit="1" customWidth="1"/>
    <col min="6930" max="6930" width="20.44140625" style="670" bestFit="1" customWidth="1"/>
    <col min="6931" max="6931" width="9.109375" style="670"/>
    <col min="6932" max="6932" width="22.33203125" style="670" bestFit="1" customWidth="1"/>
    <col min="6933" max="6933" width="14.44140625" style="670" bestFit="1" customWidth="1"/>
    <col min="6934" max="7167" width="9.109375" style="670"/>
    <col min="7168" max="7168" width="8.33203125" style="670" customWidth="1"/>
    <col min="7169" max="7169" width="7.5546875" style="670" bestFit="1" customWidth="1"/>
    <col min="7170" max="7170" width="59.5546875" style="670" bestFit="1" customWidth="1"/>
    <col min="7171" max="7171" width="23.6640625" style="670" bestFit="1" customWidth="1"/>
    <col min="7172" max="7172" width="26.6640625" style="670" customWidth="1"/>
    <col min="7173" max="7173" width="23" style="670" customWidth="1"/>
    <col min="7174" max="7174" width="23.33203125" style="670" bestFit="1" customWidth="1"/>
    <col min="7175" max="7175" width="24" style="670" customWidth="1"/>
    <col min="7176" max="7176" width="26.109375" style="670" customWidth="1"/>
    <col min="7177" max="7177" width="25.5546875" style="670" customWidth="1"/>
    <col min="7178" max="7178" width="22.44140625" style="670" customWidth="1"/>
    <col min="7179" max="7179" width="25.109375" style="670" bestFit="1" customWidth="1"/>
    <col min="7180" max="7180" width="26.88671875" style="670" bestFit="1" customWidth="1"/>
    <col min="7181" max="7181" width="20.88671875" style="670" bestFit="1" customWidth="1"/>
    <col min="7182" max="7182" width="17.33203125" style="670" bestFit="1" customWidth="1"/>
    <col min="7183" max="7183" width="37" style="670" bestFit="1" customWidth="1"/>
    <col min="7184" max="7185" width="27.44140625" style="670" bestFit="1" customWidth="1"/>
    <col min="7186" max="7186" width="20.44140625" style="670" bestFit="1" customWidth="1"/>
    <col min="7187" max="7187" width="9.109375" style="670"/>
    <col min="7188" max="7188" width="22.33203125" style="670" bestFit="1" customWidth="1"/>
    <col min="7189" max="7189" width="14.44140625" style="670" bestFit="1" customWidth="1"/>
    <col min="7190" max="7423" width="9.109375" style="670"/>
    <col min="7424" max="7424" width="8.33203125" style="670" customWidth="1"/>
    <col min="7425" max="7425" width="7.5546875" style="670" bestFit="1" customWidth="1"/>
    <col min="7426" max="7426" width="59.5546875" style="670" bestFit="1" customWidth="1"/>
    <col min="7427" max="7427" width="23.6640625" style="670" bestFit="1" customWidth="1"/>
    <col min="7428" max="7428" width="26.6640625" style="670" customWidth="1"/>
    <col min="7429" max="7429" width="23" style="670" customWidth="1"/>
    <col min="7430" max="7430" width="23.33203125" style="670" bestFit="1" customWidth="1"/>
    <col min="7431" max="7431" width="24" style="670" customWidth="1"/>
    <col min="7432" max="7432" width="26.109375" style="670" customWidth="1"/>
    <col min="7433" max="7433" width="25.5546875" style="670" customWidth="1"/>
    <col min="7434" max="7434" width="22.44140625" style="670" customWidth="1"/>
    <col min="7435" max="7435" width="25.109375" style="670" bestFit="1" customWidth="1"/>
    <col min="7436" max="7436" width="26.88671875" style="670" bestFit="1" customWidth="1"/>
    <col min="7437" max="7437" width="20.88671875" style="670" bestFit="1" customWidth="1"/>
    <col min="7438" max="7438" width="17.33203125" style="670" bestFit="1" customWidth="1"/>
    <col min="7439" max="7439" width="37" style="670" bestFit="1" customWidth="1"/>
    <col min="7440" max="7441" width="27.44140625" style="670" bestFit="1" customWidth="1"/>
    <col min="7442" max="7442" width="20.44140625" style="670" bestFit="1" customWidth="1"/>
    <col min="7443" max="7443" width="9.109375" style="670"/>
    <col min="7444" max="7444" width="22.33203125" style="670" bestFit="1" customWidth="1"/>
    <col min="7445" max="7445" width="14.44140625" style="670" bestFit="1" customWidth="1"/>
    <col min="7446" max="7679" width="9.109375" style="670"/>
    <col min="7680" max="7680" width="8.33203125" style="670" customWidth="1"/>
    <col min="7681" max="7681" width="7.5546875" style="670" bestFit="1" customWidth="1"/>
    <col min="7682" max="7682" width="59.5546875" style="670" bestFit="1" customWidth="1"/>
    <col min="7683" max="7683" width="23.6640625" style="670" bestFit="1" customWidth="1"/>
    <col min="7684" max="7684" width="26.6640625" style="670" customWidth="1"/>
    <col min="7685" max="7685" width="23" style="670" customWidth="1"/>
    <col min="7686" max="7686" width="23.33203125" style="670" bestFit="1" customWidth="1"/>
    <col min="7687" max="7687" width="24" style="670" customWidth="1"/>
    <col min="7688" max="7688" width="26.109375" style="670" customWidth="1"/>
    <col min="7689" max="7689" width="25.5546875" style="670" customWidth="1"/>
    <col min="7690" max="7690" width="22.44140625" style="670" customWidth="1"/>
    <col min="7691" max="7691" width="25.109375" style="670" bestFit="1" customWidth="1"/>
    <col min="7692" max="7692" width="26.88671875" style="670" bestFit="1" customWidth="1"/>
    <col min="7693" max="7693" width="20.88671875" style="670" bestFit="1" customWidth="1"/>
    <col min="7694" max="7694" width="17.33203125" style="670" bestFit="1" customWidth="1"/>
    <col min="7695" max="7695" width="37" style="670" bestFit="1" customWidth="1"/>
    <col min="7696" max="7697" width="27.44140625" style="670" bestFit="1" customWidth="1"/>
    <col min="7698" max="7698" width="20.44140625" style="670" bestFit="1" customWidth="1"/>
    <col min="7699" max="7699" width="9.109375" style="670"/>
    <col min="7700" max="7700" width="22.33203125" style="670" bestFit="1" customWidth="1"/>
    <col min="7701" max="7701" width="14.44140625" style="670" bestFit="1" customWidth="1"/>
    <col min="7702" max="7935" width="9.109375" style="670"/>
    <col min="7936" max="7936" width="8.33203125" style="670" customWidth="1"/>
    <col min="7937" max="7937" width="7.5546875" style="670" bestFit="1" customWidth="1"/>
    <col min="7938" max="7938" width="59.5546875" style="670" bestFit="1" customWidth="1"/>
    <col min="7939" max="7939" width="23.6640625" style="670" bestFit="1" customWidth="1"/>
    <col min="7940" max="7940" width="26.6640625" style="670" customWidth="1"/>
    <col min="7941" max="7941" width="23" style="670" customWidth="1"/>
    <col min="7942" max="7942" width="23.33203125" style="670" bestFit="1" customWidth="1"/>
    <col min="7943" max="7943" width="24" style="670" customWidth="1"/>
    <col min="7944" max="7944" width="26.109375" style="670" customWidth="1"/>
    <col min="7945" max="7945" width="25.5546875" style="670" customWidth="1"/>
    <col min="7946" max="7946" width="22.44140625" style="670" customWidth="1"/>
    <col min="7947" max="7947" width="25.109375" style="670" bestFit="1" customWidth="1"/>
    <col min="7948" max="7948" width="26.88671875" style="670" bestFit="1" customWidth="1"/>
    <col min="7949" max="7949" width="20.88671875" style="670" bestFit="1" customWidth="1"/>
    <col min="7950" max="7950" width="17.33203125" style="670" bestFit="1" customWidth="1"/>
    <col min="7951" max="7951" width="37" style="670" bestFit="1" customWidth="1"/>
    <col min="7952" max="7953" width="27.44140625" style="670" bestFit="1" customWidth="1"/>
    <col min="7954" max="7954" width="20.44140625" style="670" bestFit="1" customWidth="1"/>
    <col min="7955" max="7955" width="9.109375" style="670"/>
    <col min="7956" max="7956" width="22.33203125" style="670" bestFit="1" customWidth="1"/>
    <col min="7957" max="7957" width="14.44140625" style="670" bestFit="1" customWidth="1"/>
    <col min="7958" max="8191" width="9.109375" style="670"/>
    <col min="8192" max="8192" width="8.33203125" style="670" customWidth="1"/>
    <col min="8193" max="8193" width="7.5546875" style="670" bestFit="1" customWidth="1"/>
    <col min="8194" max="8194" width="59.5546875" style="670" bestFit="1" customWidth="1"/>
    <col min="8195" max="8195" width="23.6640625" style="670" bestFit="1" customWidth="1"/>
    <col min="8196" max="8196" width="26.6640625" style="670" customWidth="1"/>
    <col min="8197" max="8197" width="23" style="670" customWidth="1"/>
    <col min="8198" max="8198" width="23.33203125" style="670" bestFit="1" customWidth="1"/>
    <col min="8199" max="8199" width="24" style="670" customWidth="1"/>
    <col min="8200" max="8200" width="26.109375" style="670" customWidth="1"/>
    <col min="8201" max="8201" width="25.5546875" style="670" customWidth="1"/>
    <col min="8202" max="8202" width="22.44140625" style="670" customWidth="1"/>
    <col min="8203" max="8203" width="25.109375" style="670" bestFit="1" customWidth="1"/>
    <col min="8204" max="8204" width="26.88671875" style="670" bestFit="1" customWidth="1"/>
    <col min="8205" max="8205" width="20.88671875" style="670" bestFit="1" customWidth="1"/>
    <col min="8206" max="8206" width="17.33203125" style="670" bestFit="1" customWidth="1"/>
    <col min="8207" max="8207" width="37" style="670" bestFit="1" customWidth="1"/>
    <col min="8208" max="8209" width="27.44140625" style="670" bestFit="1" customWidth="1"/>
    <col min="8210" max="8210" width="20.44140625" style="670" bestFit="1" customWidth="1"/>
    <col min="8211" max="8211" width="9.109375" style="670"/>
    <col min="8212" max="8212" width="22.33203125" style="670" bestFit="1" customWidth="1"/>
    <col min="8213" max="8213" width="14.44140625" style="670" bestFit="1" customWidth="1"/>
    <col min="8214" max="8447" width="9.109375" style="670"/>
    <col min="8448" max="8448" width="8.33203125" style="670" customWidth="1"/>
    <col min="8449" max="8449" width="7.5546875" style="670" bestFit="1" customWidth="1"/>
    <col min="8450" max="8450" width="59.5546875" style="670" bestFit="1" customWidth="1"/>
    <col min="8451" max="8451" width="23.6640625" style="670" bestFit="1" customWidth="1"/>
    <col min="8452" max="8452" width="26.6640625" style="670" customWidth="1"/>
    <col min="8453" max="8453" width="23" style="670" customWidth="1"/>
    <col min="8454" max="8454" width="23.33203125" style="670" bestFit="1" customWidth="1"/>
    <col min="8455" max="8455" width="24" style="670" customWidth="1"/>
    <col min="8456" max="8456" width="26.109375" style="670" customWidth="1"/>
    <col min="8457" max="8457" width="25.5546875" style="670" customWidth="1"/>
    <col min="8458" max="8458" width="22.44140625" style="670" customWidth="1"/>
    <col min="8459" max="8459" width="25.109375" style="670" bestFit="1" customWidth="1"/>
    <col min="8460" max="8460" width="26.88671875" style="670" bestFit="1" customWidth="1"/>
    <col min="8461" max="8461" width="20.88671875" style="670" bestFit="1" customWidth="1"/>
    <col min="8462" max="8462" width="17.33203125" style="670" bestFit="1" customWidth="1"/>
    <col min="8463" max="8463" width="37" style="670" bestFit="1" customWidth="1"/>
    <col min="8464" max="8465" width="27.44140625" style="670" bestFit="1" customWidth="1"/>
    <col min="8466" max="8466" width="20.44140625" style="670" bestFit="1" customWidth="1"/>
    <col min="8467" max="8467" width="9.109375" style="670"/>
    <col min="8468" max="8468" width="22.33203125" style="670" bestFit="1" customWidth="1"/>
    <col min="8469" max="8469" width="14.44140625" style="670" bestFit="1" customWidth="1"/>
    <col min="8470" max="8703" width="9.109375" style="670"/>
    <col min="8704" max="8704" width="8.33203125" style="670" customWidth="1"/>
    <col min="8705" max="8705" width="7.5546875" style="670" bestFit="1" customWidth="1"/>
    <col min="8706" max="8706" width="59.5546875" style="670" bestFit="1" customWidth="1"/>
    <col min="8707" max="8707" width="23.6640625" style="670" bestFit="1" customWidth="1"/>
    <col min="8708" max="8708" width="26.6640625" style="670" customWidth="1"/>
    <col min="8709" max="8709" width="23" style="670" customWidth="1"/>
    <col min="8710" max="8710" width="23.33203125" style="670" bestFit="1" customWidth="1"/>
    <col min="8711" max="8711" width="24" style="670" customWidth="1"/>
    <col min="8712" max="8712" width="26.109375" style="670" customWidth="1"/>
    <col min="8713" max="8713" width="25.5546875" style="670" customWidth="1"/>
    <col min="8714" max="8714" width="22.44140625" style="670" customWidth="1"/>
    <col min="8715" max="8715" width="25.109375" style="670" bestFit="1" customWidth="1"/>
    <col min="8716" max="8716" width="26.88671875" style="670" bestFit="1" customWidth="1"/>
    <col min="8717" max="8717" width="20.88671875" style="670" bestFit="1" customWidth="1"/>
    <col min="8718" max="8718" width="17.33203125" style="670" bestFit="1" customWidth="1"/>
    <col min="8719" max="8719" width="37" style="670" bestFit="1" customWidth="1"/>
    <col min="8720" max="8721" width="27.44140625" style="670" bestFit="1" customWidth="1"/>
    <col min="8722" max="8722" width="20.44140625" style="670" bestFit="1" customWidth="1"/>
    <col min="8723" max="8723" width="9.109375" style="670"/>
    <col min="8724" max="8724" width="22.33203125" style="670" bestFit="1" customWidth="1"/>
    <col min="8725" max="8725" width="14.44140625" style="670" bestFit="1" customWidth="1"/>
    <col min="8726" max="8959" width="9.109375" style="670"/>
    <col min="8960" max="8960" width="8.33203125" style="670" customWidth="1"/>
    <col min="8961" max="8961" width="7.5546875" style="670" bestFit="1" customWidth="1"/>
    <col min="8962" max="8962" width="59.5546875" style="670" bestFit="1" customWidth="1"/>
    <col min="8963" max="8963" width="23.6640625" style="670" bestFit="1" customWidth="1"/>
    <col min="8964" max="8964" width="26.6640625" style="670" customWidth="1"/>
    <col min="8965" max="8965" width="23" style="670" customWidth="1"/>
    <col min="8966" max="8966" width="23.33203125" style="670" bestFit="1" customWidth="1"/>
    <col min="8967" max="8967" width="24" style="670" customWidth="1"/>
    <col min="8968" max="8968" width="26.109375" style="670" customWidth="1"/>
    <col min="8969" max="8969" width="25.5546875" style="670" customWidth="1"/>
    <col min="8970" max="8970" width="22.44140625" style="670" customWidth="1"/>
    <col min="8971" max="8971" width="25.109375" style="670" bestFit="1" customWidth="1"/>
    <col min="8972" max="8972" width="26.88671875" style="670" bestFit="1" customWidth="1"/>
    <col min="8973" max="8973" width="20.88671875" style="670" bestFit="1" customWidth="1"/>
    <col min="8974" max="8974" width="17.33203125" style="670" bestFit="1" customWidth="1"/>
    <col min="8975" max="8975" width="37" style="670" bestFit="1" customWidth="1"/>
    <col min="8976" max="8977" width="27.44140625" style="670" bestFit="1" customWidth="1"/>
    <col min="8978" max="8978" width="20.44140625" style="670" bestFit="1" customWidth="1"/>
    <col min="8979" max="8979" width="9.109375" style="670"/>
    <col min="8980" max="8980" width="22.33203125" style="670" bestFit="1" customWidth="1"/>
    <col min="8981" max="8981" width="14.44140625" style="670" bestFit="1" customWidth="1"/>
    <col min="8982" max="9215" width="9.109375" style="670"/>
    <col min="9216" max="9216" width="8.33203125" style="670" customWidth="1"/>
    <col min="9217" max="9217" width="7.5546875" style="670" bestFit="1" customWidth="1"/>
    <col min="9218" max="9218" width="59.5546875" style="670" bestFit="1" customWidth="1"/>
    <col min="9219" max="9219" width="23.6640625" style="670" bestFit="1" customWidth="1"/>
    <col min="9220" max="9220" width="26.6640625" style="670" customWidth="1"/>
    <col min="9221" max="9221" width="23" style="670" customWidth="1"/>
    <col min="9222" max="9222" width="23.33203125" style="670" bestFit="1" customWidth="1"/>
    <col min="9223" max="9223" width="24" style="670" customWidth="1"/>
    <col min="9224" max="9224" width="26.109375" style="670" customWidth="1"/>
    <col min="9225" max="9225" width="25.5546875" style="670" customWidth="1"/>
    <col min="9226" max="9226" width="22.44140625" style="670" customWidth="1"/>
    <col min="9227" max="9227" width="25.109375" style="670" bestFit="1" customWidth="1"/>
    <col min="9228" max="9228" width="26.88671875" style="670" bestFit="1" customWidth="1"/>
    <col min="9229" max="9229" width="20.88671875" style="670" bestFit="1" customWidth="1"/>
    <col min="9230" max="9230" width="17.33203125" style="670" bestFit="1" customWidth="1"/>
    <col min="9231" max="9231" width="37" style="670" bestFit="1" customWidth="1"/>
    <col min="9232" max="9233" width="27.44140625" style="670" bestFit="1" customWidth="1"/>
    <col min="9234" max="9234" width="20.44140625" style="670" bestFit="1" customWidth="1"/>
    <col min="9235" max="9235" width="9.109375" style="670"/>
    <col min="9236" max="9236" width="22.33203125" style="670" bestFit="1" customWidth="1"/>
    <col min="9237" max="9237" width="14.44140625" style="670" bestFit="1" customWidth="1"/>
    <col min="9238" max="9471" width="9.109375" style="670"/>
    <col min="9472" max="9472" width="8.33203125" style="670" customWidth="1"/>
    <col min="9473" max="9473" width="7.5546875" style="670" bestFit="1" customWidth="1"/>
    <col min="9474" max="9474" width="59.5546875" style="670" bestFit="1" customWidth="1"/>
    <col min="9475" max="9475" width="23.6640625" style="670" bestFit="1" customWidth="1"/>
    <col min="9476" max="9476" width="26.6640625" style="670" customWidth="1"/>
    <col min="9477" max="9477" width="23" style="670" customWidth="1"/>
    <col min="9478" max="9478" width="23.33203125" style="670" bestFit="1" customWidth="1"/>
    <col min="9479" max="9479" width="24" style="670" customWidth="1"/>
    <col min="9480" max="9480" width="26.109375" style="670" customWidth="1"/>
    <col min="9481" max="9481" width="25.5546875" style="670" customWidth="1"/>
    <col min="9482" max="9482" width="22.44140625" style="670" customWidth="1"/>
    <col min="9483" max="9483" width="25.109375" style="670" bestFit="1" customWidth="1"/>
    <col min="9484" max="9484" width="26.88671875" style="670" bestFit="1" customWidth="1"/>
    <col min="9485" max="9485" width="20.88671875" style="670" bestFit="1" customWidth="1"/>
    <col min="9486" max="9486" width="17.33203125" style="670" bestFit="1" customWidth="1"/>
    <col min="9487" max="9487" width="37" style="670" bestFit="1" customWidth="1"/>
    <col min="9488" max="9489" width="27.44140625" style="670" bestFit="1" customWidth="1"/>
    <col min="9490" max="9490" width="20.44140625" style="670" bestFit="1" customWidth="1"/>
    <col min="9491" max="9491" width="9.109375" style="670"/>
    <col min="9492" max="9492" width="22.33203125" style="670" bestFit="1" customWidth="1"/>
    <col min="9493" max="9493" width="14.44140625" style="670" bestFit="1" customWidth="1"/>
    <col min="9494" max="9727" width="9.109375" style="670"/>
    <col min="9728" max="9728" width="8.33203125" style="670" customWidth="1"/>
    <col min="9729" max="9729" width="7.5546875" style="670" bestFit="1" customWidth="1"/>
    <col min="9730" max="9730" width="59.5546875" style="670" bestFit="1" customWidth="1"/>
    <col min="9731" max="9731" width="23.6640625" style="670" bestFit="1" customWidth="1"/>
    <col min="9732" max="9732" width="26.6640625" style="670" customWidth="1"/>
    <col min="9733" max="9733" width="23" style="670" customWidth="1"/>
    <col min="9734" max="9734" width="23.33203125" style="670" bestFit="1" customWidth="1"/>
    <col min="9735" max="9735" width="24" style="670" customWidth="1"/>
    <col min="9736" max="9736" width="26.109375" style="670" customWidth="1"/>
    <col min="9737" max="9737" width="25.5546875" style="670" customWidth="1"/>
    <col min="9738" max="9738" width="22.44140625" style="670" customWidth="1"/>
    <col min="9739" max="9739" width="25.109375" style="670" bestFit="1" customWidth="1"/>
    <col min="9740" max="9740" width="26.88671875" style="670" bestFit="1" customWidth="1"/>
    <col min="9741" max="9741" width="20.88671875" style="670" bestFit="1" customWidth="1"/>
    <col min="9742" max="9742" width="17.33203125" style="670" bestFit="1" customWidth="1"/>
    <col min="9743" max="9743" width="37" style="670" bestFit="1" customWidth="1"/>
    <col min="9744" max="9745" width="27.44140625" style="670" bestFit="1" customWidth="1"/>
    <col min="9746" max="9746" width="20.44140625" style="670" bestFit="1" customWidth="1"/>
    <col min="9747" max="9747" width="9.109375" style="670"/>
    <col min="9748" max="9748" width="22.33203125" style="670" bestFit="1" customWidth="1"/>
    <col min="9749" max="9749" width="14.44140625" style="670" bestFit="1" customWidth="1"/>
    <col min="9750" max="9983" width="9.109375" style="670"/>
    <col min="9984" max="9984" width="8.33203125" style="670" customWidth="1"/>
    <col min="9985" max="9985" width="7.5546875" style="670" bestFit="1" customWidth="1"/>
    <col min="9986" max="9986" width="59.5546875" style="670" bestFit="1" customWidth="1"/>
    <col min="9987" max="9987" width="23.6640625" style="670" bestFit="1" customWidth="1"/>
    <col min="9988" max="9988" width="26.6640625" style="670" customWidth="1"/>
    <col min="9989" max="9989" width="23" style="670" customWidth="1"/>
    <col min="9990" max="9990" width="23.33203125" style="670" bestFit="1" customWidth="1"/>
    <col min="9991" max="9991" width="24" style="670" customWidth="1"/>
    <col min="9992" max="9992" width="26.109375" style="670" customWidth="1"/>
    <col min="9993" max="9993" width="25.5546875" style="670" customWidth="1"/>
    <col min="9994" max="9994" width="22.44140625" style="670" customWidth="1"/>
    <col min="9995" max="9995" width="25.109375" style="670" bestFit="1" customWidth="1"/>
    <col min="9996" max="9996" width="26.88671875" style="670" bestFit="1" customWidth="1"/>
    <col min="9997" max="9997" width="20.88671875" style="670" bestFit="1" customWidth="1"/>
    <col min="9998" max="9998" width="17.33203125" style="670" bestFit="1" customWidth="1"/>
    <col min="9999" max="9999" width="37" style="670" bestFit="1" customWidth="1"/>
    <col min="10000" max="10001" width="27.44140625" style="670" bestFit="1" customWidth="1"/>
    <col min="10002" max="10002" width="20.44140625" style="670" bestFit="1" customWidth="1"/>
    <col min="10003" max="10003" width="9.109375" style="670"/>
    <col min="10004" max="10004" width="22.33203125" style="670" bestFit="1" customWidth="1"/>
    <col min="10005" max="10005" width="14.44140625" style="670" bestFit="1" customWidth="1"/>
    <col min="10006" max="10239" width="9.109375" style="670"/>
    <col min="10240" max="10240" width="8.33203125" style="670" customWidth="1"/>
    <col min="10241" max="10241" width="7.5546875" style="670" bestFit="1" customWidth="1"/>
    <col min="10242" max="10242" width="59.5546875" style="670" bestFit="1" customWidth="1"/>
    <col min="10243" max="10243" width="23.6640625" style="670" bestFit="1" customWidth="1"/>
    <col min="10244" max="10244" width="26.6640625" style="670" customWidth="1"/>
    <col min="10245" max="10245" width="23" style="670" customWidth="1"/>
    <col min="10246" max="10246" width="23.33203125" style="670" bestFit="1" customWidth="1"/>
    <col min="10247" max="10247" width="24" style="670" customWidth="1"/>
    <col min="10248" max="10248" width="26.109375" style="670" customWidth="1"/>
    <col min="10249" max="10249" width="25.5546875" style="670" customWidth="1"/>
    <col min="10250" max="10250" width="22.44140625" style="670" customWidth="1"/>
    <col min="10251" max="10251" width="25.109375" style="670" bestFit="1" customWidth="1"/>
    <col min="10252" max="10252" width="26.88671875" style="670" bestFit="1" customWidth="1"/>
    <col min="10253" max="10253" width="20.88671875" style="670" bestFit="1" customWidth="1"/>
    <col min="10254" max="10254" width="17.33203125" style="670" bestFit="1" customWidth="1"/>
    <col min="10255" max="10255" width="37" style="670" bestFit="1" customWidth="1"/>
    <col min="10256" max="10257" width="27.44140625" style="670" bestFit="1" customWidth="1"/>
    <col min="10258" max="10258" width="20.44140625" style="670" bestFit="1" customWidth="1"/>
    <col min="10259" max="10259" width="9.109375" style="670"/>
    <col min="10260" max="10260" width="22.33203125" style="670" bestFit="1" customWidth="1"/>
    <col min="10261" max="10261" width="14.44140625" style="670" bestFit="1" customWidth="1"/>
    <col min="10262" max="10495" width="9.109375" style="670"/>
    <col min="10496" max="10496" width="8.33203125" style="670" customWidth="1"/>
    <col min="10497" max="10497" width="7.5546875" style="670" bestFit="1" customWidth="1"/>
    <col min="10498" max="10498" width="59.5546875" style="670" bestFit="1" customWidth="1"/>
    <col min="10499" max="10499" width="23.6640625" style="670" bestFit="1" customWidth="1"/>
    <col min="10500" max="10500" width="26.6640625" style="670" customWidth="1"/>
    <col min="10501" max="10501" width="23" style="670" customWidth="1"/>
    <col min="10502" max="10502" width="23.33203125" style="670" bestFit="1" customWidth="1"/>
    <col min="10503" max="10503" width="24" style="670" customWidth="1"/>
    <col min="10504" max="10504" width="26.109375" style="670" customWidth="1"/>
    <col min="10505" max="10505" width="25.5546875" style="670" customWidth="1"/>
    <col min="10506" max="10506" width="22.44140625" style="670" customWidth="1"/>
    <col min="10507" max="10507" width="25.109375" style="670" bestFit="1" customWidth="1"/>
    <col min="10508" max="10508" width="26.88671875" style="670" bestFit="1" customWidth="1"/>
    <col min="10509" max="10509" width="20.88671875" style="670" bestFit="1" customWidth="1"/>
    <col min="10510" max="10510" width="17.33203125" style="670" bestFit="1" customWidth="1"/>
    <col min="10511" max="10511" width="37" style="670" bestFit="1" customWidth="1"/>
    <col min="10512" max="10513" width="27.44140625" style="670" bestFit="1" customWidth="1"/>
    <col min="10514" max="10514" width="20.44140625" style="670" bestFit="1" customWidth="1"/>
    <col min="10515" max="10515" width="9.109375" style="670"/>
    <col min="10516" max="10516" width="22.33203125" style="670" bestFit="1" customWidth="1"/>
    <col min="10517" max="10517" width="14.44140625" style="670" bestFit="1" customWidth="1"/>
    <col min="10518" max="10751" width="9.109375" style="670"/>
    <col min="10752" max="10752" width="8.33203125" style="670" customWidth="1"/>
    <col min="10753" max="10753" width="7.5546875" style="670" bestFit="1" customWidth="1"/>
    <col min="10754" max="10754" width="59.5546875" style="670" bestFit="1" customWidth="1"/>
    <col min="10755" max="10755" width="23.6640625" style="670" bestFit="1" customWidth="1"/>
    <col min="10756" max="10756" width="26.6640625" style="670" customWidth="1"/>
    <col min="10757" max="10757" width="23" style="670" customWidth="1"/>
    <col min="10758" max="10758" width="23.33203125" style="670" bestFit="1" customWidth="1"/>
    <col min="10759" max="10759" width="24" style="670" customWidth="1"/>
    <col min="10760" max="10760" width="26.109375" style="670" customWidth="1"/>
    <col min="10761" max="10761" width="25.5546875" style="670" customWidth="1"/>
    <col min="10762" max="10762" width="22.44140625" style="670" customWidth="1"/>
    <col min="10763" max="10763" width="25.109375" style="670" bestFit="1" customWidth="1"/>
    <col min="10764" max="10764" width="26.88671875" style="670" bestFit="1" customWidth="1"/>
    <col min="10765" max="10765" width="20.88671875" style="670" bestFit="1" customWidth="1"/>
    <col min="10766" max="10766" width="17.33203125" style="670" bestFit="1" customWidth="1"/>
    <col min="10767" max="10767" width="37" style="670" bestFit="1" customWidth="1"/>
    <col min="10768" max="10769" width="27.44140625" style="670" bestFit="1" customWidth="1"/>
    <col min="10770" max="10770" width="20.44140625" style="670" bestFit="1" customWidth="1"/>
    <col min="10771" max="10771" width="9.109375" style="670"/>
    <col min="10772" max="10772" width="22.33203125" style="670" bestFit="1" customWidth="1"/>
    <col min="10773" max="10773" width="14.44140625" style="670" bestFit="1" customWidth="1"/>
    <col min="10774" max="11007" width="9.109375" style="670"/>
    <col min="11008" max="11008" width="8.33203125" style="670" customWidth="1"/>
    <col min="11009" max="11009" width="7.5546875" style="670" bestFit="1" customWidth="1"/>
    <col min="11010" max="11010" width="59.5546875" style="670" bestFit="1" customWidth="1"/>
    <col min="11011" max="11011" width="23.6640625" style="670" bestFit="1" customWidth="1"/>
    <col min="11012" max="11012" width="26.6640625" style="670" customWidth="1"/>
    <col min="11013" max="11013" width="23" style="670" customWidth="1"/>
    <col min="11014" max="11014" width="23.33203125" style="670" bestFit="1" customWidth="1"/>
    <col min="11015" max="11015" width="24" style="670" customWidth="1"/>
    <col min="11016" max="11016" width="26.109375" style="670" customWidth="1"/>
    <col min="11017" max="11017" width="25.5546875" style="670" customWidth="1"/>
    <col min="11018" max="11018" width="22.44140625" style="670" customWidth="1"/>
    <col min="11019" max="11019" width="25.109375" style="670" bestFit="1" customWidth="1"/>
    <col min="11020" max="11020" width="26.88671875" style="670" bestFit="1" customWidth="1"/>
    <col min="11021" max="11021" width="20.88671875" style="670" bestFit="1" customWidth="1"/>
    <col min="11022" max="11022" width="17.33203125" style="670" bestFit="1" customWidth="1"/>
    <col min="11023" max="11023" width="37" style="670" bestFit="1" customWidth="1"/>
    <col min="11024" max="11025" width="27.44140625" style="670" bestFit="1" customWidth="1"/>
    <col min="11026" max="11026" width="20.44140625" style="670" bestFit="1" customWidth="1"/>
    <col min="11027" max="11027" width="9.109375" style="670"/>
    <col min="11028" max="11028" width="22.33203125" style="670" bestFit="1" customWidth="1"/>
    <col min="11029" max="11029" width="14.44140625" style="670" bestFit="1" customWidth="1"/>
    <col min="11030" max="11263" width="9.109375" style="670"/>
    <col min="11264" max="11264" width="8.33203125" style="670" customWidth="1"/>
    <col min="11265" max="11265" width="7.5546875" style="670" bestFit="1" customWidth="1"/>
    <col min="11266" max="11266" width="59.5546875" style="670" bestFit="1" customWidth="1"/>
    <col min="11267" max="11267" width="23.6640625" style="670" bestFit="1" customWidth="1"/>
    <col min="11268" max="11268" width="26.6640625" style="670" customWidth="1"/>
    <col min="11269" max="11269" width="23" style="670" customWidth="1"/>
    <col min="11270" max="11270" width="23.33203125" style="670" bestFit="1" customWidth="1"/>
    <col min="11271" max="11271" width="24" style="670" customWidth="1"/>
    <col min="11272" max="11272" width="26.109375" style="670" customWidth="1"/>
    <col min="11273" max="11273" width="25.5546875" style="670" customWidth="1"/>
    <col min="11274" max="11274" width="22.44140625" style="670" customWidth="1"/>
    <col min="11275" max="11275" width="25.109375" style="670" bestFit="1" customWidth="1"/>
    <col min="11276" max="11276" width="26.88671875" style="670" bestFit="1" customWidth="1"/>
    <col min="11277" max="11277" width="20.88671875" style="670" bestFit="1" customWidth="1"/>
    <col min="11278" max="11278" width="17.33203125" style="670" bestFit="1" customWidth="1"/>
    <col min="11279" max="11279" width="37" style="670" bestFit="1" customWidth="1"/>
    <col min="11280" max="11281" width="27.44140625" style="670" bestFit="1" customWidth="1"/>
    <col min="11282" max="11282" width="20.44140625" style="670" bestFit="1" customWidth="1"/>
    <col min="11283" max="11283" width="9.109375" style="670"/>
    <col min="11284" max="11284" width="22.33203125" style="670" bestFit="1" customWidth="1"/>
    <col min="11285" max="11285" width="14.44140625" style="670" bestFit="1" customWidth="1"/>
    <col min="11286" max="11519" width="9.109375" style="670"/>
    <col min="11520" max="11520" width="8.33203125" style="670" customWidth="1"/>
    <col min="11521" max="11521" width="7.5546875" style="670" bestFit="1" customWidth="1"/>
    <col min="11522" max="11522" width="59.5546875" style="670" bestFit="1" customWidth="1"/>
    <col min="11523" max="11523" width="23.6640625" style="670" bestFit="1" customWidth="1"/>
    <col min="11524" max="11524" width="26.6640625" style="670" customWidth="1"/>
    <col min="11525" max="11525" width="23" style="670" customWidth="1"/>
    <col min="11526" max="11526" width="23.33203125" style="670" bestFit="1" customWidth="1"/>
    <col min="11527" max="11527" width="24" style="670" customWidth="1"/>
    <col min="11528" max="11528" width="26.109375" style="670" customWidth="1"/>
    <col min="11529" max="11529" width="25.5546875" style="670" customWidth="1"/>
    <col min="11530" max="11530" width="22.44140625" style="670" customWidth="1"/>
    <col min="11531" max="11531" width="25.109375" style="670" bestFit="1" customWidth="1"/>
    <col min="11532" max="11532" width="26.88671875" style="670" bestFit="1" customWidth="1"/>
    <col min="11533" max="11533" width="20.88671875" style="670" bestFit="1" customWidth="1"/>
    <col min="11534" max="11534" width="17.33203125" style="670" bestFit="1" customWidth="1"/>
    <col min="11535" max="11535" width="37" style="670" bestFit="1" customWidth="1"/>
    <col min="11536" max="11537" width="27.44140625" style="670" bestFit="1" customWidth="1"/>
    <col min="11538" max="11538" width="20.44140625" style="670" bestFit="1" customWidth="1"/>
    <col min="11539" max="11539" width="9.109375" style="670"/>
    <col min="11540" max="11540" width="22.33203125" style="670" bestFit="1" customWidth="1"/>
    <col min="11541" max="11541" width="14.44140625" style="670" bestFit="1" customWidth="1"/>
    <col min="11542" max="11775" width="9.109375" style="670"/>
    <col min="11776" max="11776" width="8.33203125" style="670" customWidth="1"/>
    <col min="11777" max="11777" width="7.5546875" style="670" bestFit="1" customWidth="1"/>
    <col min="11778" max="11778" width="59.5546875" style="670" bestFit="1" customWidth="1"/>
    <col min="11779" max="11779" width="23.6640625" style="670" bestFit="1" customWidth="1"/>
    <col min="11780" max="11780" width="26.6640625" style="670" customWidth="1"/>
    <col min="11781" max="11781" width="23" style="670" customWidth="1"/>
    <col min="11782" max="11782" width="23.33203125" style="670" bestFit="1" customWidth="1"/>
    <col min="11783" max="11783" width="24" style="670" customWidth="1"/>
    <col min="11784" max="11784" width="26.109375" style="670" customWidth="1"/>
    <col min="11785" max="11785" width="25.5546875" style="670" customWidth="1"/>
    <col min="11786" max="11786" width="22.44140625" style="670" customWidth="1"/>
    <col min="11787" max="11787" width="25.109375" style="670" bestFit="1" customWidth="1"/>
    <col min="11788" max="11788" width="26.88671875" style="670" bestFit="1" customWidth="1"/>
    <col min="11789" max="11789" width="20.88671875" style="670" bestFit="1" customWidth="1"/>
    <col min="11790" max="11790" width="17.33203125" style="670" bestFit="1" customWidth="1"/>
    <col min="11791" max="11791" width="37" style="670" bestFit="1" customWidth="1"/>
    <col min="11792" max="11793" width="27.44140625" style="670" bestFit="1" customWidth="1"/>
    <col min="11794" max="11794" width="20.44140625" style="670" bestFit="1" customWidth="1"/>
    <col min="11795" max="11795" width="9.109375" style="670"/>
    <col min="11796" max="11796" width="22.33203125" style="670" bestFit="1" customWidth="1"/>
    <col min="11797" max="11797" width="14.44140625" style="670" bestFit="1" customWidth="1"/>
    <col min="11798" max="12031" width="9.109375" style="670"/>
    <col min="12032" max="12032" width="8.33203125" style="670" customWidth="1"/>
    <col min="12033" max="12033" width="7.5546875" style="670" bestFit="1" customWidth="1"/>
    <col min="12034" max="12034" width="59.5546875" style="670" bestFit="1" customWidth="1"/>
    <col min="12035" max="12035" width="23.6640625" style="670" bestFit="1" customWidth="1"/>
    <col min="12036" max="12036" width="26.6640625" style="670" customWidth="1"/>
    <col min="12037" max="12037" width="23" style="670" customWidth="1"/>
    <col min="12038" max="12038" width="23.33203125" style="670" bestFit="1" customWidth="1"/>
    <col min="12039" max="12039" width="24" style="670" customWidth="1"/>
    <col min="12040" max="12040" width="26.109375" style="670" customWidth="1"/>
    <col min="12041" max="12041" width="25.5546875" style="670" customWidth="1"/>
    <col min="12042" max="12042" width="22.44140625" style="670" customWidth="1"/>
    <col min="12043" max="12043" width="25.109375" style="670" bestFit="1" customWidth="1"/>
    <col min="12044" max="12044" width="26.88671875" style="670" bestFit="1" customWidth="1"/>
    <col min="12045" max="12045" width="20.88671875" style="670" bestFit="1" customWidth="1"/>
    <col min="12046" max="12046" width="17.33203125" style="670" bestFit="1" customWidth="1"/>
    <col min="12047" max="12047" width="37" style="670" bestFit="1" customWidth="1"/>
    <col min="12048" max="12049" width="27.44140625" style="670" bestFit="1" customWidth="1"/>
    <col min="12050" max="12050" width="20.44140625" style="670" bestFit="1" customWidth="1"/>
    <col min="12051" max="12051" width="9.109375" style="670"/>
    <col min="12052" max="12052" width="22.33203125" style="670" bestFit="1" customWidth="1"/>
    <col min="12053" max="12053" width="14.44140625" style="670" bestFit="1" customWidth="1"/>
    <col min="12054" max="12287" width="9.109375" style="670"/>
    <col min="12288" max="12288" width="8.33203125" style="670" customWidth="1"/>
    <col min="12289" max="12289" width="7.5546875" style="670" bestFit="1" customWidth="1"/>
    <col min="12290" max="12290" width="59.5546875" style="670" bestFit="1" customWidth="1"/>
    <col min="12291" max="12291" width="23.6640625" style="670" bestFit="1" customWidth="1"/>
    <col min="12292" max="12292" width="26.6640625" style="670" customWidth="1"/>
    <col min="12293" max="12293" width="23" style="670" customWidth="1"/>
    <col min="12294" max="12294" width="23.33203125" style="670" bestFit="1" customWidth="1"/>
    <col min="12295" max="12295" width="24" style="670" customWidth="1"/>
    <col min="12296" max="12296" width="26.109375" style="670" customWidth="1"/>
    <col min="12297" max="12297" width="25.5546875" style="670" customWidth="1"/>
    <col min="12298" max="12298" width="22.44140625" style="670" customWidth="1"/>
    <col min="12299" max="12299" width="25.109375" style="670" bestFit="1" customWidth="1"/>
    <col min="12300" max="12300" width="26.88671875" style="670" bestFit="1" customWidth="1"/>
    <col min="12301" max="12301" width="20.88671875" style="670" bestFit="1" customWidth="1"/>
    <col min="12302" max="12302" width="17.33203125" style="670" bestFit="1" customWidth="1"/>
    <col min="12303" max="12303" width="37" style="670" bestFit="1" customWidth="1"/>
    <col min="12304" max="12305" width="27.44140625" style="670" bestFit="1" customWidth="1"/>
    <col min="12306" max="12306" width="20.44140625" style="670" bestFit="1" customWidth="1"/>
    <col min="12307" max="12307" width="9.109375" style="670"/>
    <col min="12308" max="12308" width="22.33203125" style="670" bestFit="1" customWidth="1"/>
    <col min="12309" max="12309" width="14.44140625" style="670" bestFit="1" customWidth="1"/>
    <col min="12310" max="12543" width="9.109375" style="670"/>
    <col min="12544" max="12544" width="8.33203125" style="670" customWidth="1"/>
    <col min="12545" max="12545" width="7.5546875" style="670" bestFit="1" customWidth="1"/>
    <col min="12546" max="12546" width="59.5546875" style="670" bestFit="1" customWidth="1"/>
    <col min="12547" max="12547" width="23.6640625" style="670" bestFit="1" customWidth="1"/>
    <col min="12548" max="12548" width="26.6640625" style="670" customWidth="1"/>
    <col min="12549" max="12549" width="23" style="670" customWidth="1"/>
    <col min="12550" max="12550" width="23.33203125" style="670" bestFit="1" customWidth="1"/>
    <col min="12551" max="12551" width="24" style="670" customWidth="1"/>
    <col min="12552" max="12552" width="26.109375" style="670" customWidth="1"/>
    <col min="12553" max="12553" width="25.5546875" style="670" customWidth="1"/>
    <col min="12554" max="12554" width="22.44140625" style="670" customWidth="1"/>
    <col min="12555" max="12555" width="25.109375" style="670" bestFit="1" customWidth="1"/>
    <col min="12556" max="12556" width="26.88671875" style="670" bestFit="1" customWidth="1"/>
    <col min="12557" max="12557" width="20.88671875" style="670" bestFit="1" customWidth="1"/>
    <col min="12558" max="12558" width="17.33203125" style="670" bestFit="1" customWidth="1"/>
    <col min="12559" max="12559" width="37" style="670" bestFit="1" customWidth="1"/>
    <col min="12560" max="12561" width="27.44140625" style="670" bestFit="1" customWidth="1"/>
    <col min="12562" max="12562" width="20.44140625" style="670" bestFit="1" customWidth="1"/>
    <col min="12563" max="12563" width="9.109375" style="670"/>
    <col min="12564" max="12564" width="22.33203125" style="670" bestFit="1" customWidth="1"/>
    <col min="12565" max="12565" width="14.44140625" style="670" bestFit="1" customWidth="1"/>
    <col min="12566" max="12799" width="9.109375" style="670"/>
    <col min="12800" max="12800" width="8.33203125" style="670" customWidth="1"/>
    <col min="12801" max="12801" width="7.5546875" style="670" bestFit="1" customWidth="1"/>
    <col min="12802" max="12802" width="59.5546875" style="670" bestFit="1" customWidth="1"/>
    <col min="12803" max="12803" width="23.6640625" style="670" bestFit="1" customWidth="1"/>
    <col min="12804" max="12804" width="26.6640625" style="670" customWidth="1"/>
    <col min="12805" max="12805" width="23" style="670" customWidth="1"/>
    <col min="12806" max="12806" width="23.33203125" style="670" bestFit="1" customWidth="1"/>
    <col min="12807" max="12807" width="24" style="670" customWidth="1"/>
    <col min="12808" max="12808" width="26.109375" style="670" customWidth="1"/>
    <col min="12809" max="12809" width="25.5546875" style="670" customWidth="1"/>
    <col min="12810" max="12810" width="22.44140625" style="670" customWidth="1"/>
    <col min="12811" max="12811" width="25.109375" style="670" bestFit="1" customWidth="1"/>
    <col min="12812" max="12812" width="26.88671875" style="670" bestFit="1" customWidth="1"/>
    <col min="12813" max="12813" width="20.88671875" style="670" bestFit="1" customWidth="1"/>
    <col min="12814" max="12814" width="17.33203125" style="670" bestFit="1" customWidth="1"/>
    <col min="12815" max="12815" width="37" style="670" bestFit="1" customWidth="1"/>
    <col min="12816" max="12817" width="27.44140625" style="670" bestFit="1" customWidth="1"/>
    <col min="12818" max="12818" width="20.44140625" style="670" bestFit="1" customWidth="1"/>
    <col min="12819" max="12819" width="9.109375" style="670"/>
    <col min="12820" max="12820" width="22.33203125" style="670" bestFit="1" customWidth="1"/>
    <col min="12821" max="12821" width="14.44140625" style="670" bestFit="1" customWidth="1"/>
    <col min="12822" max="13055" width="9.109375" style="670"/>
    <col min="13056" max="13056" width="8.33203125" style="670" customWidth="1"/>
    <col min="13057" max="13057" width="7.5546875" style="670" bestFit="1" customWidth="1"/>
    <col min="13058" max="13058" width="59.5546875" style="670" bestFit="1" customWidth="1"/>
    <col min="13059" max="13059" width="23.6640625" style="670" bestFit="1" customWidth="1"/>
    <col min="13060" max="13060" width="26.6640625" style="670" customWidth="1"/>
    <col min="13061" max="13061" width="23" style="670" customWidth="1"/>
    <col min="13062" max="13062" width="23.33203125" style="670" bestFit="1" customWidth="1"/>
    <col min="13063" max="13063" width="24" style="670" customWidth="1"/>
    <col min="13064" max="13064" width="26.109375" style="670" customWidth="1"/>
    <col min="13065" max="13065" width="25.5546875" style="670" customWidth="1"/>
    <col min="13066" max="13066" width="22.44140625" style="670" customWidth="1"/>
    <col min="13067" max="13067" width="25.109375" style="670" bestFit="1" customWidth="1"/>
    <col min="13068" max="13068" width="26.88671875" style="670" bestFit="1" customWidth="1"/>
    <col min="13069" max="13069" width="20.88671875" style="670" bestFit="1" customWidth="1"/>
    <col min="13070" max="13070" width="17.33203125" style="670" bestFit="1" customWidth="1"/>
    <col min="13071" max="13071" width="37" style="670" bestFit="1" customWidth="1"/>
    <col min="13072" max="13073" width="27.44140625" style="670" bestFit="1" customWidth="1"/>
    <col min="13074" max="13074" width="20.44140625" style="670" bestFit="1" customWidth="1"/>
    <col min="13075" max="13075" width="9.109375" style="670"/>
    <col min="13076" max="13076" width="22.33203125" style="670" bestFit="1" customWidth="1"/>
    <col min="13077" max="13077" width="14.44140625" style="670" bestFit="1" customWidth="1"/>
    <col min="13078" max="13311" width="9.109375" style="670"/>
    <col min="13312" max="13312" width="8.33203125" style="670" customWidth="1"/>
    <col min="13313" max="13313" width="7.5546875" style="670" bestFit="1" customWidth="1"/>
    <col min="13314" max="13314" width="59.5546875" style="670" bestFit="1" customWidth="1"/>
    <col min="13315" max="13315" width="23.6640625" style="670" bestFit="1" customWidth="1"/>
    <col min="13316" max="13316" width="26.6640625" style="670" customWidth="1"/>
    <col min="13317" max="13317" width="23" style="670" customWidth="1"/>
    <col min="13318" max="13318" width="23.33203125" style="670" bestFit="1" customWidth="1"/>
    <col min="13319" max="13319" width="24" style="670" customWidth="1"/>
    <col min="13320" max="13320" width="26.109375" style="670" customWidth="1"/>
    <col min="13321" max="13321" width="25.5546875" style="670" customWidth="1"/>
    <col min="13322" max="13322" width="22.44140625" style="670" customWidth="1"/>
    <col min="13323" max="13323" width="25.109375" style="670" bestFit="1" customWidth="1"/>
    <col min="13324" max="13324" width="26.88671875" style="670" bestFit="1" customWidth="1"/>
    <col min="13325" max="13325" width="20.88671875" style="670" bestFit="1" customWidth="1"/>
    <col min="13326" max="13326" width="17.33203125" style="670" bestFit="1" customWidth="1"/>
    <col min="13327" max="13327" width="37" style="670" bestFit="1" customWidth="1"/>
    <col min="13328" max="13329" width="27.44140625" style="670" bestFit="1" customWidth="1"/>
    <col min="13330" max="13330" width="20.44140625" style="670" bestFit="1" customWidth="1"/>
    <col min="13331" max="13331" width="9.109375" style="670"/>
    <col min="13332" max="13332" width="22.33203125" style="670" bestFit="1" customWidth="1"/>
    <col min="13333" max="13333" width="14.44140625" style="670" bestFit="1" customWidth="1"/>
    <col min="13334" max="13567" width="9.109375" style="670"/>
    <col min="13568" max="13568" width="8.33203125" style="670" customWidth="1"/>
    <col min="13569" max="13569" width="7.5546875" style="670" bestFit="1" customWidth="1"/>
    <col min="13570" max="13570" width="59.5546875" style="670" bestFit="1" customWidth="1"/>
    <col min="13571" max="13571" width="23.6640625" style="670" bestFit="1" customWidth="1"/>
    <col min="13572" max="13572" width="26.6640625" style="670" customWidth="1"/>
    <col min="13573" max="13573" width="23" style="670" customWidth="1"/>
    <col min="13574" max="13574" width="23.33203125" style="670" bestFit="1" customWidth="1"/>
    <col min="13575" max="13575" width="24" style="670" customWidth="1"/>
    <col min="13576" max="13576" width="26.109375" style="670" customWidth="1"/>
    <col min="13577" max="13577" width="25.5546875" style="670" customWidth="1"/>
    <col min="13578" max="13578" width="22.44140625" style="670" customWidth="1"/>
    <col min="13579" max="13579" width="25.109375" style="670" bestFit="1" customWidth="1"/>
    <col min="13580" max="13580" width="26.88671875" style="670" bestFit="1" customWidth="1"/>
    <col min="13581" max="13581" width="20.88671875" style="670" bestFit="1" customWidth="1"/>
    <col min="13582" max="13582" width="17.33203125" style="670" bestFit="1" customWidth="1"/>
    <col min="13583" max="13583" width="37" style="670" bestFit="1" customWidth="1"/>
    <col min="13584" max="13585" width="27.44140625" style="670" bestFit="1" customWidth="1"/>
    <col min="13586" max="13586" width="20.44140625" style="670" bestFit="1" customWidth="1"/>
    <col min="13587" max="13587" width="9.109375" style="670"/>
    <col min="13588" max="13588" width="22.33203125" style="670" bestFit="1" customWidth="1"/>
    <col min="13589" max="13589" width="14.44140625" style="670" bestFit="1" customWidth="1"/>
    <col min="13590" max="13823" width="9.109375" style="670"/>
    <col min="13824" max="13824" width="8.33203125" style="670" customWidth="1"/>
    <col min="13825" max="13825" width="7.5546875" style="670" bestFit="1" customWidth="1"/>
    <col min="13826" max="13826" width="59.5546875" style="670" bestFit="1" customWidth="1"/>
    <col min="13827" max="13827" width="23.6640625" style="670" bestFit="1" customWidth="1"/>
    <col min="13828" max="13828" width="26.6640625" style="670" customWidth="1"/>
    <col min="13829" max="13829" width="23" style="670" customWidth="1"/>
    <col min="13830" max="13830" width="23.33203125" style="670" bestFit="1" customWidth="1"/>
    <col min="13831" max="13831" width="24" style="670" customWidth="1"/>
    <col min="13832" max="13832" width="26.109375" style="670" customWidth="1"/>
    <col min="13833" max="13833" width="25.5546875" style="670" customWidth="1"/>
    <col min="13834" max="13834" width="22.44140625" style="670" customWidth="1"/>
    <col min="13835" max="13835" width="25.109375" style="670" bestFit="1" customWidth="1"/>
    <col min="13836" max="13836" width="26.88671875" style="670" bestFit="1" customWidth="1"/>
    <col min="13837" max="13837" width="20.88671875" style="670" bestFit="1" customWidth="1"/>
    <col min="13838" max="13838" width="17.33203125" style="670" bestFit="1" customWidth="1"/>
    <col min="13839" max="13839" width="37" style="670" bestFit="1" customWidth="1"/>
    <col min="13840" max="13841" width="27.44140625" style="670" bestFit="1" customWidth="1"/>
    <col min="13842" max="13842" width="20.44140625" style="670" bestFit="1" customWidth="1"/>
    <col min="13843" max="13843" width="9.109375" style="670"/>
    <col min="13844" max="13844" width="22.33203125" style="670" bestFit="1" customWidth="1"/>
    <col min="13845" max="13845" width="14.44140625" style="670" bestFit="1" customWidth="1"/>
    <col min="13846" max="14079" width="9.109375" style="670"/>
    <col min="14080" max="14080" width="8.33203125" style="670" customWidth="1"/>
    <col min="14081" max="14081" width="7.5546875" style="670" bestFit="1" customWidth="1"/>
    <col min="14082" max="14082" width="59.5546875" style="670" bestFit="1" customWidth="1"/>
    <col min="14083" max="14083" width="23.6640625" style="670" bestFit="1" customWidth="1"/>
    <col min="14084" max="14084" width="26.6640625" style="670" customWidth="1"/>
    <col min="14085" max="14085" width="23" style="670" customWidth="1"/>
    <col min="14086" max="14086" width="23.33203125" style="670" bestFit="1" customWidth="1"/>
    <col min="14087" max="14087" width="24" style="670" customWidth="1"/>
    <col min="14088" max="14088" width="26.109375" style="670" customWidth="1"/>
    <col min="14089" max="14089" width="25.5546875" style="670" customWidth="1"/>
    <col min="14090" max="14090" width="22.44140625" style="670" customWidth="1"/>
    <col min="14091" max="14091" width="25.109375" style="670" bestFit="1" customWidth="1"/>
    <col min="14092" max="14092" width="26.88671875" style="670" bestFit="1" customWidth="1"/>
    <col min="14093" max="14093" width="20.88671875" style="670" bestFit="1" customWidth="1"/>
    <col min="14094" max="14094" width="17.33203125" style="670" bestFit="1" customWidth="1"/>
    <col min="14095" max="14095" width="37" style="670" bestFit="1" customWidth="1"/>
    <col min="14096" max="14097" width="27.44140625" style="670" bestFit="1" customWidth="1"/>
    <col min="14098" max="14098" width="20.44140625" style="670" bestFit="1" customWidth="1"/>
    <col min="14099" max="14099" width="9.109375" style="670"/>
    <col min="14100" max="14100" width="22.33203125" style="670" bestFit="1" customWidth="1"/>
    <col min="14101" max="14101" width="14.44140625" style="670" bestFit="1" customWidth="1"/>
    <col min="14102" max="14335" width="9.109375" style="670"/>
    <col min="14336" max="14336" width="8.33203125" style="670" customWidth="1"/>
    <col min="14337" max="14337" width="7.5546875" style="670" bestFit="1" customWidth="1"/>
    <col min="14338" max="14338" width="59.5546875" style="670" bestFit="1" customWidth="1"/>
    <col min="14339" max="14339" width="23.6640625" style="670" bestFit="1" customWidth="1"/>
    <col min="14340" max="14340" width="26.6640625" style="670" customWidth="1"/>
    <col min="14341" max="14341" width="23" style="670" customWidth="1"/>
    <col min="14342" max="14342" width="23.33203125" style="670" bestFit="1" customWidth="1"/>
    <col min="14343" max="14343" width="24" style="670" customWidth="1"/>
    <col min="14344" max="14344" width="26.109375" style="670" customWidth="1"/>
    <col min="14345" max="14345" width="25.5546875" style="670" customWidth="1"/>
    <col min="14346" max="14346" width="22.44140625" style="670" customWidth="1"/>
    <col min="14347" max="14347" width="25.109375" style="670" bestFit="1" customWidth="1"/>
    <col min="14348" max="14348" width="26.88671875" style="670" bestFit="1" customWidth="1"/>
    <col min="14349" max="14349" width="20.88671875" style="670" bestFit="1" customWidth="1"/>
    <col min="14350" max="14350" width="17.33203125" style="670" bestFit="1" customWidth="1"/>
    <col min="14351" max="14351" width="37" style="670" bestFit="1" customWidth="1"/>
    <col min="14352" max="14353" width="27.44140625" style="670" bestFit="1" customWidth="1"/>
    <col min="14354" max="14354" width="20.44140625" style="670" bestFit="1" customWidth="1"/>
    <col min="14355" max="14355" width="9.109375" style="670"/>
    <col min="14356" max="14356" width="22.33203125" style="670" bestFit="1" customWidth="1"/>
    <col min="14357" max="14357" width="14.44140625" style="670" bestFit="1" customWidth="1"/>
    <col min="14358" max="14591" width="9.109375" style="670"/>
    <col min="14592" max="14592" width="8.33203125" style="670" customWidth="1"/>
    <col min="14593" max="14593" width="7.5546875" style="670" bestFit="1" customWidth="1"/>
    <col min="14594" max="14594" width="59.5546875" style="670" bestFit="1" customWidth="1"/>
    <col min="14595" max="14595" width="23.6640625" style="670" bestFit="1" customWidth="1"/>
    <col min="14596" max="14596" width="26.6640625" style="670" customWidth="1"/>
    <col min="14597" max="14597" width="23" style="670" customWidth="1"/>
    <col min="14598" max="14598" width="23.33203125" style="670" bestFit="1" customWidth="1"/>
    <col min="14599" max="14599" width="24" style="670" customWidth="1"/>
    <col min="14600" max="14600" width="26.109375" style="670" customWidth="1"/>
    <col min="14601" max="14601" width="25.5546875" style="670" customWidth="1"/>
    <col min="14602" max="14602" width="22.44140625" style="670" customWidth="1"/>
    <col min="14603" max="14603" width="25.109375" style="670" bestFit="1" customWidth="1"/>
    <col min="14604" max="14604" width="26.88671875" style="670" bestFit="1" customWidth="1"/>
    <col min="14605" max="14605" width="20.88671875" style="670" bestFit="1" customWidth="1"/>
    <col min="14606" max="14606" width="17.33203125" style="670" bestFit="1" customWidth="1"/>
    <col min="14607" max="14607" width="37" style="670" bestFit="1" customWidth="1"/>
    <col min="14608" max="14609" width="27.44140625" style="670" bestFit="1" customWidth="1"/>
    <col min="14610" max="14610" width="20.44140625" style="670" bestFit="1" customWidth="1"/>
    <col min="14611" max="14611" width="9.109375" style="670"/>
    <col min="14612" max="14612" width="22.33203125" style="670" bestFit="1" customWidth="1"/>
    <col min="14613" max="14613" width="14.44140625" style="670" bestFit="1" customWidth="1"/>
    <col min="14614" max="14847" width="9.109375" style="670"/>
    <col min="14848" max="14848" width="8.33203125" style="670" customWidth="1"/>
    <col min="14849" max="14849" width="7.5546875" style="670" bestFit="1" customWidth="1"/>
    <col min="14850" max="14850" width="59.5546875" style="670" bestFit="1" customWidth="1"/>
    <col min="14851" max="14851" width="23.6640625" style="670" bestFit="1" customWidth="1"/>
    <col min="14852" max="14852" width="26.6640625" style="670" customWidth="1"/>
    <col min="14853" max="14853" width="23" style="670" customWidth="1"/>
    <col min="14854" max="14854" width="23.33203125" style="670" bestFit="1" customWidth="1"/>
    <col min="14855" max="14855" width="24" style="670" customWidth="1"/>
    <col min="14856" max="14856" width="26.109375" style="670" customWidth="1"/>
    <col min="14857" max="14857" width="25.5546875" style="670" customWidth="1"/>
    <col min="14858" max="14858" width="22.44140625" style="670" customWidth="1"/>
    <col min="14859" max="14859" width="25.109375" style="670" bestFit="1" customWidth="1"/>
    <col min="14860" max="14860" width="26.88671875" style="670" bestFit="1" customWidth="1"/>
    <col min="14861" max="14861" width="20.88671875" style="670" bestFit="1" customWidth="1"/>
    <col min="14862" max="14862" width="17.33203125" style="670" bestFit="1" customWidth="1"/>
    <col min="14863" max="14863" width="37" style="670" bestFit="1" customWidth="1"/>
    <col min="14864" max="14865" width="27.44140625" style="670" bestFit="1" customWidth="1"/>
    <col min="14866" max="14866" width="20.44140625" style="670" bestFit="1" customWidth="1"/>
    <col min="14867" max="14867" width="9.109375" style="670"/>
    <col min="14868" max="14868" width="22.33203125" style="670" bestFit="1" customWidth="1"/>
    <col min="14869" max="14869" width="14.44140625" style="670" bestFit="1" customWidth="1"/>
    <col min="14870" max="15103" width="9.109375" style="670"/>
    <col min="15104" max="15104" width="8.33203125" style="670" customWidth="1"/>
    <col min="15105" max="15105" width="7.5546875" style="670" bestFit="1" customWidth="1"/>
    <col min="15106" max="15106" width="59.5546875" style="670" bestFit="1" customWidth="1"/>
    <col min="15107" max="15107" width="23.6640625" style="670" bestFit="1" customWidth="1"/>
    <col min="15108" max="15108" width="26.6640625" style="670" customWidth="1"/>
    <col min="15109" max="15109" width="23" style="670" customWidth="1"/>
    <col min="15110" max="15110" width="23.33203125" style="670" bestFit="1" customWidth="1"/>
    <col min="15111" max="15111" width="24" style="670" customWidth="1"/>
    <col min="15112" max="15112" width="26.109375" style="670" customWidth="1"/>
    <col min="15113" max="15113" width="25.5546875" style="670" customWidth="1"/>
    <col min="15114" max="15114" width="22.44140625" style="670" customWidth="1"/>
    <col min="15115" max="15115" width="25.109375" style="670" bestFit="1" customWidth="1"/>
    <col min="15116" max="15116" width="26.88671875" style="670" bestFit="1" customWidth="1"/>
    <col min="15117" max="15117" width="20.88671875" style="670" bestFit="1" customWidth="1"/>
    <col min="15118" max="15118" width="17.33203125" style="670" bestFit="1" customWidth="1"/>
    <col min="15119" max="15119" width="37" style="670" bestFit="1" customWidth="1"/>
    <col min="15120" max="15121" width="27.44140625" style="670" bestFit="1" customWidth="1"/>
    <col min="15122" max="15122" width="20.44140625" style="670" bestFit="1" customWidth="1"/>
    <col min="15123" max="15123" width="9.109375" style="670"/>
    <col min="15124" max="15124" width="22.33203125" style="670" bestFit="1" customWidth="1"/>
    <col min="15125" max="15125" width="14.44140625" style="670" bestFit="1" customWidth="1"/>
    <col min="15126" max="15359" width="9.109375" style="670"/>
    <col min="15360" max="15360" width="8.33203125" style="670" customWidth="1"/>
    <col min="15361" max="15361" width="7.5546875" style="670" bestFit="1" customWidth="1"/>
    <col min="15362" max="15362" width="59.5546875" style="670" bestFit="1" customWidth="1"/>
    <col min="15363" max="15363" width="23.6640625" style="670" bestFit="1" customWidth="1"/>
    <col min="15364" max="15364" width="26.6640625" style="670" customWidth="1"/>
    <col min="15365" max="15365" width="23" style="670" customWidth="1"/>
    <col min="15366" max="15366" width="23.33203125" style="670" bestFit="1" customWidth="1"/>
    <col min="15367" max="15367" width="24" style="670" customWidth="1"/>
    <col min="15368" max="15368" width="26.109375" style="670" customWidth="1"/>
    <col min="15369" max="15369" width="25.5546875" style="670" customWidth="1"/>
    <col min="15370" max="15370" width="22.44140625" style="670" customWidth="1"/>
    <col min="15371" max="15371" width="25.109375" style="670" bestFit="1" customWidth="1"/>
    <col min="15372" max="15372" width="26.88671875" style="670" bestFit="1" customWidth="1"/>
    <col min="15373" max="15373" width="20.88671875" style="670" bestFit="1" customWidth="1"/>
    <col min="15374" max="15374" width="17.33203125" style="670" bestFit="1" customWidth="1"/>
    <col min="15375" max="15375" width="37" style="670" bestFit="1" customWidth="1"/>
    <col min="15376" max="15377" width="27.44140625" style="670" bestFit="1" customWidth="1"/>
    <col min="15378" max="15378" width="20.44140625" style="670" bestFit="1" customWidth="1"/>
    <col min="15379" max="15379" width="9.109375" style="670"/>
    <col min="15380" max="15380" width="22.33203125" style="670" bestFit="1" customWidth="1"/>
    <col min="15381" max="15381" width="14.44140625" style="670" bestFit="1" customWidth="1"/>
    <col min="15382" max="15615" width="9.109375" style="670"/>
    <col min="15616" max="15616" width="8.33203125" style="670" customWidth="1"/>
    <col min="15617" max="15617" width="7.5546875" style="670" bestFit="1" customWidth="1"/>
    <col min="15618" max="15618" width="59.5546875" style="670" bestFit="1" customWidth="1"/>
    <col min="15619" max="15619" width="23.6640625" style="670" bestFit="1" customWidth="1"/>
    <col min="15620" max="15620" width="26.6640625" style="670" customWidth="1"/>
    <col min="15621" max="15621" width="23" style="670" customWidth="1"/>
    <col min="15622" max="15622" width="23.33203125" style="670" bestFit="1" customWidth="1"/>
    <col min="15623" max="15623" width="24" style="670" customWidth="1"/>
    <col min="15624" max="15624" width="26.109375" style="670" customWidth="1"/>
    <col min="15625" max="15625" width="25.5546875" style="670" customWidth="1"/>
    <col min="15626" max="15626" width="22.44140625" style="670" customWidth="1"/>
    <col min="15627" max="15627" width="25.109375" style="670" bestFit="1" customWidth="1"/>
    <col min="15628" max="15628" width="26.88671875" style="670" bestFit="1" customWidth="1"/>
    <col min="15629" max="15629" width="20.88671875" style="670" bestFit="1" customWidth="1"/>
    <col min="15630" max="15630" width="17.33203125" style="670" bestFit="1" customWidth="1"/>
    <col min="15631" max="15631" width="37" style="670" bestFit="1" customWidth="1"/>
    <col min="15632" max="15633" width="27.44140625" style="670" bestFit="1" customWidth="1"/>
    <col min="15634" max="15634" width="20.44140625" style="670" bestFit="1" customWidth="1"/>
    <col min="15635" max="15635" width="9.109375" style="670"/>
    <col min="15636" max="15636" width="22.33203125" style="670" bestFit="1" customWidth="1"/>
    <col min="15637" max="15637" width="14.44140625" style="670" bestFit="1" customWidth="1"/>
    <col min="15638" max="15871" width="9.109375" style="670"/>
    <col min="15872" max="15872" width="8.33203125" style="670" customWidth="1"/>
    <col min="15873" max="15873" width="7.5546875" style="670" bestFit="1" customWidth="1"/>
    <col min="15874" max="15874" width="59.5546875" style="670" bestFit="1" customWidth="1"/>
    <col min="15875" max="15875" width="23.6640625" style="670" bestFit="1" customWidth="1"/>
    <col min="15876" max="15876" width="26.6640625" style="670" customWidth="1"/>
    <col min="15877" max="15877" width="23" style="670" customWidth="1"/>
    <col min="15878" max="15878" width="23.33203125" style="670" bestFit="1" customWidth="1"/>
    <col min="15879" max="15879" width="24" style="670" customWidth="1"/>
    <col min="15880" max="15880" width="26.109375" style="670" customWidth="1"/>
    <col min="15881" max="15881" width="25.5546875" style="670" customWidth="1"/>
    <col min="15882" max="15882" width="22.44140625" style="670" customWidth="1"/>
    <col min="15883" max="15883" width="25.109375" style="670" bestFit="1" customWidth="1"/>
    <col min="15884" max="15884" width="26.88671875" style="670" bestFit="1" customWidth="1"/>
    <col min="15885" max="15885" width="20.88671875" style="670" bestFit="1" customWidth="1"/>
    <col min="15886" max="15886" width="17.33203125" style="670" bestFit="1" customWidth="1"/>
    <col min="15887" max="15887" width="37" style="670" bestFit="1" customWidth="1"/>
    <col min="15888" max="15889" width="27.44140625" style="670" bestFit="1" customWidth="1"/>
    <col min="15890" max="15890" width="20.44140625" style="670" bestFit="1" customWidth="1"/>
    <col min="15891" max="15891" width="9.109375" style="670"/>
    <col min="15892" max="15892" width="22.33203125" style="670" bestFit="1" customWidth="1"/>
    <col min="15893" max="15893" width="14.44140625" style="670" bestFit="1" customWidth="1"/>
    <col min="15894" max="16127" width="9.109375" style="670"/>
    <col min="16128" max="16128" width="8.33203125" style="670" customWidth="1"/>
    <col min="16129" max="16129" width="7.5546875" style="670" bestFit="1" customWidth="1"/>
    <col min="16130" max="16130" width="59.5546875" style="670" bestFit="1" customWidth="1"/>
    <col min="16131" max="16131" width="23.6640625" style="670" bestFit="1" customWidth="1"/>
    <col min="16132" max="16132" width="26.6640625" style="670" customWidth="1"/>
    <col min="16133" max="16133" width="23" style="670" customWidth="1"/>
    <col min="16134" max="16134" width="23.33203125" style="670" bestFit="1" customWidth="1"/>
    <col min="16135" max="16135" width="24" style="670" customWidth="1"/>
    <col min="16136" max="16136" width="26.109375" style="670" customWidth="1"/>
    <col min="16137" max="16137" width="25.5546875" style="670" customWidth="1"/>
    <col min="16138" max="16138" width="22.44140625" style="670" customWidth="1"/>
    <col min="16139" max="16139" width="25.109375" style="670" bestFit="1" customWidth="1"/>
    <col min="16140" max="16140" width="26.88671875" style="670" bestFit="1" customWidth="1"/>
    <col min="16141" max="16141" width="20.88671875" style="670" bestFit="1" customWidth="1"/>
    <col min="16142" max="16142" width="17.33203125" style="670" bestFit="1" customWidth="1"/>
    <col min="16143" max="16143" width="37" style="670" bestFit="1" customWidth="1"/>
    <col min="16144" max="16145" width="27.44140625" style="670" bestFit="1" customWidth="1"/>
    <col min="16146" max="16146" width="20.44140625" style="670" bestFit="1" customWidth="1"/>
    <col min="16147" max="16147" width="9.109375" style="670"/>
    <col min="16148" max="16148" width="22.33203125" style="670" bestFit="1" customWidth="1"/>
    <col min="16149" max="16149" width="14.44140625" style="670" bestFit="1" customWidth="1"/>
    <col min="16150" max="16382" width="9.109375" style="670"/>
    <col min="16383" max="16384" width="9.109375" style="670" customWidth="1"/>
  </cols>
  <sheetData>
    <row r="1" spans="2:21" s="646" customFormat="1" ht="15.6" hidden="1" x14ac:dyDescent="0.3">
      <c r="B1" s="772" t="s">
        <v>502</v>
      </c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  <c r="O1" s="645"/>
      <c r="T1" s="530"/>
      <c r="U1" s="530"/>
    </row>
    <row r="2" spans="2:21" s="646" customFormat="1" ht="20.100000000000001" customHeight="1" x14ac:dyDescent="0.3">
      <c r="B2" s="773" t="s">
        <v>71</v>
      </c>
      <c r="C2" s="773"/>
      <c r="D2" s="773"/>
      <c r="E2" s="773"/>
      <c r="F2" s="773"/>
      <c r="G2" s="773"/>
      <c r="H2" s="773"/>
      <c r="I2" s="773"/>
      <c r="J2" s="773"/>
      <c r="K2" s="773"/>
      <c r="L2" s="773"/>
      <c r="M2" s="773"/>
      <c r="N2" s="647" t="s">
        <v>538</v>
      </c>
      <c r="O2" s="645"/>
      <c r="T2" s="530"/>
      <c r="U2" s="530"/>
    </row>
    <row r="3" spans="2:21" s="646" customFormat="1" ht="19.5" customHeight="1" x14ac:dyDescent="0.3">
      <c r="B3" s="773" t="s">
        <v>553</v>
      </c>
      <c r="C3" s="773"/>
      <c r="D3" s="773"/>
      <c r="E3" s="773"/>
      <c r="F3" s="773"/>
      <c r="G3" s="773"/>
      <c r="H3" s="773"/>
      <c r="I3" s="773"/>
      <c r="J3" s="773"/>
      <c r="K3" s="773"/>
      <c r="L3" s="773"/>
      <c r="M3" s="773"/>
      <c r="N3" s="773"/>
      <c r="O3" s="645"/>
      <c r="T3" s="530"/>
      <c r="U3" s="530"/>
    </row>
    <row r="4" spans="2:21" s="646" customFormat="1" ht="34.5" customHeight="1" x14ac:dyDescent="0.3">
      <c r="B4" s="774"/>
      <c r="C4" s="774"/>
      <c r="D4" s="774"/>
      <c r="E4" s="774"/>
      <c r="F4" s="774"/>
      <c r="G4" s="774"/>
      <c r="H4" s="774"/>
      <c r="I4" s="774"/>
      <c r="J4" s="774"/>
      <c r="K4" s="774"/>
      <c r="L4" s="774"/>
      <c r="M4" s="774"/>
      <c r="N4" s="774"/>
      <c r="O4" s="645"/>
      <c r="T4" s="530"/>
      <c r="U4" s="530"/>
    </row>
    <row r="5" spans="2:21" s="650" customFormat="1" ht="45" customHeight="1" x14ac:dyDescent="0.3">
      <c r="B5" s="524" t="s">
        <v>41</v>
      </c>
      <c r="C5" s="524" t="s">
        <v>42</v>
      </c>
      <c r="D5" s="525" t="s">
        <v>90</v>
      </c>
      <c r="E5" s="526" t="s">
        <v>49</v>
      </c>
      <c r="F5" s="526" t="s">
        <v>503</v>
      </c>
      <c r="G5" s="526" t="s">
        <v>539</v>
      </c>
      <c r="H5" s="526" t="s">
        <v>504</v>
      </c>
      <c r="I5" s="526" t="s">
        <v>505</v>
      </c>
      <c r="J5" s="526" t="s">
        <v>506</v>
      </c>
      <c r="K5" s="531" t="s">
        <v>507</v>
      </c>
      <c r="L5" s="532" t="s">
        <v>508</v>
      </c>
      <c r="M5" s="648" t="s">
        <v>509</v>
      </c>
      <c r="N5" s="533" t="s">
        <v>89</v>
      </c>
      <c r="O5" s="649"/>
      <c r="T5" s="534"/>
      <c r="U5" s="534"/>
    </row>
    <row r="6" spans="2:21" s="521" customFormat="1" ht="28.5" customHeight="1" x14ac:dyDescent="0.3">
      <c r="B6" s="523">
        <v>1</v>
      </c>
      <c r="C6" s="585" t="s">
        <v>560</v>
      </c>
      <c r="D6" s="586" t="s">
        <v>541</v>
      </c>
      <c r="E6" s="587">
        <v>89904398</v>
      </c>
      <c r="F6" s="587">
        <v>4495220</v>
      </c>
      <c r="G6" s="587">
        <f>793358</f>
        <v>793358</v>
      </c>
      <c r="H6" s="587">
        <v>449522</v>
      </c>
      <c r="I6" s="587">
        <f>+E6-F6-G6-H6</f>
        <v>84166298</v>
      </c>
      <c r="J6" s="587">
        <v>5594594.5999999996</v>
      </c>
      <c r="K6" s="675">
        <f>20000000</f>
        <v>20000000</v>
      </c>
      <c r="L6" s="589">
        <f>I6-J6-K6</f>
        <v>58571703.400000006</v>
      </c>
      <c r="M6" s="651" t="s">
        <v>561</v>
      </c>
      <c r="N6" s="601">
        <v>45134</v>
      </c>
      <c r="O6" s="590" t="s">
        <v>510</v>
      </c>
      <c r="P6" s="591">
        <v>5594594.5999999996</v>
      </c>
      <c r="Q6" s="592">
        <f>+J6/P6</f>
        <v>1</v>
      </c>
      <c r="T6" s="593"/>
      <c r="U6" s="593"/>
    </row>
    <row r="7" spans="2:21" s="521" customFormat="1" ht="28.5" customHeight="1" x14ac:dyDescent="0.3">
      <c r="B7" s="612"/>
      <c r="C7" s="613"/>
      <c r="D7" s="586" t="s">
        <v>542</v>
      </c>
      <c r="E7" s="587">
        <v>0</v>
      </c>
      <c r="F7" s="587">
        <v>0</v>
      </c>
      <c r="G7" s="588">
        <v>0</v>
      </c>
      <c r="H7" s="587">
        <v>0</v>
      </c>
      <c r="I7" s="587">
        <v>0</v>
      </c>
      <c r="J7" s="587">
        <v>0</v>
      </c>
      <c r="K7" s="675">
        <v>14000000</v>
      </c>
      <c r="L7" s="589">
        <f>L6-K7</f>
        <v>44571703.400000006</v>
      </c>
      <c r="M7" s="651" t="s">
        <v>562</v>
      </c>
      <c r="N7" s="601">
        <v>45140</v>
      </c>
      <c r="O7" s="590"/>
      <c r="P7" s="591"/>
      <c r="Q7" s="592"/>
      <c r="T7" s="593"/>
      <c r="U7" s="593"/>
    </row>
    <row r="8" spans="2:21" s="521" customFormat="1" ht="28.5" customHeight="1" x14ac:dyDescent="0.3">
      <c r="B8" s="612"/>
      <c r="C8" s="613"/>
      <c r="D8" s="586" t="s">
        <v>563</v>
      </c>
      <c r="E8" s="587">
        <v>0</v>
      </c>
      <c r="F8" s="587">
        <v>0</v>
      </c>
      <c r="G8" s="588">
        <v>0</v>
      </c>
      <c r="H8" s="587">
        <v>0</v>
      </c>
      <c r="I8" s="587">
        <v>0</v>
      </c>
      <c r="J8" s="587">
        <v>0</v>
      </c>
      <c r="K8" s="675">
        <v>15000000</v>
      </c>
      <c r="L8" s="589">
        <f>L7-K8</f>
        <v>29571703.400000006</v>
      </c>
      <c r="M8" s="651" t="s">
        <v>564</v>
      </c>
      <c r="N8" s="601">
        <v>45156</v>
      </c>
      <c r="O8" s="590"/>
      <c r="P8" s="591"/>
      <c r="Q8" s="592"/>
      <c r="T8" s="593"/>
      <c r="U8" s="593"/>
    </row>
    <row r="9" spans="2:21" s="521" customFormat="1" ht="28.5" customHeight="1" x14ac:dyDescent="0.3">
      <c r="B9" s="612"/>
      <c r="C9" s="613"/>
      <c r="D9" s="586" t="s">
        <v>570</v>
      </c>
      <c r="E9" s="587">
        <v>0</v>
      </c>
      <c r="F9" s="587">
        <v>0</v>
      </c>
      <c r="G9" s="588">
        <v>0</v>
      </c>
      <c r="H9" s="587">
        <v>0</v>
      </c>
      <c r="I9" s="587">
        <v>0</v>
      </c>
      <c r="J9" s="587">
        <v>0</v>
      </c>
      <c r="K9" s="675">
        <v>10000000</v>
      </c>
      <c r="L9" s="589">
        <f>L8-K9</f>
        <v>19571703.400000006</v>
      </c>
      <c r="M9" s="651" t="s">
        <v>573</v>
      </c>
      <c r="N9" s="601">
        <v>45264</v>
      </c>
      <c r="O9" s="590"/>
      <c r="P9" s="591"/>
      <c r="Q9" s="592"/>
      <c r="T9" s="593"/>
      <c r="U9" s="593"/>
    </row>
    <row r="10" spans="2:21" s="521" customFormat="1" ht="28.5" customHeight="1" x14ac:dyDescent="0.3">
      <c r="B10" s="612"/>
      <c r="C10" s="613"/>
      <c r="D10" s="586" t="s">
        <v>572</v>
      </c>
      <c r="E10" s="587">
        <v>0</v>
      </c>
      <c r="F10" s="587">
        <v>0</v>
      </c>
      <c r="G10" s="588">
        <v>0</v>
      </c>
      <c r="H10" s="587">
        <v>0</v>
      </c>
      <c r="I10" s="587">
        <v>0</v>
      </c>
      <c r="J10" s="587">
        <v>0</v>
      </c>
      <c r="K10" s="675">
        <v>10000000</v>
      </c>
      <c r="L10" s="589">
        <f>L9-K10</f>
        <v>9571703.400000006</v>
      </c>
      <c r="M10" s="651" t="s">
        <v>571</v>
      </c>
      <c r="N10" s="601">
        <v>45287</v>
      </c>
      <c r="O10" s="590"/>
      <c r="P10" s="591"/>
      <c r="Q10" s="592"/>
      <c r="T10" s="593"/>
      <c r="U10" s="593"/>
    </row>
    <row r="11" spans="2:21" s="521" customFormat="1" ht="28.5" customHeight="1" x14ac:dyDescent="0.3">
      <c r="B11" s="612"/>
      <c r="C11" s="613"/>
      <c r="D11" s="586" t="s">
        <v>575</v>
      </c>
      <c r="E11" s="587">
        <v>98348762</v>
      </c>
      <c r="F11" s="587">
        <v>4917438</v>
      </c>
      <c r="G11" s="587">
        <v>28527303</v>
      </c>
      <c r="H11" s="587">
        <v>491744</v>
      </c>
      <c r="I11" s="587">
        <f>E11-F11-G11-H11</f>
        <v>64412277</v>
      </c>
      <c r="J11" s="587">
        <v>5043478</v>
      </c>
      <c r="K11" s="675">
        <v>35000000</v>
      </c>
      <c r="L11" s="589">
        <f>I11-J11-K11</f>
        <v>24368799</v>
      </c>
      <c r="M11" s="651" t="s">
        <v>576</v>
      </c>
      <c r="N11" s="601">
        <v>45302</v>
      </c>
      <c r="O11" s="590"/>
      <c r="P11" s="591"/>
      <c r="Q11" s="592"/>
      <c r="T11" s="593"/>
      <c r="U11" s="593"/>
    </row>
    <row r="12" spans="2:21" s="521" customFormat="1" ht="28.5" customHeight="1" x14ac:dyDescent="0.3">
      <c r="B12" s="612"/>
      <c r="C12" s="613"/>
      <c r="D12" s="586" t="s">
        <v>577</v>
      </c>
      <c r="E12" s="587">
        <v>0</v>
      </c>
      <c r="F12" s="587">
        <v>0</v>
      </c>
      <c r="G12" s="587">
        <v>0</v>
      </c>
      <c r="H12" s="587">
        <v>0</v>
      </c>
      <c r="I12" s="587">
        <v>0</v>
      </c>
      <c r="J12" s="587">
        <v>0</v>
      </c>
      <c r="K12" s="675">
        <v>3000000</v>
      </c>
      <c r="L12" s="589">
        <f>L11-K12</f>
        <v>21368799</v>
      </c>
      <c r="M12" s="651" t="s">
        <v>578</v>
      </c>
      <c r="N12" s="601">
        <v>45308</v>
      </c>
      <c r="O12" s="590"/>
      <c r="P12" s="591"/>
      <c r="Q12" s="592"/>
      <c r="T12" s="593"/>
      <c r="U12" s="593"/>
    </row>
    <row r="13" spans="2:21" s="521" customFormat="1" ht="28.5" customHeight="1" x14ac:dyDescent="0.3">
      <c r="B13" s="612"/>
      <c r="C13" s="613"/>
      <c r="D13" s="586" t="s">
        <v>585</v>
      </c>
      <c r="E13" s="587">
        <v>0</v>
      </c>
      <c r="F13" s="587">
        <v>0</v>
      </c>
      <c r="G13" s="587">
        <v>0</v>
      </c>
      <c r="H13" s="587">
        <v>0</v>
      </c>
      <c r="I13" s="587">
        <v>0</v>
      </c>
      <c r="J13" s="587">
        <v>0</v>
      </c>
      <c r="K13" s="675">
        <v>10000000</v>
      </c>
      <c r="L13" s="589">
        <f>L12-J13-K13</f>
        <v>11368799</v>
      </c>
      <c r="M13" s="651" t="s">
        <v>586</v>
      </c>
      <c r="N13" s="601">
        <v>45677</v>
      </c>
      <c r="O13" s="590"/>
      <c r="P13" s="591"/>
      <c r="Q13" s="592"/>
      <c r="T13" s="593"/>
      <c r="U13" s="593"/>
    </row>
    <row r="14" spans="2:21" s="521" customFormat="1" ht="28.5" customHeight="1" x14ac:dyDescent="0.3">
      <c r="B14" s="612"/>
      <c r="C14" s="613"/>
      <c r="D14" s="586" t="s">
        <v>584</v>
      </c>
      <c r="E14" s="587">
        <v>0</v>
      </c>
      <c r="F14" s="587">
        <v>0</v>
      </c>
      <c r="G14" s="587">
        <v>0</v>
      </c>
      <c r="H14" s="587">
        <v>0</v>
      </c>
      <c r="I14" s="587">
        <v>0</v>
      </c>
      <c r="J14" s="587">
        <v>0</v>
      </c>
      <c r="K14" s="675">
        <v>10000000</v>
      </c>
      <c r="L14" s="589">
        <f>L13-J14-K14</f>
        <v>1368799</v>
      </c>
      <c r="M14" s="651" t="s">
        <v>587</v>
      </c>
      <c r="N14" s="601">
        <v>45687</v>
      </c>
      <c r="O14" s="590"/>
      <c r="P14" s="591"/>
      <c r="Q14" s="592"/>
      <c r="T14" s="593"/>
      <c r="U14" s="593"/>
    </row>
    <row r="15" spans="2:21" s="521" customFormat="1" ht="28.5" customHeight="1" x14ac:dyDescent="0.3">
      <c r="B15" s="612"/>
      <c r="C15" s="613"/>
      <c r="D15" s="586" t="s">
        <v>583</v>
      </c>
      <c r="E15" s="587">
        <v>48308781.020000003</v>
      </c>
      <c r="F15" s="587">
        <v>2415439</v>
      </c>
      <c r="G15" s="587">
        <v>15149640</v>
      </c>
      <c r="H15" s="587">
        <v>241544</v>
      </c>
      <c r="I15" s="587">
        <f>E15-F15-G15-H15</f>
        <v>30502158.020000003</v>
      </c>
      <c r="J15" s="587">
        <v>0</v>
      </c>
      <c r="K15" s="675">
        <v>0</v>
      </c>
      <c r="L15" s="589">
        <v>0</v>
      </c>
      <c r="M15" s="651"/>
      <c r="N15" s="601"/>
      <c r="O15" s="590"/>
      <c r="P15" s="591"/>
      <c r="Q15" s="592"/>
      <c r="T15" s="593"/>
      <c r="U15" s="593"/>
    </row>
    <row r="16" spans="2:21" s="656" customFormat="1" ht="28.5" customHeight="1" x14ac:dyDescent="0.3">
      <c r="B16" s="775" t="s">
        <v>511</v>
      </c>
      <c r="C16" s="776"/>
      <c r="D16" s="652"/>
      <c r="E16" s="653">
        <v>0</v>
      </c>
      <c r="F16" s="653">
        <v>0</v>
      </c>
      <c r="G16" s="653">
        <v>0</v>
      </c>
      <c r="H16" s="653">
        <v>0</v>
      </c>
      <c r="I16" s="653">
        <v>0</v>
      </c>
      <c r="J16" s="653">
        <v>0</v>
      </c>
      <c r="K16" s="653">
        <f t="shared" ref="K16:L16" si="0">K15</f>
        <v>0</v>
      </c>
      <c r="L16" s="653">
        <f t="shared" si="0"/>
        <v>0</v>
      </c>
      <c r="M16" s="652">
        <v>0</v>
      </c>
      <c r="N16" s="654"/>
      <c r="O16" s="655" t="s">
        <v>512</v>
      </c>
      <c r="P16" s="655" t="s">
        <v>513</v>
      </c>
      <c r="Q16" s="655" t="s">
        <v>514</v>
      </c>
    </row>
    <row r="17" spans="2:21" s="658" customFormat="1" ht="28.5" customHeight="1" x14ac:dyDescent="0.3">
      <c r="B17" s="781" t="s">
        <v>66</v>
      </c>
      <c r="C17" s="781"/>
      <c r="D17" s="653"/>
      <c r="E17" s="653">
        <v>0</v>
      </c>
      <c r="F17" s="653">
        <v>0</v>
      </c>
      <c r="G17" s="653">
        <v>0</v>
      </c>
      <c r="H17" s="653">
        <v>0</v>
      </c>
      <c r="I17" s="653">
        <v>0</v>
      </c>
      <c r="J17" s="653">
        <v>0</v>
      </c>
      <c r="K17" s="653">
        <v>0</v>
      </c>
      <c r="L17" s="653">
        <v>0</v>
      </c>
      <c r="M17" s="653">
        <v>0</v>
      </c>
      <c r="N17" s="653">
        <v>0</v>
      </c>
      <c r="O17" s="657" t="e">
        <f>E18-#REF!</f>
        <v>#REF!</v>
      </c>
      <c r="P17" s="658" t="e">
        <f>+#REF!</f>
        <v>#REF!</v>
      </c>
      <c r="Q17" s="658" t="e">
        <f>+O17-P17</f>
        <v>#REF!</v>
      </c>
      <c r="T17" s="656"/>
      <c r="U17" s="656"/>
    </row>
    <row r="18" spans="2:21" s="656" customFormat="1" ht="28.5" customHeight="1" x14ac:dyDescent="0.3">
      <c r="B18" s="781" t="s">
        <v>540</v>
      </c>
      <c r="C18" s="781"/>
      <c r="D18" s="652"/>
      <c r="E18" s="653">
        <f>SUM(E6:E15)</f>
        <v>236561941.02000001</v>
      </c>
      <c r="F18" s="653">
        <f t="shared" ref="F18:K18" si="1">SUM(F6:F15)</f>
        <v>11828097</v>
      </c>
      <c r="G18" s="653">
        <f t="shared" si="1"/>
        <v>44470301</v>
      </c>
      <c r="H18" s="653">
        <f t="shared" si="1"/>
        <v>1182810</v>
      </c>
      <c r="I18" s="653">
        <f t="shared" si="1"/>
        <v>179080733.02000001</v>
      </c>
      <c r="J18" s="653">
        <f t="shared" si="1"/>
        <v>10638072.6</v>
      </c>
      <c r="K18" s="653">
        <f t="shared" si="1"/>
        <v>127000000</v>
      </c>
      <c r="L18" s="653">
        <f>I18-J18-K18</f>
        <v>41442660.420000017</v>
      </c>
      <c r="M18" s="652">
        <v>0</v>
      </c>
      <c r="N18" s="659"/>
    </row>
    <row r="19" spans="2:21" s="694" customFormat="1" ht="28.5" customHeight="1" x14ac:dyDescent="0.3">
      <c r="B19" s="690"/>
      <c r="C19" s="691"/>
      <c r="D19" s="692"/>
      <c r="E19" s="588"/>
      <c r="F19" s="588"/>
      <c r="G19" s="588"/>
      <c r="H19" s="588"/>
      <c r="I19" s="588"/>
      <c r="J19" s="588"/>
      <c r="K19" s="588"/>
      <c r="L19" s="588"/>
      <c r="M19" s="692"/>
      <c r="N19" s="693"/>
    </row>
    <row r="20" spans="2:21" s="660" customFormat="1" ht="30" customHeight="1" x14ac:dyDescent="0.3">
      <c r="B20" s="778" t="s">
        <v>543</v>
      </c>
      <c r="C20" s="779"/>
      <c r="D20" s="528">
        <v>0</v>
      </c>
      <c r="E20" s="528">
        <v>0</v>
      </c>
      <c r="F20" s="528">
        <v>0</v>
      </c>
      <c r="G20" s="528">
        <v>0</v>
      </c>
      <c r="H20" s="528">
        <v>0</v>
      </c>
      <c r="I20" s="528">
        <v>0</v>
      </c>
      <c r="J20" s="528">
        <f t="shared" ref="J20:K20" si="2">J16</f>
        <v>0</v>
      </c>
      <c r="K20" s="528">
        <f t="shared" si="2"/>
        <v>0</v>
      </c>
      <c r="L20" s="528">
        <v>0</v>
      </c>
      <c r="M20" s="528"/>
      <c r="N20" s="528"/>
      <c r="O20" s="529" t="s">
        <v>512</v>
      </c>
      <c r="P20" s="529" t="s">
        <v>513</v>
      </c>
      <c r="Q20" s="529" t="s">
        <v>514</v>
      </c>
      <c r="T20" s="527"/>
      <c r="U20" s="527"/>
    </row>
    <row r="21" spans="2:21" s="663" customFormat="1" ht="30" customHeight="1" x14ac:dyDescent="0.3">
      <c r="B21" s="780" t="s">
        <v>544</v>
      </c>
      <c r="C21" s="780"/>
      <c r="D21" s="661">
        <v>0</v>
      </c>
      <c r="E21" s="661">
        <f>E17</f>
        <v>0</v>
      </c>
      <c r="F21" s="661">
        <f t="shared" ref="F21:K21" si="3">F17</f>
        <v>0</v>
      </c>
      <c r="G21" s="661">
        <f t="shared" si="3"/>
        <v>0</v>
      </c>
      <c r="H21" s="661">
        <f t="shared" si="3"/>
        <v>0</v>
      </c>
      <c r="I21" s="661">
        <f t="shared" si="3"/>
        <v>0</v>
      </c>
      <c r="J21" s="661">
        <f t="shared" si="3"/>
        <v>0</v>
      </c>
      <c r="K21" s="661">
        <f t="shared" si="3"/>
        <v>0</v>
      </c>
      <c r="L21" s="661">
        <v>0</v>
      </c>
      <c r="M21" s="661">
        <v>0</v>
      </c>
      <c r="N21" s="661">
        <v>0</v>
      </c>
      <c r="O21" s="662" t="e">
        <f>E22-#REF!</f>
        <v>#REF!</v>
      </c>
      <c r="T21" s="664"/>
      <c r="U21" s="664"/>
    </row>
    <row r="22" spans="2:21" s="667" customFormat="1" ht="30" customHeight="1" x14ac:dyDescent="0.3">
      <c r="B22" s="777" t="s">
        <v>545</v>
      </c>
      <c r="C22" s="777"/>
      <c r="D22" s="665">
        <v>0</v>
      </c>
      <c r="E22" s="665">
        <f>E18</f>
        <v>236561941.02000001</v>
      </c>
      <c r="F22" s="665">
        <f t="shared" ref="F22:K22" si="4">F18</f>
        <v>11828097</v>
      </c>
      <c r="G22" s="665">
        <f t="shared" si="4"/>
        <v>44470301</v>
      </c>
      <c r="H22" s="665">
        <f t="shared" si="4"/>
        <v>1182810</v>
      </c>
      <c r="I22" s="665">
        <f t="shared" si="4"/>
        <v>179080733.02000001</v>
      </c>
      <c r="J22" s="665">
        <f t="shared" si="4"/>
        <v>10638072.6</v>
      </c>
      <c r="K22" s="665">
        <f t="shared" si="4"/>
        <v>127000000</v>
      </c>
      <c r="L22" s="665">
        <v>0</v>
      </c>
      <c r="M22" s="665">
        <v>0</v>
      </c>
      <c r="N22" s="666"/>
      <c r="T22" s="668"/>
      <c r="U22" s="668"/>
    </row>
    <row r="23" spans="2:21" s="646" customFormat="1" ht="15.6" x14ac:dyDescent="0.3">
      <c r="E23" s="535"/>
      <c r="F23" s="535"/>
      <c r="G23" s="535"/>
      <c r="H23" s="535"/>
      <c r="I23" s="535"/>
      <c r="J23" s="535"/>
      <c r="K23" s="535"/>
      <c r="L23" s="535"/>
      <c r="M23" s="650"/>
      <c r="N23" s="669"/>
      <c r="O23" s="645"/>
      <c r="T23" s="530"/>
      <c r="U23" s="530"/>
    </row>
    <row r="26" spans="2:21" x14ac:dyDescent="0.3">
      <c r="E26" s="671"/>
    </row>
  </sheetData>
  <autoFilter ref="B5:N18" xr:uid="{00000000-0009-0000-0000-000008000000}"/>
  <mergeCells count="10">
    <mergeCell ref="B22:C22"/>
    <mergeCell ref="B20:C20"/>
    <mergeCell ref="B21:C21"/>
    <mergeCell ref="B18:C18"/>
    <mergeCell ref="B17:C17"/>
    <mergeCell ref="B1:N1"/>
    <mergeCell ref="B2:M2"/>
    <mergeCell ref="B3:N3"/>
    <mergeCell ref="B4:N4"/>
    <mergeCell ref="B16:C16"/>
  </mergeCells>
  <printOptions horizontalCentered="1"/>
  <pageMargins left="0.55000000000000004" right="0" top="0" bottom="0.45" header="0" footer="0"/>
  <pageSetup paperSize="9" scale="60" fitToHeight="17" orientation="landscape" r:id="rId1"/>
  <headerFooter scaleWithDoc="0"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25</vt:i4>
      </vt:variant>
    </vt:vector>
  </HeadingPairs>
  <TitlesOfParts>
    <vt:vector size="46" baseType="lpstr">
      <vt:lpstr>Anx E (3)</vt:lpstr>
      <vt:lpstr>Anx E (2)</vt:lpstr>
      <vt:lpstr>Anx A</vt:lpstr>
      <vt:lpstr>Anx B</vt:lpstr>
      <vt:lpstr>Anx C</vt:lpstr>
      <vt:lpstr>Anx D (2)</vt:lpstr>
      <vt:lpstr>Anx D</vt:lpstr>
      <vt:lpstr>Anx E</vt:lpstr>
      <vt:lpstr>Anx F</vt:lpstr>
      <vt:lpstr>Anx F. (2)</vt:lpstr>
      <vt:lpstr>Anx F </vt:lpstr>
      <vt:lpstr>Anx G</vt:lpstr>
      <vt:lpstr>Anx G (1)</vt:lpstr>
      <vt:lpstr>Anx H (3)</vt:lpstr>
      <vt:lpstr>Anx H (2)</vt:lpstr>
      <vt:lpstr>Anx H</vt:lpstr>
      <vt:lpstr>Anx J</vt:lpstr>
      <vt:lpstr>Anx K</vt:lpstr>
      <vt:lpstr>Anx L</vt:lpstr>
      <vt:lpstr>Anx M</vt:lpstr>
      <vt:lpstr>MCRP</vt:lpstr>
      <vt:lpstr>'Anx A'!Print_Area</vt:lpstr>
      <vt:lpstr>'Anx B'!Print_Area</vt:lpstr>
      <vt:lpstr>'Anx D'!Print_Area</vt:lpstr>
      <vt:lpstr>'Anx D (2)'!Print_Area</vt:lpstr>
      <vt:lpstr>'Anx E'!Print_Area</vt:lpstr>
      <vt:lpstr>'Anx E (2)'!Print_Area</vt:lpstr>
      <vt:lpstr>'Anx E (3)'!Print_Area</vt:lpstr>
      <vt:lpstr>'Anx F'!Print_Area</vt:lpstr>
      <vt:lpstr>'Anx F '!Print_Area</vt:lpstr>
      <vt:lpstr>'Anx F. (2)'!Print_Area</vt:lpstr>
      <vt:lpstr>'Anx G'!Print_Area</vt:lpstr>
      <vt:lpstr>'Anx G (1)'!Print_Area</vt:lpstr>
      <vt:lpstr>'Anx H'!Print_Area</vt:lpstr>
      <vt:lpstr>'Anx H (2)'!Print_Area</vt:lpstr>
      <vt:lpstr>'Anx H (3)'!Print_Area</vt:lpstr>
      <vt:lpstr>'Anx J'!Print_Area</vt:lpstr>
      <vt:lpstr>'Anx K'!Print_Area</vt:lpstr>
      <vt:lpstr>'Anx E'!Print_Titles</vt:lpstr>
      <vt:lpstr>'Anx E (2)'!Print_Titles</vt:lpstr>
      <vt:lpstr>'Anx E (3)'!Print_Titles</vt:lpstr>
      <vt:lpstr>'Anx F'!Print_Titles</vt:lpstr>
      <vt:lpstr>'Anx F '!Print_Titles</vt:lpstr>
      <vt:lpstr>'Anx F. (2)'!Print_Titles</vt:lpstr>
      <vt:lpstr>'Anx H (2)'!Print_Titles</vt:lpstr>
      <vt:lpstr>'Anx H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2014-04-02T05:22:14Z</cp:lastPrinted>
  <dcterms:created xsi:type="dcterms:W3CDTF">2006-09-16T00:00:00Z</dcterms:created>
  <dcterms:modified xsi:type="dcterms:W3CDTF">2025-09-12T13:44:24Z</dcterms:modified>
</cp:coreProperties>
</file>