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reditzikoyi-my.sharepoint.com/personal/selele_renmoney_com/Documents/"/>
    </mc:Choice>
  </mc:AlternateContent>
  <xr:revisionPtr revIDLastSave="55" documentId="8_{D0C7D14F-2529-4F85-8CDE-CB1063622A20}" xr6:coauthVersionLast="46" xr6:coauthVersionMax="46" xr10:uidLastSave="{D2DCA3A9-619D-4433-B621-64FB17C2E808}"/>
  <bookViews>
    <workbookView xWindow="-110" yWindow="-110" windowWidth="19420" windowHeight="10420" tabRatio="933" xr2:uid="{00000000-000D-0000-FFFF-FFFF00000000}"/>
  </bookViews>
  <sheets>
    <sheet name="Model_Summary" sheetId="23" r:id="rId1"/>
    <sheet name="Current Portfolio" sheetId="45" state="hidden" r:id="rId2"/>
    <sheet name="By Product" sheetId="22" state="hidden" r:id="rId3"/>
    <sheet name="Overhead Allocation" sheetId="42" state="hidden" r:id="rId4"/>
    <sheet name="Loan 1" sheetId="28" r:id="rId5"/>
    <sheet name="Loan 2" sheetId="34" r:id="rId6"/>
    <sheet name="Loan 3" sheetId="37" r:id="rId7"/>
    <sheet name="MBL NTB By Band" sheetId="40" state="hidden" r:id="rId8"/>
    <sheet name="MBL Renewal By Band" sheetId="41" state="hidden" r:id="rId9"/>
    <sheet name="MBL Top-up By Band" sheetId="48" state="hidden" r:id="rId10"/>
    <sheet name="Assumption_Sheet" sheetId="24" state="hidden" r:id="rId11"/>
    <sheet name="DTI - Max loan calc" sheetId="49" state="hidden" r:id="rId12"/>
    <sheet name="Extrapolation" sheetId="46" state="hidden" r:id="rId13"/>
    <sheet name="Marketing Split" sheetId="47" state="hidden" r:id="rId14"/>
  </sheets>
  <externalReferences>
    <externalReference r:id="rId15"/>
    <externalReference r:id="rId16"/>
  </externalReferences>
  <definedNames>
    <definedName name="_xlnm._FilterDatabase" localSheetId="10" hidden="1">Assumption_Sheet!$A$152:$M$152</definedName>
    <definedName name="_xlnm._FilterDatabase" localSheetId="0" hidden="1">Model_Summary!$D$5:$K$5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4" i="28" l="1"/>
  <c r="D204" i="28"/>
  <c r="F204" i="28"/>
  <c r="G204" i="28"/>
  <c r="H204" i="28"/>
  <c r="I204" i="28"/>
  <c r="E193" i="37" l="1"/>
  <c r="D193" i="37"/>
  <c r="E205" i="28"/>
  <c r="D205" i="28"/>
  <c r="E166" i="37"/>
  <c r="D166" i="37"/>
  <c r="E159" i="34"/>
  <c r="D159" i="34"/>
  <c r="E175" i="28"/>
  <c r="D175" i="28"/>
  <c r="F81" i="23"/>
  <c r="G203" i="23"/>
  <c r="H203" i="23"/>
  <c r="I203" i="23"/>
  <c r="J203" i="23"/>
  <c r="K203" i="23"/>
  <c r="F203" i="23"/>
  <c r="G138" i="23"/>
  <c r="F138" i="23"/>
  <c r="G219" i="23"/>
  <c r="F219" i="23"/>
  <c r="G154" i="23"/>
  <c r="F154" i="23"/>
  <c r="G150" i="23"/>
  <c r="G215" i="23" s="1"/>
  <c r="F150" i="23"/>
  <c r="F215" i="23" s="1"/>
  <c r="H214" i="23"/>
  <c r="I214" i="23"/>
  <c r="J214" i="23"/>
  <c r="E187" i="34"/>
  <c r="D187" i="34"/>
  <c r="E185" i="34"/>
  <c r="D185" i="34"/>
  <c r="E206" i="28"/>
  <c r="F206" i="28"/>
  <c r="G206" i="28"/>
  <c r="H206" i="28"/>
  <c r="I206" i="28"/>
  <c r="D206" i="28"/>
  <c r="K12" i="42" l="1"/>
  <c r="K15" i="42" s="1"/>
  <c r="J12" i="42"/>
  <c r="K11" i="42"/>
  <c r="I11" i="42"/>
  <c r="I12" i="42" s="1"/>
  <c r="I15" i="42" s="1"/>
  <c r="H11" i="42"/>
  <c r="H12" i="42" s="1"/>
  <c r="H15" i="42" s="1"/>
  <c r="K6" i="42"/>
  <c r="I6" i="42"/>
  <c r="H6" i="42"/>
  <c r="B222" i="24"/>
  <c r="B215" i="24"/>
  <c r="B223" i="24" l="1"/>
  <c r="F25" i="49"/>
  <c r="G81" i="23"/>
  <c r="E5" i="49"/>
  <c r="E20" i="49" s="1"/>
  <c r="C24" i="42" l="1"/>
  <c r="C23" i="42"/>
  <c r="C25" i="42" s="1"/>
  <c r="H17" i="42" l="1"/>
  <c r="D17" i="42" s="1"/>
  <c r="D8" i="42"/>
  <c r="B8" i="42"/>
  <c r="D5" i="42"/>
  <c r="B5" i="42"/>
  <c r="C5" i="42" s="1"/>
  <c r="D181" i="28"/>
  <c r="C219" i="24"/>
  <c r="C218" i="24"/>
  <c r="G235" i="24"/>
  <c r="H19" i="42" l="1"/>
  <c r="H20" i="42" s="1"/>
  <c r="H22" i="42" s="1"/>
  <c r="H16" i="42"/>
  <c r="B193" i="24" s="1"/>
  <c r="E5" i="42"/>
  <c r="F91" i="23"/>
  <c r="F155" i="23" s="1"/>
  <c r="F220" i="23" s="1"/>
  <c r="E29" i="49"/>
  <c r="G29" i="49" s="1"/>
  <c r="E30" i="49"/>
  <c r="G30" i="49" s="1"/>
  <c r="E31" i="49"/>
  <c r="G31" i="49" s="1"/>
  <c r="F20" i="49"/>
  <c r="G20" i="49" s="1"/>
  <c r="E16" i="49"/>
  <c r="G16" i="49" s="1"/>
  <c r="E15" i="49"/>
  <c r="G15" i="49" s="1"/>
  <c r="E14" i="49"/>
  <c r="G14" i="49" s="1"/>
  <c r="H23" i="42" l="1"/>
  <c r="C6" i="42" s="1"/>
  <c r="B6" i="42" s="1"/>
  <c r="B7" i="42" s="1"/>
  <c r="E6" i="42"/>
  <c r="D6" i="42" s="1"/>
  <c r="D7" i="42" s="1"/>
  <c r="C26" i="42"/>
  <c r="H18" i="42"/>
  <c r="C7" i="42"/>
  <c r="E7" i="42" l="1"/>
  <c r="D236" i="24"/>
  <c r="D235" i="24"/>
  <c r="D234" i="24"/>
  <c r="D237" i="24" s="1"/>
  <c r="K91" i="23" l="1"/>
  <c r="J91" i="23"/>
  <c r="I91" i="23"/>
  <c r="H91" i="23"/>
  <c r="G91" i="23"/>
  <c r="G155" i="23" s="1"/>
  <c r="G220" i="23" s="1"/>
  <c r="E183" i="37" l="1"/>
  <c r="D183" i="37"/>
  <c r="E175" i="34"/>
  <c r="D175" i="34"/>
  <c r="C94" i="24" l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105" i="24" s="1"/>
  <c r="D152" i="28"/>
  <c r="C65" i="24" l="1"/>
  <c r="E14" i="48" l="1"/>
  <c r="F14" i="48"/>
  <c r="G14" i="48"/>
  <c r="D14" i="48"/>
  <c r="E11" i="48"/>
  <c r="F11" i="48"/>
  <c r="G11" i="48"/>
  <c r="D11" i="48"/>
  <c r="D206" i="48" s="1"/>
  <c r="E10" i="48"/>
  <c r="F10" i="48"/>
  <c r="F172" i="48" s="1"/>
  <c r="G10" i="48"/>
  <c r="G172" i="48" s="1"/>
  <c r="D10" i="48"/>
  <c r="D172" i="48" s="1"/>
  <c r="E7" i="48"/>
  <c r="E19" i="48" s="1"/>
  <c r="E95" i="48" s="1"/>
  <c r="F7" i="48"/>
  <c r="F19" i="48" s="1"/>
  <c r="F95" i="48" s="1"/>
  <c r="G7" i="48"/>
  <c r="G19" i="48" s="1"/>
  <c r="G95" i="48" s="1"/>
  <c r="D7" i="48"/>
  <c r="D19" i="48" s="1"/>
  <c r="D95" i="48" s="1"/>
  <c r="E6" i="48"/>
  <c r="F6" i="48"/>
  <c r="G6" i="48"/>
  <c r="D6" i="48"/>
  <c r="B293" i="48"/>
  <c r="B294" i="48" s="1"/>
  <c r="B295" i="48" s="1"/>
  <c r="B296" i="48" s="1"/>
  <c r="B297" i="48" s="1"/>
  <c r="C289" i="48"/>
  <c r="C290" i="48" s="1"/>
  <c r="C291" i="48" s="1"/>
  <c r="C292" i="48" s="1"/>
  <c r="C293" i="48" s="1"/>
  <c r="C294" i="48" s="1"/>
  <c r="C295" i="48" s="1"/>
  <c r="C296" i="48" s="1"/>
  <c r="C297" i="48" s="1"/>
  <c r="B280" i="48"/>
  <c r="B281" i="48" s="1"/>
  <c r="B282" i="48" s="1"/>
  <c r="B283" i="48" s="1"/>
  <c r="B284" i="48" s="1"/>
  <c r="C276" i="48"/>
  <c r="C277" i="48" s="1"/>
  <c r="C278" i="48" s="1"/>
  <c r="C279" i="48" s="1"/>
  <c r="C280" i="48" s="1"/>
  <c r="C281" i="48" s="1"/>
  <c r="C282" i="48" s="1"/>
  <c r="C283" i="48" s="1"/>
  <c r="C284" i="48" s="1"/>
  <c r="C206" i="48"/>
  <c r="C193" i="48"/>
  <c r="D183" i="48"/>
  <c r="D185" i="48" s="1"/>
  <c r="C174" i="48"/>
  <c r="G137" i="48"/>
  <c r="F137" i="48"/>
  <c r="E137" i="48"/>
  <c r="D137" i="48"/>
  <c r="E172" i="48"/>
  <c r="E171" i="48"/>
  <c r="C392" i="24"/>
  <c r="D392" i="24"/>
  <c r="E392" i="24"/>
  <c r="B392" i="24"/>
  <c r="H414" i="23"/>
  <c r="B388" i="24" s="1"/>
  <c r="I414" i="23"/>
  <c r="E5" i="48" s="1"/>
  <c r="J414" i="23"/>
  <c r="F5" i="48" s="1"/>
  <c r="K414" i="23"/>
  <c r="G5" i="48" s="1"/>
  <c r="K419" i="23"/>
  <c r="G8" i="48" s="1"/>
  <c r="J419" i="23"/>
  <c r="F8" i="48" s="1"/>
  <c r="I419" i="23"/>
  <c r="E8" i="48" s="1"/>
  <c r="H419" i="23"/>
  <c r="D8" i="48" s="1"/>
  <c r="E482" i="23"/>
  <c r="E500" i="23" s="1"/>
  <c r="H482" i="23"/>
  <c r="H500" i="23" s="1"/>
  <c r="F508" i="23"/>
  <c r="G508" i="23"/>
  <c r="H508" i="23"/>
  <c r="I508" i="23"/>
  <c r="J508" i="23"/>
  <c r="K508" i="23"/>
  <c r="F516" i="23"/>
  <c r="I516" i="23"/>
  <c r="H220" i="23"/>
  <c r="J220" i="23"/>
  <c r="J150" i="23"/>
  <c r="H349" i="23"/>
  <c r="H288" i="23"/>
  <c r="I288" i="23"/>
  <c r="G501" i="23" l="1"/>
  <c r="E388" i="24"/>
  <c r="G483" i="23"/>
  <c r="G179" i="48"/>
  <c r="G182" i="48"/>
  <c r="D5" i="48"/>
  <c r="F182" i="48"/>
  <c r="F179" i="48"/>
  <c r="E179" i="48"/>
  <c r="E182" i="48"/>
  <c r="D388" i="24"/>
  <c r="C388" i="24"/>
  <c r="G171" i="48"/>
  <c r="G113" i="48"/>
  <c r="G13" i="48"/>
  <c r="G17" i="48" s="1"/>
  <c r="G114" i="48" s="1"/>
  <c r="G77" i="48" s="1"/>
  <c r="D113" i="48"/>
  <c r="D171" i="48"/>
  <c r="D13" i="48"/>
  <c r="D174" i="48" s="1"/>
  <c r="D15" i="48"/>
  <c r="D196" i="48" s="1"/>
  <c r="E13" i="48"/>
  <c r="E17" i="48" s="1"/>
  <c r="E114" i="48" s="1"/>
  <c r="E77" i="48" s="1"/>
  <c r="E15" i="48"/>
  <c r="E196" i="48" s="1"/>
  <c r="E113" i="48"/>
  <c r="G15" i="48"/>
  <c r="G196" i="48" s="1"/>
  <c r="F171" i="48"/>
  <c r="F113" i="48"/>
  <c r="F13" i="48"/>
  <c r="F166" i="48" s="1"/>
  <c r="F15" i="48"/>
  <c r="F196" i="48" s="1"/>
  <c r="E174" i="48"/>
  <c r="G206" i="48"/>
  <c r="E206" i="48"/>
  <c r="F206" i="48"/>
  <c r="C206" i="41"/>
  <c r="C206" i="40"/>
  <c r="C205" i="37"/>
  <c r="G166" i="48" l="1"/>
  <c r="E166" i="48"/>
  <c r="G97" i="48"/>
  <c r="F17" i="48"/>
  <c r="F114" i="48" s="1"/>
  <c r="F174" i="48"/>
  <c r="D166" i="48"/>
  <c r="D17" i="48"/>
  <c r="D114" i="48" s="1"/>
  <c r="D77" i="48" s="1"/>
  <c r="E97" i="48"/>
  <c r="G174" i="48"/>
  <c r="D22" i="46"/>
  <c r="H215" i="23"/>
  <c r="I215" i="23"/>
  <c r="J215" i="23"/>
  <c r="K215" i="23"/>
  <c r="F77" i="48" l="1"/>
  <c r="D97" i="48"/>
  <c r="F97" i="48" l="1"/>
  <c r="E9" i="46" l="1"/>
  <c r="E17" i="46"/>
  <c r="D3" i="46"/>
  <c r="E3" i="46" s="1"/>
  <c r="D4" i="46"/>
  <c r="E4" i="46" s="1"/>
  <c r="E22" i="46" s="1"/>
  <c r="D5" i="46"/>
  <c r="E5" i="46" s="1"/>
  <c r="D6" i="46"/>
  <c r="E6" i="46" s="1"/>
  <c r="D7" i="46"/>
  <c r="E7" i="46" s="1"/>
  <c r="D8" i="46"/>
  <c r="E8" i="46" s="1"/>
  <c r="D9" i="46"/>
  <c r="D10" i="46"/>
  <c r="E10" i="46" s="1"/>
  <c r="D11" i="46"/>
  <c r="E11" i="46" s="1"/>
  <c r="D12" i="46"/>
  <c r="E12" i="46" s="1"/>
  <c r="D13" i="46"/>
  <c r="E13" i="46" s="1"/>
  <c r="D14" i="46"/>
  <c r="E14" i="46" s="1"/>
  <c r="D15" i="46"/>
  <c r="E15" i="46" s="1"/>
  <c r="D16" i="46"/>
  <c r="E16" i="46" s="1"/>
  <c r="D17" i="46"/>
  <c r="D19" i="46"/>
  <c r="E19" i="46" s="1"/>
  <c r="D20" i="46"/>
  <c r="E20" i="46" s="1"/>
  <c r="D21" i="46"/>
  <c r="E21" i="46" s="1"/>
  <c r="D2" i="46"/>
  <c r="E2" i="46" s="1"/>
  <c r="C18" i="46"/>
  <c r="C23" i="46" s="1"/>
  <c r="B18" i="46"/>
  <c r="D18" i="46" s="1"/>
  <c r="E18" i="46" l="1"/>
  <c r="E23" i="46" s="1"/>
  <c r="B23" i="46"/>
  <c r="D23" i="46" l="1"/>
  <c r="I15" i="22" l="1"/>
  <c r="I12" i="22"/>
  <c r="I9" i="22"/>
  <c r="I8" i="22"/>
  <c r="I6" i="22"/>
  <c r="I7" i="22"/>
  <c r="H7" i="28" l="1"/>
  <c r="H15" i="22" l="1"/>
  <c r="H12" i="22"/>
  <c r="H9" i="22"/>
  <c r="H8" i="22"/>
  <c r="H7" i="22"/>
  <c r="H6" i="22"/>
  <c r="F15" i="22"/>
  <c r="F12" i="22"/>
  <c r="F9" i="22"/>
  <c r="F8" i="22"/>
  <c r="F7" i="22"/>
  <c r="F6" i="22"/>
  <c r="E20" i="22"/>
  <c r="E15" i="22"/>
  <c r="E12" i="22"/>
  <c r="E9" i="22"/>
  <c r="E8" i="22"/>
  <c r="E7" i="22"/>
  <c r="E6" i="22"/>
  <c r="G15" i="22"/>
  <c r="G12" i="22"/>
  <c r="G9" i="22"/>
  <c r="G8" i="22"/>
  <c r="G7" i="22"/>
  <c r="G6" i="22"/>
  <c r="D15" i="22"/>
  <c r="D8" i="22"/>
  <c r="D9" i="22"/>
  <c r="D7" i="22"/>
  <c r="D6" i="22"/>
  <c r="D102" i="22"/>
  <c r="D12" i="22"/>
  <c r="B156" i="45" l="1"/>
  <c r="C165" i="22" l="1"/>
  <c r="C158" i="22"/>
  <c r="C174" i="41"/>
  <c r="C175" i="40"/>
  <c r="C174" i="37"/>
  <c r="C49" i="24"/>
  <c r="B49" i="24"/>
  <c r="F1" i="24" l="1"/>
  <c r="F2" i="24" s="1"/>
  <c r="E6" i="24" s="1"/>
  <c r="E4" i="24"/>
  <c r="B4" i="24"/>
  <c r="D15" i="45" l="1"/>
  <c r="E15" i="45"/>
  <c r="F15" i="45"/>
  <c r="G15" i="45"/>
  <c r="H15" i="45"/>
  <c r="C15" i="45"/>
  <c r="D12" i="45"/>
  <c r="E12" i="45"/>
  <c r="F12" i="45"/>
  <c r="G12" i="45"/>
  <c r="H12" i="45"/>
  <c r="C12" i="45"/>
  <c r="D9" i="45"/>
  <c r="E9" i="45"/>
  <c r="F9" i="45"/>
  <c r="G9" i="45"/>
  <c r="H9" i="45"/>
  <c r="C9" i="45"/>
  <c r="D8" i="45"/>
  <c r="D20" i="45" s="1"/>
  <c r="D84" i="45" s="1"/>
  <c r="E8" i="45"/>
  <c r="E20" i="45" s="1"/>
  <c r="E84" i="45" s="1"/>
  <c r="F8" i="45"/>
  <c r="F20" i="45" s="1"/>
  <c r="F84" i="45" s="1"/>
  <c r="G8" i="45"/>
  <c r="G20" i="45" s="1"/>
  <c r="G84" i="45" s="1"/>
  <c r="H8" i="45"/>
  <c r="H20" i="45" s="1"/>
  <c r="H84" i="45" s="1"/>
  <c r="C8" i="45"/>
  <c r="C20" i="45" s="1"/>
  <c r="C84" i="45" s="1"/>
  <c r="D7" i="45"/>
  <c r="D102" i="45" s="1"/>
  <c r="E7" i="45"/>
  <c r="E102" i="45" s="1"/>
  <c r="F7" i="45"/>
  <c r="G7" i="45"/>
  <c r="H7" i="45"/>
  <c r="C7" i="45"/>
  <c r="C102" i="45" s="1"/>
  <c r="D6" i="45"/>
  <c r="E6" i="45"/>
  <c r="F6" i="45"/>
  <c r="G6" i="45"/>
  <c r="H6" i="45"/>
  <c r="C6" i="45"/>
  <c r="E312" i="45"/>
  <c r="D312" i="45"/>
  <c r="A276" i="45"/>
  <c r="A277" i="45" s="1"/>
  <c r="A278" i="45" s="1"/>
  <c r="A279" i="45" s="1"/>
  <c r="A280" i="45" s="1"/>
  <c r="B272" i="45"/>
  <c r="B273" i="45" s="1"/>
  <c r="B274" i="45" s="1"/>
  <c r="B275" i="45" s="1"/>
  <c r="B276" i="45" s="1"/>
  <c r="B277" i="45" s="1"/>
  <c r="B278" i="45" s="1"/>
  <c r="B279" i="45" s="1"/>
  <c r="B280" i="45" s="1"/>
  <c r="A263" i="45"/>
  <c r="A264" i="45" s="1"/>
  <c r="A265" i="45" s="1"/>
  <c r="A266" i="45" s="1"/>
  <c r="A267" i="45" s="1"/>
  <c r="B259" i="45"/>
  <c r="B260" i="45" s="1"/>
  <c r="B261" i="45" s="1"/>
  <c r="B262" i="45" s="1"/>
  <c r="B263" i="45" s="1"/>
  <c r="B264" i="45" s="1"/>
  <c r="B265" i="45" s="1"/>
  <c r="B266" i="45" s="1"/>
  <c r="B267" i="45" s="1"/>
  <c r="F202" i="45"/>
  <c r="E202" i="45"/>
  <c r="D202" i="45"/>
  <c r="C202" i="45"/>
  <c r="F200" i="45"/>
  <c r="E200" i="45"/>
  <c r="D200" i="45"/>
  <c r="C200" i="45"/>
  <c r="H200" i="45" s="1"/>
  <c r="B176" i="45"/>
  <c r="B163" i="45"/>
  <c r="B162" i="45"/>
  <c r="H126" i="45"/>
  <c r="H127" i="45" s="1"/>
  <c r="G126" i="45"/>
  <c r="G134" i="45" s="1"/>
  <c r="F126" i="45"/>
  <c r="F135" i="45" s="1"/>
  <c r="E126" i="45"/>
  <c r="E141" i="45" s="1"/>
  <c r="D126" i="45"/>
  <c r="D127" i="45" s="1"/>
  <c r="C126" i="45"/>
  <c r="C132" i="45" s="1"/>
  <c r="H11" i="45"/>
  <c r="G11" i="45"/>
  <c r="F11" i="45"/>
  <c r="E11" i="45"/>
  <c r="D11" i="45"/>
  <c r="C11" i="45"/>
  <c r="K288" i="24"/>
  <c r="L288" i="24"/>
  <c r="M288" i="24"/>
  <c r="N288" i="24"/>
  <c r="O288" i="24"/>
  <c r="J288" i="24"/>
  <c r="K292" i="24"/>
  <c r="L292" i="24"/>
  <c r="M292" i="24"/>
  <c r="N292" i="24"/>
  <c r="O292" i="24"/>
  <c r="J292" i="24"/>
  <c r="K284" i="24"/>
  <c r="K291" i="24" s="1"/>
  <c r="L284" i="24"/>
  <c r="L291" i="24" s="1"/>
  <c r="M284" i="24"/>
  <c r="M291" i="24" s="1"/>
  <c r="N284" i="24"/>
  <c r="N291" i="24" s="1"/>
  <c r="O284" i="24"/>
  <c r="O291" i="24" s="1"/>
  <c r="J284" i="24"/>
  <c r="J291" i="24" s="1"/>
  <c r="B284" i="24"/>
  <c r="G16" i="45" l="1"/>
  <c r="E143" i="45"/>
  <c r="E133" i="45"/>
  <c r="K293" i="24"/>
  <c r="K283" i="24" s="1"/>
  <c r="G519" i="23" s="1"/>
  <c r="F14" i="45"/>
  <c r="F18" i="45" s="1"/>
  <c r="F103" i="45" s="1"/>
  <c r="F66" i="45" s="1"/>
  <c r="E129" i="45"/>
  <c r="E131" i="45"/>
  <c r="E135" i="45"/>
  <c r="E127" i="45"/>
  <c r="E137" i="45"/>
  <c r="G171" i="45"/>
  <c r="F102" i="45"/>
  <c r="D14" i="45"/>
  <c r="D156" i="45" s="1"/>
  <c r="H14" i="45"/>
  <c r="H156" i="45" s="1"/>
  <c r="D16" i="45"/>
  <c r="H16" i="45"/>
  <c r="H102" i="45"/>
  <c r="F16" i="45"/>
  <c r="C14" i="45"/>
  <c r="C156" i="45" s="1"/>
  <c r="G14" i="45"/>
  <c r="G156" i="45" s="1"/>
  <c r="C16" i="45"/>
  <c r="E14" i="45"/>
  <c r="E16" i="45"/>
  <c r="G102" i="45"/>
  <c r="C143" i="45"/>
  <c r="C141" i="45"/>
  <c r="C140" i="45"/>
  <c r="C142" i="45"/>
  <c r="C138" i="45"/>
  <c r="C137" i="45"/>
  <c r="C135" i="45"/>
  <c r="C133" i="45"/>
  <c r="C131" i="45"/>
  <c r="C129" i="45"/>
  <c r="C127" i="45"/>
  <c r="C144" i="45"/>
  <c r="C139" i="45"/>
  <c r="G143" i="45"/>
  <c r="G141" i="45"/>
  <c r="G139" i="45"/>
  <c r="G142" i="45"/>
  <c r="G144" i="45"/>
  <c r="G135" i="45"/>
  <c r="G133" i="45"/>
  <c r="G131" i="45"/>
  <c r="G129" i="45"/>
  <c r="G127" i="45"/>
  <c r="G137" i="45"/>
  <c r="C130" i="45"/>
  <c r="G132" i="45"/>
  <c r="G138" i="45"/>
  <c r="C128" i="45"/>
  <c r="G130" i="45"/>
  <c r="C136" i="45"/>
  <c r="G140" i="45"/>
  <c r="G128" i="45"/>
  <c r="C134" i="45"/>
  <c r="G136" i="45"/>
  <c r="D143" i="45"/>
  <c r="D141" i="45"/>
  <c r="D139" i="45"/>
  <c r="D144" i="45"/>
  <c r="D142" i="45"/>
  <c r="D140" i="45"/>
  <c r="D138" i="45"/>
  <c r="H143" i="45"/>
  <c r="H141" i="45"/>
  <c r="H139" i="45"/>
  <c r="H137" i="45"/>
  <c r="H144" i="45"/>
  <c r="H142" i="45"/>
  <c r="H140" i="45"/>
  <c r="H138" i="45"/>
  <c r="F127" i="45"/>
  <c r="D128" i="45"/>
  <c r="H128" i="45"/>
  <c r="F129" i="45"/>
  <c r="D130" i="45"/>
  <c r="H130" i="45"/>
  <c r="F131" i="45"/>
  <c r="D132" i="45"/>
  <c r="H132" i="45"/>
  <c r="F133" i="45"/>
  <c r="D134" i="45"/>
  <c r="H134" i="45"/>
  <c r="D136" i="45"/>
  <c r="H136" i="45"/>
  <c r="E144" i="45"/>
  <c r="E142" i="45"/>
  <c r="E140" i="45"/>
  <c r="E128" i="45"/>
  <c r="E130" i="45"/>
  <c r="E132" i="45"/>
  <c r="E134" i="45"/>
  <c r="E136" i="45"/>
  <c r="E139" i="45"/>
  <c r="H202" i="45"/>
  <c r="F144" i="45"/>
  <c r="F142" i="45"/>
  <c r="F140" i="45"/>
  <c r="F138" i="45"/>
  <c r="F143" i="45"/>
  <c r="F141" i="45"/>
  <c r="F139" i="45"/>
  <c r="F137" i="45"/>
  <c r="F128" i="45"/>
  <c r="D129" i="45"/>
  <c r="H129" i="45"/>
  <c r="F130" i="45"/>
  <c r="D131" i="45"/>
  <c r="H131" i="45"/>
  <c r="F132" i="45"/>
  <c r="D133" i="45"/>
  <c r="H133" i="45"/>
  <c r="F134" i="45"/>
  <c r="D135" i="45"/>
  <c r="H135" i="45"/>
  <c r="F136" i="45"/>
  <c r="D137" i="45"/>
  <c r="E138" i="45"/>
  <c r="M293" i="24"/>
  <c r="M294" i="24" s="1"/>
  <c r="M295" i="24" s="1"/>
  <c r="L293" i="24"/>
  <c r="L283" i="24" s="1"/>
  <c r="H519" i="23" s="1"/>
  <c r="O293" i="24"/>
  <c r="O283" i="24" s="1"/>
  <c r="K519" i="23" s="1"/>
  <c r="N293" i="24"/>
  <c r="N283" i="24" s="1"/>
  <c r="J519" i="23" s="1"/>
  <c r="J293" i="24"/>
  <c r="J286" i="24" s="1"/>
  <c r="K532" i="23"/>
  <c r="J532" i="23"/>
  <c r="I532" i="23"/>
  <c r="H532" i="23"/>
  <c r="G532" i="23"/>
  <c r="F532" i="23"/>
  <c r="K531" i="23"/>
  <c r="K533" i="23" s="1"/>
  <c r="K564" i="23" s="1"/>
  <c r="J531" i="23"/>
  <c r="J533" i="23" s="1"/>
  <c r="J564" i="23" s="1"/>
  <c r="I531" i="23"/>
  <c r="I533" i="23" s="1"/>
  <c r="I564" i="23" s="1"/>
  <c r="H531" i="23"/>
  <c r="H533" i="23" s="1"/>
  <c r="H564" i="23" s="1"/>
  <c r="G531" i="23"/>
  <c r="G533" i="23" s="1"/>
  <c r="G564" i="23" s="1"/>
  <c r="F531" i="23"/>
  <c r="F533" i="23" s="1"/>
  <c r="F564" i="23" s="1"/>
  <c r="K20" i="23"/>
  <c r="F156" i="45" l="1"/>
  <c r="O294" i="24"/>
  <c r="O295" i="24" s="1"/>
  <c r="L294" i="24"/>
  <c r="L295" i="24" s="1"/>
  <c r="K294" i="24"/>
  <c r="K295" i="24" s="1"/>
  <c r="H5" i="45"/>
  <c r="H101" i="45" s="1"/>
  <c r="I5" i="22"/>
  <c r="L286" i="24"/>
  <c r="K286" i="24"/>
  <c r="M286" i="24"/>
  <c r="M283" i="24"/>
  <c r="C18" i="45"/>
  <c r="C103" i="45" s="1"/>
  <c r="D171" i="45"/>
  <c r="D172" i="45" s="1"/>
  <c r="C171" i="45"/>
  <c r="C172" i="45" s="1"/>
  <c r="D18" i="45"/>
  <c r="D103" i="45" s="1"/>
  <c r="F86" i="45"/>
  <c r="E171" i="45"/>
  <c r="E172" i="45" s="1"/>
  <c r="E156" i="45"/>
  <c r="E18" i="45"/>
  <c r="E103" i="45" s="1"/>
  <c r="G172" i="45"/>
  <c r="H18" i="45"/>
  <c r="H103" i="45" s="1"/>
  <c r="G18" i="45"/>
  <c r="G103" i="45" s="1"/>
  <c r="G66" i="45" s="1"/>
  <c r="F171" i="45"/>
  <c r="F172" i="45" s="1"/>
  <c r="H171" i="45"/>
  <c r="H172" i="45" s="1"/>
  <c r="N294" i="24"/>
  <c r="N295" i="24" s="1"/>
  <c r="N286" i="24"/>
  <c r="J283" i="24"/>
  <c r="J294" i="24"/>
  <c r="J295" i="24" s="1"/>
  <c r="N285" i="24"/>
  <c r="L285" i="24"/>
  <c r="K285" i="24"/>
  <c r="O286" i="24"/>
  <c r="O285" i="24"/>
  <c r="J20" i="23"/>
  <c r="I20" i="23"/>
  <c r="H20" i="23"/>
  <c r="G20" i="23"/>
  <c r="F20" i="23"/>
  <c r="G155" i="22"/>
  <c r="H30" i="45" l="1"/>
  <c r="J285" i="24"/>
  <c r="F519" i="23"/>
  <c r="M285" i="24"/>
  <c r="I519" i="23"/>
  <c r="E5" i="45"/>
  <c r="E101" i="45" s="1"/>
  <c r="E118" i="45" s="1"/>
  <c r="F5" i="22"/>
  <c r="D5" i="45"/>
  <c r="D101" i="45" s="1"/>
  <c r="D121" i="45" s="1"/>
  <c r="E5" i="22"/>
  <c r="G5" i="45"/>
  <c r="G101" i="45" s="1"/>
  <c r="G119" i="45" s="1"/>
  <c r="H5" i="22"/>
  <c r="H118" i="45"/>
  <c r="H117" i="45"/>
  <c r="H35" i="45"/>
  <c r="E66" i="45"/>
  <c r="E37" i="45"/>
  <c r="E31" i="45"/>
  <c r="D66" i="45"/>
  <c r="H28" i="45"/>
  <c r="G86" i="45"/>
  <c r="H116" i="45"/>
  <c r="C66" i="45"/>
  <c r="G32" i="45"/>
  <c r="H66" i="45"/>
  <c r="H29" i="45"/>
  <c r="H37" i="45"/>
  <c r="H38" i="45"/>
  <c r="H25" i="45"/>
  <c r="H40" i="45"/>
  <c r="H23" i="45"/>
  <c r="H39" i="45"/>
  <c r="H32" i="45"/>
  <c r="H119" i="45"/>
  <c r="H120" i="45"/>
  <c r="H26" i="45"/>
  <c r="H34" i="45"/>
  <c r="H121" i="45"/>
  <c r="H33" i="45"/>
  <c r="H31" i="45"/>
  <c r="H24" i="45"/>
  <c r="G121" i="45"/>
  <c r="H27" i="45"/>
  <c r="H36" i="45"/>
  <c r="G40" i="45"/>
  <c r="E30" i="45" l="1"/>
  <c r="E38" i="45"/>
  <c r="E34" i="45"/>
  <c r="G36" i="45"/>
  <c r="G39" i="45"/>
  <c r="G61" i="45" s="1"/>
  <c r="G34" i="45"/>
  <c r="G116" i="45"/>
  <c r="G29" i="45"/>
  <c r="G28" i="45"/>
  <c r="G120" i="45"/>
  <c r="E24" i="45"/>
  <c r="E116" i="45"/>
  <c r="E32" i="45"/>
  <c r="E35" i="45"/>
  <c r="G35" i="45"/>
  <c r="G57" i="45" s="1"/>
  <c r="G30" i="45"/>
  <c r="G31" i="45"/>
  <c r="G26" i="45"/>
  <c r="G37" i="45"/>
  <c r="E27" i="45"/>
  <c r="E25" i="45"/>
  <c r="E40" i="45"/>
  <c r="E119" i="45"/>
  <c r="E60" i="45" s="1"/>
  <c r="G118" i="45"/>
  <c r="G59" i="45" s="1"/>
  <c r="E33" i="45"/>
  <c r="E26" i="45"/>
  <c r="E29" i="45"/>
  <c r="E28" i="45"/>
  <c r="E23" i="45"/>
  <c r="E67" i="45" s="1"/>
  <c r="G38" i="45"/>
  <c r="G60" i="45" s="1"/>
  <c r="G24" i="45"/>
  <c r="G117" i="45"/>
  <c r="G58" i="45" s="1"/>
  <c r="G25" i="45"/>
  <c r="G23" i="45"/>
  <c r="G67" i="45" s="1"/>
  <c r="G27" i="45"/>
  <c r="E120" i="45"/>
  <c r="E117" i="45"/>
  <c r="E39" i="45"/>
  <c r="E121" i="45"/>
  <c r="E36" i="45"/>
  <c r="G33" i="45"/>
  <c r="D33" i="45"/>
  <c r="D31" i="45"/>
  <c r="D34" i="45"/>
  <c r="D38" i="45"/>
  <c r="D27" i="45"/>
  <c r="D24" i="45"/>
  <c r="D32" i="45"/>
  <c r="D26" i="45"/>
  <c r="D37" i="45"/>
  <c r="D39" i="45"/>
  <c r="D35" i="45"/>
  <c r="D28" i="45"/>
  <c r="D118" i="45"/>
  <c r="D23" i="45"/>
  <c r="D67" i="45" s="1"/>
  <c r="D120" i="45"/>
  <c r="D30" i="45"/>
  <c r="D29" i="45"/>
  <c r="D25" i="45"/>
  <c r="H59" i="45"/>
  <c r="D117" i="45"/>
  <c r="D40" i="45"/>
  <c r="D62" i="45" s="1"/>
  <c r="D119" i="45"/>
  <c r="D116" i="45"/>
  <c r="D57" i="45" s="1"/>
  <c r="D36" i="45"/>
  <c r="C5" i="45"/>
  <c r="C101" i="45" s="1"/>
  <c r="C40" i="45" s="1"/>
  <c r="D5" i="22"/>
  <c r="F5" i="45"/>
  <c r="F101" i="45" s="1"/>
  <c r="F121" i="45" s="1"/>
  <c r="G5" i="22"/>
  <c r="H62" i="45"/>
  <c r="H57" i="45"/>
  <c r="H58" i="45"/>
  <c r="G62" i="45"/>
  <c r="E57" i="45"/>
  <c r="H60" i="45"/>
  <c r="D86" i="45"/>
  <c r="E86" i="45"/>
  <c r="H61" i="45"/>
  <c r="C86" i="45"/>
  <c r="E59" i="45"/>
  <c r="H86" i="45"/>
  <c r="H67" i="45"/>
  <c r="E58" i="45"/>
  <c r="F32" i="45" l="1"/>
  <c r="E61" i="45"/>
  <c r="C25" i="45"/>
  <c r="D58" i="45"/>
  <c r="E62" i="45"/>
  <c r="C116" i="45"/>
  <c r="D61" i="45"/>
  <c r="C119" i="45"/>
  <c r="C121" i="45"/>
  <c r="C62" i="45" s="1"/>
  <c r="C37" i="45"/>
  <c r="C34" i="45"/>
  <c r="D60" i="45"/>
  <c r="F116" i="45"/>
  <c r="F23" i="45"/>
  <c r="F67" i="45" s="1"/>
  <c r="F87" i="45" s="1"/>
  <c r="F30" i="45"/>
  <c r="D59" i="45"/>
  <c r="C26" i="45"/>
  <c r="C118" i="45"/>
  <c r="C59" i="45" s="1"/>
  <c r="C33" i="45"/>
  <c r="C29" i="45"/>
  <c r="F25" i="45"/>
  <c r="C28" i="45"/>
  <c r="C38" i="45"/>
  <c r="C120" i="45"/>
  <c r="C36" i="45"/>
  <c r="C31" i="45"/>
  <c r="C39" i="45"/>
  <c r="C24" i="45"/>
  <c r="C117" i="45"/>
  <c r="C27" i="45"/>
  <c r="F36" i="45"/>
  <c r="C23" i="45"/>
  <c r="C67" i="45" s="1"/>
  <c r="C87" i="45" s="1"/>
  <c r="C32" i="45"/>
  <c r="C30" i="45"/>
  <c r="C35" i="45"/>
  <c r="F33" i="45"/>
  <c r="F117" i="45"/>
  <c r="F24" i="45"/>
  <c r="F40" i="45"/>
  <c r="F62" i="45" s="1"/>
  <c r="F119" i="45"/>
  <c r="F120" i="45"/>
  <c r="F27" i="45"/>
  <c r="F31" i="45"/>
  <c r="F118" i="45"/>
  <c r="F34" i="45"/>
  <c r="F26" i="45"/>
  <c r="F37" i="45"/>
  <c r="F28" i="45"/>
  <c r="F39" i="45"/>
  <c r="F61" i="45" s="1"/>
  <c r="F29" i="45"/>
  <c r="F38" i="45"/>
  <c r="F35" i="45"/>
  <c r="H87" i="45"/>
  <c r="H68" i="45"/>
  <c r="G87" i="45"/>
  <c r="G68" i="45"/>
  <c r="E87" i="45"/>
  <c r="E68" i="45"/>
  <c r="D87" i="45"/>
  <c r="D68" i="45"/>
  <c r="F68" i="45" l="1"/>
  <c r="C57" i="45"/>
  <c r="C61" i="45"/>
  <c r="C60" i="45"/>
  <c r="F69" i="45"/>
  <c r="F70" i="45" s="1"/>
  <c r="F58" i="45"/>
  <c r="C58" i="45"/>
  <c r="F57" i="45"/>
  <c r="F59" i="45"/>
  <c r="F60" i="45"/>
  <c r="F88" i="45"/>
  <c r="C68" i="45"/>
  <c r="C69" i="45" s="1"/>
  <c r="E88" i="45"/>
  <c r="E69" i="45"/>
  <c r="G88" i="45"/>
  <c r="G69" i="45"/>
  <c r="H88" i="45"/>
  <c r="H69" i="45"/>
  <c r="D88" i="45"/>
  <c r="D69" i="45"/>
  <c r="F89" i="45" l="1"/>
  <c r="C88" i="45"/>
  <c r="G89" i="45"/>
  <c r="G70" i="45"/>
  <c r="H89" i="45"/>
  <c r="H70" i="45"/>
  <c r="E89" i="45"/>
  <c r="E70" i="45"/>
  <c r="D89" i="45"/>
  <c r="D70" i="45"/>
  <c r="F90" i="45"/>
  <c r="F71" i="45"/>
  <c r="C89" i="45"/>
  <c r="C70" i="45"/>
  <c r="E90" i="45" l="1"/>
  <c r="E71" i="45"/>
  <c r="D90" i="45"/>
  <c r="D71" i="45"/>
  <c r="G90" i="45"/>
  <c r="G71" i="45"/>
  <c r="C90" i="45"/>
  <c r="C71" i="45"/>
  <c r="H90" i="45"/>
  <c r="H71" i="45"/>
  <c r="F91" i="45"/>
  <c r="F72" i="45"/>
  <c r="I155" i="23"/>
  <c r="J155" i="23"/>
  <c r="K155" i="23"/>
  <c r="I220" i="23"/>
  <c r="K220" i="23"/>
  <c r="J288" i="23"/>
  <c r="K288" i="23"/>
  <c r="H354" i="23"/>
  <c r="I354" i="23"/>
  <c r="J354" i="23"/>
  <c r="K354" i="23"/>
  <c r="H72" i="45" l="1"/>
  <c r="H91" i="45"/>
  <c r="D91" i="45"/>
  <c r="D72" i="45"/>
  <c r="G91" i="45"/>
  <c r="G72" i="45"/>
  <c r="C91" i="45"/>
  <c r="C72" i="45"/>
  <c r="F92" i="45"/>
  <c r="F73" i="45"/>
  <c r="E91" i="45"/>
  <c r="E72" i="45"/>
  <c r="E92" i="45" l="1"/>
  <c r="E73" i="45"/>
  <c r="C73" i="45"/>
  <c r="C92" i="45"/>
  <c r="D92" i="45"/>
  <c r="D73" i="45"/>
  <c r="F93" i="45"/>
  <c r="F74" i="45"/>
  <c r="G92" i="45"/>
  <c r="G73" i="45"/>
  <c r="H92" i="45"/>
  <c r="H73" i="45"/>
  <c r="B33" i="24" l="1"/>
  <c r="B192" i="24"/>
  <c r="H93" i="45"/>
  <c r="H74" i="45"/>
  <c r="F75" i="45"/>
  <c r="F94" i="45"/>
  <c r="C93" i="45"/>
  <c r="C74" i="45"/>
  <c r="G93" i="45"/>
  <c r="G74" i="45"/>
  <c r="D74" i="45"/>
  <c r="D93" i="45"/>
  <c r="E74" i="45"/>
  <c r="E93" i="45"/>
  <c r="G75" i="45" l="1"/>
  <c r="G94" i="45"/>
  <c r="F95" i="45"/>
  <c r="F76" i="45"/>
  <c r="H94" i="45"/>
  <c r="H75" i="45"/>
  <c r="E94" i="45"/>
  <c r="E75" i="45"/>
  <c r="C94" i="45"/>
  <c r="C75" i="45"/>
  <c r="D94" i="45"/>
  <c r="D75" i="45"/>
  <c r="B5" i="24"/>
  <c r="B122" i="24"/>
  <c r="B30" i="24"/>
  <c r="C188" i="48" l="1"/>
  <c r="C173" i="22"/>
  <c r="C188" i="40"/>
  <c r="C188" i="41"/>
  <c r="E5" i="24"/>
  <c r="B8" i="24"/>
  <c r="D95" i="45"/>
  <c r="D76" i="45"/>
  <c r="E95" i="45"/>
  <c r="E76" i="45"/>
  <c r="F96" i="45"/>
  <c r="F77" i="45"/>
  <c r="C95" i="45"/>
  <c r="C76" i="45"/>
  <c r="H76" i="45"/>
  <c r="H95" i="45"/>
  <c r="G95" i="45"/>
  <c r="G76" i="45"/>
  <c r="B7" i="24"/>
  <c r="B23" i="24" s="1"/>
  <c r="C23" i="24" s="1"/>
  <c r="E188" i="48" l="1"/>
  <c r="E189" i="48" s="1"/>
  <c r="D188" i="48"/>
  <c r="D189" i="48" s="1"/>
  <c r="F188" i="48"/>
  <c r="F189" i="48" s="1"/>
  <c r="G188" i="48"/>
  <c r="G189" i="48" s="1"/>
  <c r="C13" i="24"/>
  <c r="B9" i="24"/>
  <c r="E8" i="24"/>
  <c r="E7" i="24"/>
  <c r="G96" i="45"/>
  <c r="G77" i="45"/>
  <c r="C77" i="45"/>
  <c r="C96" i="45"/>
  <c r="E96" i="45"/>
  <c r="E77" i="45"/>
  <c r="F97" i="45"/>
  <c r="F99" i="45" s="1"/>
  <c r="F153" i="45" s="1"/>
  <c r="F78" i="45"/>
  <c r="F79" i="45" s="1"/>
  <c r="F80" i="45" s="1"/>
  <c r="F81" i="45" s="1"/>
  <c r="D96" i="45"/>
  <c r="D77" i="45"/>
  <c r="H96" i="45"/>
  <c r="H77" i="45"/>
  <c r="B227" i="24" l="1"/>
  <c r="B34" i="24" s="1"/>
  <c r="B35" i="24" s="1"/>
  <c r="B13" i="24"/>
  <c r="C15" i="24"/>
  <c r="E9" i="24"/>
  <c r="B15" i="24" s="1"/>
  <c r="B14" i="24"/>
  <c r="C197" i="24"/>
  <c r="C198" i="24"/>
  <c r="F152" i="45"/>
  <c r="H97" i="45"/>
  <c r="H99" i="45" s="1"/>
  <c r="H153" i="45" s="1"/>
  <c r="H78" i="45"/>
  <c r="H79" i="45" s="1"/>
  <c r="H80" i="45" s="1"/>
  <c r="H81" i="45" s="1"/>
  <c r="C97" i="45"/>
  <c r="C99" i="45" s="1"/>
  <c r="C153" i="45" s="1"/>
  <c r="C158" i="45" s="1"/>
  <c r="C78" i="45"/>
  <c r="C79" i="45" s="1"/>
  <c r="C80" i="45" s="1"/>
  <c r="C81" i="45" s="1"/>
  <c r="D78" i="45"/>
  <c r="D79" i="45" s="1"/>
  <c r="D80" i="45" s="1"/>
  <c r="D81" i="45" s="1"/>
  <c r="D97" i="45"/>
  <c r="D99" i="45" s="1"/>
  <c r="D153" i="45" s="1"/>
  <c r="D158" i="45" s="1"/>
  <c r="E78" i="45"/>
  <c r="E79" i="45" s="1"/>
  <c r="E80" i="45" s="1"/>
  <c r="E81" i="45" s="1"/>
  <c r="E97" i="45"/>
  <c r="E99" i="45" s="1"/>
  <c r="E153" i="45" s="1"/>
  <c r="E158" i="45" s="1"/>
  <c r="G97" i="45"/>
  <c r="G99" i="45" s="1"/>
  <c r="G153" i="45" s="1"/>
  <c r="G78" i="45"/>
  <c r="G79" i="45" s="1"/>
  <c r="G80" i="45" s="1"/>
  <c r="G81" i="45" s="1"/>
  <c r="B180" i="45" l="1"/>
  <c r="C197" i="40"/>
  <c r="C182" i="22"/>
  <c r="H426" i="24" a="1"/>
  <c r="H426" i="24" s="1"/>
  <c r="F426" i="24" a="1"/>
  <c r="F426" i="24" s="1"/>
  <c r="D426" i="24" a="1"/>
  <c r="D426" i="24" s="1"/>
  <c r="B426" i="24" a="1"/>
  <c r="B426" i="24" s="1"/>
  <c r="B417" i="24" a="1"/>
  <c r="B417" i="24" s="1"/>
  <c r="H180" i="45" l="1"/>
  <c r="E180" i="45"/>
  <c r="G180" i="45"/>
  <c r="C180" i="45"/>
  <c r="F180" i="45"/>
  <c r="D180" i="45"/>
  <c r="H429" i="24"/>
  <c r="H428" i="24"/>
  <c r="H427" i="24"/>
  <c r="F429" i="24"/>
  <c r="F428" i="24"/>
  <c r="F427" i="24"/>
  <c r="D427" i="24"/>
  <c r="D429" i="24"/>
  <c r="D428" i="24"/>
  <c r="D431" i="24"/>
  <c r="D430" i="24"/>
  <c r="B429" i="24"/>
  <c r="B428" i="24"/>
  <c r="B431" i="24"/>
  <c r="B427" i="24"/>
  <c r="B430" i="24"/>
  <c r="B420" i="24"/>
  <c r="B419" i="24"/>
  <c r="B422" i="24"/>
  <c r="B418" i="24"/>
  <c r="B421" i="24"/>
  <c r="E174" i="24" l="1" a="1"/>
  <c r="E174" i="24" s="1"/>
  <c r="E14" i="41"/>
  <c r="F14" i="41"/>
  <c r="G14" i="41"/>
  <c r="D14" i="41"/>
  <c r="B174" i="24" a="1"/>
  <c r="B174" i="24" s="1"/>
  <c r="E14" i="40"/>
  <c r="F14" i="40"/>
  <c r="G14" i="40"/>
  <c r="D14" i="40"/>
  <c r="H183" i="24" a="1"/>
  <c r="H183" i="24" s="1"/>
  <c r="E14" i="37"/>
  <c r="F14" i="37"/>
  <c r="G14" i="37"/>
  <c r="H14" i="37"/>
  <c r="I14" i="37"/>
  <c r="D14" i="37"/>
  <c r="E183" i="24" a="1"/>
  <c r="E186" i="24" s="1"/>
  <c r="E14" i="34"/>
  <c r="F14" i="34"/>
  <c r="G14" i="34"/>
  <c r="H14" i="34"/>
  <c r="I14" i="34"/>
  <c r="D14" i="34"/>
  <c r="B183" i="24" a="1"/>
  <c r="B183" i="24" s="1"/>
  <c r="E15" i="28"/>
  <c r="F15" i="28"/>
  <c r="G15" i="28"/>
  <c r="H15" i="28"/>
  <c r="I15" i="28"/>
  <c r="D15" i="28"/>
  <c r="B163" i="24" a="1"/>
  <c r="B163" i="24" s="1"/>
  <c r="E187" i="24" l="1"/>
  <c r="E176" i="24"/>
  <c r="E175" i="24"/>
  <c r="E177" i="24"/>
  <c r="B177" i="24"/>
  <c r="B176" i="24"/>
  <c r="B175" i="24"/>
  <c r="H186" i="24"/>
  <c r="H185" i="24"/>
  <c r="H188" i="24"/>
  <c r="H184" i="24"/>
  <c r="H187" i="24"/>
  <c r="E185" i="24"/>
  <c r="E188" i="24"/>
  <c r="E184" i="24"/>
  <c r="E183" i="24"/>
  <c r="B186" i="24"/>
  <c r="B185" i="24"/>
  <c r="B188" i="24"/>
  <c r="B184" i="24"/>
  <c r="B187" i="24"/>
  <c r="B165" i="24"/>
  <c r="B168" i="24"/>
  <c r="B164" i="24"/>
  <c r="B166" i="24"/>
  <c r="B167" i="24"/>
  <c r="C174" i="24" l="1"/>
  <c r="D12" i="28"/>
  <c r="D216" i="28" s="1"/>
  <c r="D189" i="28" l="1"/>
  <c r="C164" i="22"/>
  <c r="F119" i="24" l="1"/>
  <c r="B119" i="24"/>
  <c r="C119" i="24"/>
  <c r="D119" i="24"/>
  <c r="E115" i="24"/>
  <c r="E114" i="24"/>
  <c r="E113" i="24"/>
  <c r="E112" i="24"/>
  <c r="E111" i="24"/>
  <c r="J437" i="24" l="1"/>
  <c r="K437" i="24"/>
  <c r="L437" i="24"/>
  <c r="M437" i="24"/>
  <c r="J438" i="24"/>
  <c r="K438" i="24"/>
  <c r="L438" i="24"/>
  <c r="M438" i="24"/>
  <c r="J439" i="24"/>
  <c r="K439" i="24"/>
  <c r="L439" i="24"/>
  <c r="M439" i="24"/>
  <c r="E437" i="24"/>
  <c r="F437" i="24"/>
  <c r="G437" i="24"/>
  <c r="H437" i="24"/>
  <c r="I437" i="24"/>
  <c r="E438" i="24"/>
  <c r="F438" i="24"/>
  <c r="G438" i="24"/>
  <c r="H438" i="24"/>
  <c r="I438" i="24"/>
  <c r="E439" i="24"/>
  <c r="F439" i="24"/>
  <c r="G439" i="24"/>
  <c r="H439" i="24"/>
  <c r="I439" i="24"/>
  <c r="D439" i="24"/>
  <c r="D438" i="24"/>
  <c r="D437" i="24"/>
  <c r="M447" i="24"/>
  <c r="L447" i="24"/>
  <c r="K447" i="24"/>
  <c r="J447" i="24"/>
  <c r="I447" i="24"/>
  <c r="H447" i="24"/>
  <c r="G447" i="24"/>
  <c r="F447" i="24"/>
  <c r="E447" i="24"/>
  <c r="D447" i="24"/>
  <c r="M446" i="24"/>
  <c r="L446" i="24"/>
  <c r="K446" i="24"/>
  <c r="J446" i="24"/>
  <c r="I446" i="24"/>
  <c r="H446" i="24"/>
  <c r="G446" i="24"/>
  <c r="F446" i="24"/>
  <c r="E446" i="24"/>
  <c r="D446" i="24"/>
  <c r="M445" i="24"/>
  <c r="L445" i="24"/>
  <c r="K445" i="24"/>
  <c r="J445" i="24"/>
  <c r="I445" i="24"/>
  <c r="H445" i="24"/>
  <c r="G445" i="24"/>
  <c r="F445" i="24"/>
  <c r="E445" i="24"/>
  <c r="D445" i="24"/>
  <c r="M444" i="24"/>
  <c r="L444" i="24"/>
  <c r="K444" i="24"/>
  <c r="J444" i="24"/>
  <c r="I444" i="24"/>
  <c r="H444" i="24"/>
  <c r="G444" i="24"/>
  <c r="F444" i="24"/>
  <c r="E444" i="24"/>
  <c r="D444" i="24"/>
  <c r="M443" i="24"/>
  <c r="L443" i="24"/>
  <c r="K443" i="24"/>
  <c r="J443" i="24"/>
  <c r="I443" i="24"/>
  <c r="H443" i="24"/>
  <c r="G443" i="24"/>
  <c r="F443" i="24"/>
  <c r="E443" i="24"/>
  <c r="D443" i="24"/>
  <c r="M454" i="24"/>
  <c r="L454" i="24"/>
  <c r="K454" i="24"/>
  <c r="J454" i="24"/>
  <c r="I454" i="24"/>
  <c r="H454" i="24"/>
  <c r="G454" i="24"/>
  <c r="F454" i="24"/>
  <c r="E454" i="24"/>
  <c r="D454" i="24"/>
  <c r="M453" i="24"/>
  <c r="L453" i="24"/>
  <c r="K453" i="24"/>
  <c r="J453" i="24"/>
  <c r="I453" i="24"/>
  <c r="H453" i="24"/>
  <c r="G453" i="24"/>
  <c r="F453" i="24"/>
  <c r="E453" i="24"/>
  <c r="D453" i="24"/>
  <c r="M452" i="24"/>
  <c r="L452" i="24"/>
  <c r="K452" i="24"/>
  <c r="J452" i="24"/>
  <c r="I452" i="24"/>
  <c r="H452" i="24"/>
  <c r="G452" i="24"/>
  <c r="F452" i="24"/>
  <c r="E452" i="24"/>
  <c r="D452" i="24"/>
  <c r="M451" i="24"/>
  <c r="L451" i="24"/>
  <c r="K451" i="24"/>
  <c r="J451" i="24"/>
  <c r="I451" i="24"/>
  <c r="H451" i="24"/>
  <c r="G451" i="24"/>
  <c r="F451" i="24"/>
  <c r="E451" i="24"/>
  <c r="D451" i="24"/>
  <c r="M450" i="24"/>
  <c r="L450" i="24"/>
  <c r="K450" i="24"/>
  <c r="J450" i="24"/>
  <c r="I450" i="24"/>
  <c r="H450" i="24"/>
  <c r="G450" i="24"/>
  <c r="F450" i="24"/>
  <c r="E450" i="24"/>
  <c r="D450" i="24"/>
  <c r="M461" i="24"/>
  <c r="L461" i="24"/>
  <c r="K461" i="24"/>
  <c r="J461" i="24"/>
  <c r="I461" i="24"/>
  <c r="H461" i="24"/>
  <c r="G461" i="24"/>
  <c r="F461" i="24"/>
  <c r="E461" i="24"/>
  <c r="D461" i="24"/>
  <c r="M460" i="24"/>
  <c r="L460" i="24"/>
  <c r="K460" i="24"/>
  <c r="J460" i="24"/>
  <c r="I460" i="24"/>
  <c r="H460" i="24"/>
  <c r="G460" i="24"/>
  <c r="F460" i="24"/>
  <c r="E460" i="24"/>
  <c r="D460" i="24"/>
  <c r="M459" i="24"/>
  <c r="L459" i="24"/>
  <c r="K459" i="24"/>
  <c r="J459" i="24"/>
  <c r="I459" i="24"/>
  <c r="H459" i="24"/>
  <c r="G459" i="24"/>
  <c r="F459" i="24"/>
  <c r="E459" i="24"/>
  <c r="D459" i="24"/>
  <c r="M458" i="24"/>
  <c r="L458" i="24"/>
  <c r="K458" i="24"/>
  <c r="J458" i="24"/>
  <c r="I458" i="24"/>
  <c r="H458" i="24"/>
  <c r="G458" i="24"/>
  <c r="F458" i="24"/>
  <c r="E458" i="24"/>
  <c r="D458" i="24"/>
  <c r="M457" i="24"/>
  <c r="L457" i="24"/>
  <c r="K457" i="24"/>
  <c r="J457" i="24"/>
  <c r="I457" i="24"/>
  <c r="H457" i="24"/>
  <c r="G457" i="24"/>
  <c r="F457" i="24"/>
  <c r="E457" i="24"/>
  <c r="D457" i="24"/>
  <c r="E495" i="24" l="1"/>
  <c r="F495" i="24"/>
  <c r="G495" i="24"/>
  <c r="H495" i="24"/>
  <c r="I495" i="24"/>
  <c r="J495" i="24"/>
  <c r="K495" i="24"/>
  <c r="L495" i="24"/>
  <c r="M495" i="24"/>
  <c r="E488" i="24"/>
  <c r="F488" i="24"/>
  <c r="G488" i="24"/>
  <c r="H488" i="24"/>
  <c r="I488" i="24"/>
  <c r="J488" i="24"/>
  <c r="K488" i="24"/>
  <c r="L488" i="24"/>
  <c r="M488" i="24"/>
  <c r="E481" i="24"/>
  <c r="F481" i="24"/>
  <c r="G481" i="24"/>
  <c r="H481" i="24"/>
  <c r="I481" i="24"/>
  <c r="J481" i="24"/>
  <c r="K481" i="24"/>
  <c r="L481" i="24"/>
  <c r="M481" i="24"/>
  <c r="E474" i="24"/>
  <c r="F474" i="24"/>
  <c r="G474" i="24"/>
  <c r="H474" i="24"/>
  <c r="I474" i="24"/>
  <c r="J474" i="24"/>
  <c r="K474" i="24"/>
  <c r="L474" i="24"/>
  <c r="M474" i="24"/>
  <c r="M497" i="24" l="1"/>
  <c r="M499" i="24" s="1"/>
  <c r="J497" i="24"/>
  <c r="F497" i="24"/>
  <c r="K497" i="24"/>
  <c r="I497" i="24"/>
  <c r="E497" i="24"/>
  <c r="G497" i="24"/>
  <c r="H497" i="24"/>
  <c r="H499" i="24" s="1"/>
  <c r="L497" i="24"/>
  <c r="L464" i="24" s="1"/>
  <c r="M464" i="24" l="1"/>
  <c r="L499" i="24"/>
  <c r="K499" i="24"/>
  <c r="K464" i="24"/>
  <c r="G499" i="24"/>
  <c r="E499" i="24"/>
  <c r="F499" i="24"/>
  <c r="J499" i="24"/>
  <c r="J464" i="24"/>
  <c r="I499" i="24"/>
  <c r="I464" i="24"/>
  <c r="N562" i="24"/>
  <c r="N561" i="24"/>
  <c r="N560" i="24"/>
  <c r="N559" i="24"/>
  <c r="N558" i="24"/>
  <c r="N555" i="24"/>
  <c r="N554" i="24"/>
  <c r="N553" i="24"/>
  <c r="N552" i="24"/>
  <c r="N551" i="24"/>
  <c r="N548" i="24"/>
  <c r="N547" i="24"/>
  <c r="N546" i="24"/>
  <c r="N545" i="24"/>
  <c r="N544" i="24"/>
  <c r="N541" i="24"/>
  <c r="N540" i="24"/>
  <c r="N539" i="24"/>
  <c r="N526" i="24"/>
  <c r="N525" i="24"/>
  <c r="N524" i="24"/>
  <c r="N523" i="24"/>
  <c r="N522" i="24"/>
  <c r="N519" i="24"/>
  <c r="N518" i="24"/>
  <c r="N517" i="24"/>
  <c r="N516" i="24"/>
  <c r="N515" i="24"/>
  <c r="N512" i="24"/>
  <c r="N511" i="24"/>
  <c r="N510" i="24"/>
  <c r="N509" i="24"/>
  <c r="N508" i="24"/>
  <c r="N504" i="24"/>
  <c r="N505" i="24"/>
  <c r="N503" i="24"/>
  <c r="N494" i="24"/>
  <c r="N493" i="24"/>
  <c r="N492" i="24"/>
  <c r="N491" i="24"/>
  <c r="N490" i="24"/>
  <c r="N487" i="24"/>
  <c r="N486" i="24"/>
  <c r="N485" i="24"/>
  <c r="N484" i="24"/>
  <c r="N483" i="24"/>
  <c r="N480" i="24"/>
  <c r="N479" i="24"/>
  <c r="N478" i="24"/>
  <c r="N477" i="24"/>
  <c r="N476" i="24"/>
  <c r="D474" i="24"/>
  <c r="N471" i="24"/>
  <c r="N472" i="24"/>
  <c r="N470" i="24"/>
  <c r="I563" i="24"/>
  <c r="J563" i="24"/>
  <c r="K563" i="24"/>
  <c r="L563" i="24"/>
  <c r="M563" i="24"/>
  <c r="I556" i="24"/>
  <c r="J556" i="24"/>
  <c r="K556" i="24"/>
  <c r="L556" i="24"/>
  <c r="M556" i="24"/>
  <c r="I549" i="24"/>
  <c r="J549" i="24"/>
  <c r="K549" i="24"/>
  <c r="L549" i="24"/>
  <c r="M549" i="24"/>
  <c r="I542" i="24"/>
  <c r="J542" i="24"/>
  <c r="K542" i="24"/>
  <c r="L542" i="24"/>
  <c r="M542" i="24"/>
  <c r="I527" i="24"/>
  <c r="I462" i="24" s="1"/>
  <c r="J527" i="24"/>
  <c r="J462" i="24" s="1"/>
  <c r="K527" i="24"/>
  <c r="K462" i="24" s="1"/>
  <c r="L527" i="24"/>
  <c r="L462" i="24" s="1"/>
  <c r="M527" i="24"/>
  <c r="M462" i="24" s="1"/>
  <c r="I520" i="24"/>
  <c r="I455" i="24" s="1"/>
  <c r="J520" i="24"/>
  <c r="J455" i="24" s="1"/>
  <c r="K520" i="24"/>
  <c r="K455" i="24" s="1"/>
  <c r="L520" i="24"/>
  <c r="L455" i="24" s="1"/>
  <c r="M520" i="24"/>
  <c r="M455" i="24" s="1"/>
  <c r="I513" i="24"/>
  <c r="I448" i="24" s="1"/>
  <c r="J513" i="24"/>
  <c r="J448" i="24" s="1"/>
  <c r="K513" i="24"/>
  <c r="K448" i="24" s="1"/>
  <c r="L513" i="24"/>
  <c r="L448" i="24" s="1"/>
  <c r="M513" i="24"/>
  <c r="M448" i="24" s="1"/>
  <c r="I506" i="24"/>
  <c r="J506" i="24"/>
  <c r="K506" i="24"/>
  <c r="L506" i="24"/>
  <c r="M506" i="24"/>
  <c r="N438" i="24" l="1"/>
  <c r="N445" i="24"/>
  <c r="N451" i="24"/>
  <c r="N457" i="24"/>
  <c r="N461" i="24"/>
  <c r="N443" i="24"/>
  <c r="N447" i="24"/>
  <c r="N453" i="24"/>
  <c r="N459" i="24"/>
  <c r="N444" i="24"/>
  <c r="N450" i="24"/>
  <c r="N454" i="24"/>
  <c r="N460" i="24"/>
  <c r="L565" i="24"/>
  <c r="L567" i="24" s="1"/>
  <c r="J565" i="24"/>
  <c r="J567" i="24" s="1"/>
  <c r="K565" i="24"/>
  <c r="K567" i="24" s="1"/>
  <c r="N437" i="24"/>
  <c r="N446" i="24"/>
  <c r="N452" i="24"/>
  <c r="N458" i="24"/>
  <c r="N506" i="24"/>
  <c r="M565" i="24"/>
  <c r="M567" i="24" s="1"/>
  <c r="I565" i="24"/>
  <c r="I567" i="24" s="1"/>
  <c r="K531" i="24"/>
  <c r="K466" i="24" s="1"/>
  <c r="K441" i="24"/>
  <c r="M531" i="24"/>
  <c r="M466" i="24" s="1"/>
  <c r="M441" i="24"/>
  <c r="I531" i="24"/>
  <c r="I466" i="24" s="1"/>
  <c r="I441" i="24"/>
  <c r="J531" i="24"/>
  <c r="J466" i="24" s="1"/>
  <c r="J441" i="24"/>
  <c r="L531" i="24"/>
  <c r="L466" i="24" s="1"/>
  <c r="L441" i="24"/>
  <c r="N439" i="24"/>
  <c r="N474" i="24"/>
  <c r="N441" i="24" l="1"/>
  <c r="B301" i="24" l="1"/>
  <c r="B352" i="24"/>
  <c r="C372" i="24"/>
  <c r="D372" i="24"/>
  <c r="E372" i="24"/>
  <c r="B372" i="24"/>
  <c r="E5" i="41"/>
  <c r="F5" i="41"/>
  <c r="G5" i="41"/>
  <c r="D6" i="41"/>
  <c r="D171" i="41" s="1"/>
  <c r="D8" i="41"/>
  <c r="D5" i="41"/>
  <c r="E5" i="37"/>
  <c r="F5" i="37"/>
  <c r="G5" i="37"/>
  <c r="H5" i="37"/>
  <c r="I5" i="37"/>
  <c r="D5" i="37"/>
  <c r="D6" i="37"/>
  <c r="D171" i="37" s="1"/>
  <c r="D8" i="37"/>
  <c r="B318" i="24"/>
  <c r="B368" i="24" l="1"/>
  <c r="B384" i="24"/>
  <c r="B391" i="24" s="1"/>
  <c r="B393" i="24" s="1"/>
  <c r="C318" i="24"/>
  <c r="C384" i="24" s="1"/>
  <c r="C391" i="24" s="1"/>
  <c r="C393" i="24" s="1"/>
  <c r="C394" i="24" l="1"/>
  <c r="C395" i="24" s="1"/>
  <c r="C386" i="24"/>
  <c r="C383" i="24"/>
  <c r="B386" i="24"/>
  <c r="B383" i="24"/>
  <c r="B394" i="24"/>
  <c r="B395" i="24" s="1"/>
  <c r="B51" i="24"/>
  <c r="C193" i="41"/>
  <c r="C193" i="40"/>
  <c r="C385" i="24" l="1"/>
  <c r="I413" i="23"/>
  <c r="E4" i="48" s="1"/>
  <c r="B385" i="24"/>
  <c r="H413" i="23"/>
  <c r="D4" i="48" s="1"/>
  <c r="G183" i="45"/>
  <c r="C183" i="45"/>
  <c r="H183" i="45"/>
  <c r="E183" i="45"/>
  <c r="F183" i="45"/>
  <c r="D183" i="45"/>
  <c r="F193" i="40"/>
  <c r="G193" i="40"/>
  <c r="D193" i="40"/>
  <c r="E193" i="40"/>
  <c r="C178" i="22"/>
  <c r="D46" i="24"/>
  <c r="D47" i="24"/>
  <c r="D48" i="24"/>
  <c r="D49" i="24"/>
  <c r="D139" i="48" l="1"/>
  <c r="D143" i="48"/>
  <c r="D147" i="48"/>
  <c r="D151" i="48"/>
  <c r="D155" i="48"/>
  <c r="D159" i="48"/>
  <c r="D140" i="48"/>
  <c r="D144" i="48"/>
  <c r="D148" i="48"/>
  <c r="D152" i="48"/>
  <c r="D156" i="48"/>
  <c r="D160" i="48"/>
  <c r="D141" i="48"/>
  <c r="D145" i="48"/>
  <c r="D149" i="48"/>
  <c r="D153" i="48"/>
  <c r="D157" i="48"/>
  <c r="D161" i="48"/>
  <c r="D142" i="48"/>
  <c r="D150" i="48"/>
  <c r="D158" i="48"/>
  <c r="D146" i="48"/>
  <c r="D154" i="48"/>
  <c r="D138" i="48"/>
  <c r="E139" i="48"/>
  <c r="E143" i="48"/>
  <c r="E147" i="48"/>
  <c r="E151" i="48"/>
  <c r="E155" i="48"/>
  <c r="E159" i="48"/>
  <c r="E140" i="48"/>
  <c r="E144" i="48"/>
  <c r="E148" i="48"/>
  <c r="E152" i="48"/>
  <c r="E156" i="48"/>
  <c r="E160" i="48"/>
  <c r="E141" i="48"/>
  <c r="E145" i="48"/>
  <c r="E149" i="48"/>
  <c r="E153" i="48"/>
  <c r="E157" i="48"/>
  <c r="E161" i="48"/>
  <c r="E142" i="48"/>
  <c r="E146" i="48"/>
  <c r="E150" i="48"/>
  <c r="E154" i="48"/>
  <c r="E158" i="48"/>
  <c r="E138" i="48"/>
  <c r="E112" i="48"/>
  <c r="E30" i="48" s="1"/>
  <c r="E165" i="48"/>
  <c r="D112" i="48"/>
  <c r="D165" i="48"/>
  <c r="E25" i="48"/>
  <c r="E53" i="48" s="1"/>
  <c r="E132" i="48"/>
  <c r="E29" i="48"/>
  <c r="D11" i="22"/>
  <c r="D16" i="22" s="1"/>
  <c r="D182" i="22" s="1"/>
  <c r="E11" i="22"/>
  <c r="F145" i="24" a="1"/>
  <c r="F145" i="24" s="1"/>
  <c r="D145" i="24" a="1"/>
  <c r="D145" i="24" s="1"/>
  <c r="B145" i="24" a="1"/>
  <c r="B145" i="24" s="1"/>
  <c r="D8" i="40"/>
  <c r="D10" i="41"/>
  <c r="E10" i="41"/>
  <c r="F10" i="41"/>
  <c r="G10" i="41"/>
  <c r="D10" i="40"/>
  <c r="E10" i="40"/>
  <c r="F10" i="40"/>
  <c r="G10" i="40"/>
  <c r="D10" i="37"/>
  <c r="E10" i="37"/>
  <c r="F10" i="37"/>
  <c r="G10" i="37"/>
  <c r="H10" i="37"/>
  <c r="I10" i="37"/>
  <c r="D10" i="34"/>
  <c r="E10" i="34"/>
  <c r="F10" i="34"/>
  <c r="G10" i="34"/>
  <c r="H10" i="34"/>
  <c r="I10" i="34"/>
  <c r="D11" i="28"/>
  <c r="D16" i="28" s="1"/>
  <c r="E11" i="28"/>
  <c r="F11" i="28"/>
  <c r="G11" i="28"/>
  <c r="H11" i="28"/>
  <c r="I11" i="28"/>
  <c r="F11" i="22"/>
  <c r="G11" i="22"/>
  <c r="H11" i="22"/>
  <c r="I11" i="22"/>
  <c r="E127" i="48" l="1"/>
  <c r="E31" i="48"/>
  <c r="E59" i="48" s="1"/>
  <c r="D198" i="28"/>
  <c r="E57" i="48"/>
  <c r="D203" i="28"/>
  <c r="D26" i="48"/>
  <c r="D54" i="48" s="1"/>
  <c r="D30" i="48"/>
  <c r="D58" i="48" s="1"/>
  <c r="D34" i="48"/>
  <c r="D62" i="48" s="1"/>
  <c r="D38" i="48"/>
  <c r="D66" i="48" s="1"/>
  <c r="D42" i="48"/>
  <c r="D70" i="48" s="1"/>
  <c r="D29" i="48"/>
  <c r="D57" i="48" s="1"/>
  <c r="D37" i="48"/>
  <c r="D65" i="48" s="1"/>
  <c r="D27" i="48"/>
  <c r="D55" i="48" s="1"/>
  <c r="D31" i="48"/>
  <c r="D59" i="48" s="1"/>
  <c r="D35" i="48"/>
  <c r="D63" i="48" s="1"/>
  <c r="D39" i="48"/>
  <c r="D67" i="48" s="1"/>
  <c r="D43" i="48"/>
  <c r="D71" i="48" s="1"/>
  <c r="D45" i="48"/>
  <c r="D73" i="48" s="1"/>
  <c r="D28" i="48"/>
  <c r="D56" i="48" s="1"/>
  <c r="D32" i="48"/>
  <c r="D60" i="48" s="1"/>
  <c r="D36" i="48"/>
  <c r="D64" i="48" s="1"/>
  <c r="D40" i="48"/>
  <c r="D68" i="48" s="1"/>
  <c r="D44" i="48"/>
  <c r="D72" i="48" s="1"/>
  <c r="D33" i="48"/>
  <c r="D61" i="48" s="1"/>
  <c r="D41" i="48"/>
  <c r="D69" i="48" s="1"/>
  <c r="E58" i="48"/>
  <c r="E32" i="48"/>
  <c r="E60" i="48" s="1"/>
  <c r="E36" i="48"/>
  <c r="E64" i="48" s="1"/>
  <c r="E40" i="48"/>
  <c r="E68" i="48" s="1"/>
  <c r="E44" i="48"/>
  <c r="E72" i="48" s="1"/>
  <c r="E33" i="48"/>
  <c r="E61" i="48" s="1"/>
  <c r="E37" i="48"/>
  <c r="E65" i="48" s="1"/>
  <c r="E41" i="48"/>
  <c r="E69" i="48" s="1"/>
  <c r="E45" i="48"/>
  <c r="E73" i="48" s="1"/>
  <c r="E43" i="48"/>
  <c r="E71" i="48" s="1"/>
  <c r="E34" i="48"/>
  <c r="E62" i="48" s="1"/>
  <c r="E38" i="48"/>
  <c r="E66" i="48" s="1"/>
  <c r="E42" i="48"/>
  <c r="E70" i="48" s="1"/>
  <c r="E35" i="48"/>
  <c r="E63" i="48" s="1"/>
  <c r="E39" i="48"/>
  <c r="E67" i="48" s="1"/>
  <c r="D132" i="48"/>
  <c r="E27" i="48"/>
  <c r="E55" i="48" s="1"/>
  <c r="E128" i="48"/>
  <c r="E24" i="48"/>
  <c r="E52" i="48" s="1"/>
  <c r="E22" i="48"/>
  <c r="E50" i="48" s="1"/>
  <c r="E28" i="48"/>
  <c r="E56" i="48" s="1"/>
  <c r="E129" i="48"/>
  <c r="E23" i="48"/>
  <c r="E51" i="48" s="1"/>
  <c r="E26" i="48"/>
  <c r="E54" i="48" s="1"/>
  <c r="E131" i="48"/>
  <c r="E130" i="48"/>
  <c r="D128" i="48"/>
  <c r="D22" i="48"/>
  <c r="D24" i="48"/>
  <c r="D52" i="48" s="1"/>
  <c r="D127" i="48"/>
  <c r="D131" i="48"/>
  <c r="D130" i="48"/>
  <c r="D23" i="48"/>
  <c r="D51" i="48" s="1"/>
  <c r="D129" i="48"/>
  <c r="D25" i="48"/>
  <c r="D53" i="48" s="1"/>
  <c r="D182" i="28"/>
  <c r="F147" i="24"/>
  <c r="F148" i="24"/>
  <c r="F150" i="24"/>
  <c r="F146" i="24"/>
  <c r="F149" i="24"/>
  <c r="D147" i="24"/>
  <c r="D148" i="24"/>
  <c r="D150" i="24"/>
  <c r="D146" i="24"/>
  <c r="D149" i="24"/>
  <c r="B147" i="24"/>
  <c r="B148" i="24"/>
  <c r="B150" i="24"/>
  <c r="B146" i="24"/>
  <c r="B149" i="24"/>
  <c r="E78" i="48" l="1"/>
  <c r="E79" i="48" s="1"/>
  <c r="E173" i="48"/>
  <c r="D78" i="48"/>
  <c r="D79" i="48" s="1"/>
  <c r="D50" i="48"/>
  <c r="D173" i="48" s="1"/>
  <c r="B339" i="24"/>
  <c r="C339" i="24"/>
  <c r="D339" i="24"/>
  <c r="E339" i="24"/>
  <c r="F339" i="24"/>
  <c r="G339" i="24"/>
  <c r="B305" i="24"/>
  <c r="C305" i="24"/>
  <c r="D305" i="24"/>
  <c r="E305" i="24"/>
  <c r="F305" i="24"/>
  <c r="G305" i="24"/>
  <c r="B288" i="24"/>
  <c r="C288" i="24"/>
  <c r="D288" i="24"/>
  <c r="E288" i="24"/>
  <c r="F288" i="24"/>
  <c r="G288" i="24"/>
  <c r="E98" i="48" l="1"/>
  <c r="D98" i="48"/>
  <c r="E80" i="48"/>
  <c r="E99" i="48"/>
  <c r="D99" i="48"/>
  <c r="D80" i="48"/>
  <c r="D6" i="40"/>
  <c r="D172" i="40" s="1"/>
  <c r="E6" i="40"/>
  <c r="E172" i="40" s="1"/>
  <c r="F6" i="40"/>
  <c r="F172" i="40" s="1"/>
  <c r="G6" i="40"/>
  <c r="G172" i="40" s="1"/>
  <c r="E8" i="40"/>
  <c r="F8" i="40"/>
  <c r="G8" i="40"/>
  <c r="D11" i="40"/>
  <c r="D206" i="40" s="1"/>
  <c r="E11" i="40"/>
  <c r="F11" i="40"/>
  <c r="G11" i="40"/>
  <c r="E6" i="37"/>
  <c r="E171" i="37" s="1"/>
  <c r="F6" i="37"/>
  <c r="F171" i="37" s="1"/>
  <c r="G6" i="37"/>
  <c r="G171" i="37" s="1"/>
  <c r="H6" i="37"/>
  <c r="H171" i="37" s="1"/>
  <c r="I6" i="37"/>
  <c r="I171" i="37" s="1"/>
  <c r="E8" i="37"/>
  <c r="F8" i="37"/>
  <c r="G8" i="37"/>
  <c r="H8" i="37"/>
  <c r="I8" i="37"/>
  <c r="I9" i="28"/>
  <c r="E12" i="28"/>
  <c r="F12" i="28"/>
  <c r="G12" i="28"/>
  <c r="H12" i="28"/>
  <c r="I12" i="28"/>
  <c r="D9" i="28"/>
  <c r="E9" i="28"/>
  <c r="F9" i="28"/>
  <c r="G9" i="28"/>
  <c r="H9" i="28"/>
  <c r="D7" i="28"/>
  <c r="E7" i="28"/>
  <c r="E181" i="28" s="1"/>
  <c r="F7" i="28"/>
  <c r="F181" i="28" s="1"/>
  <c r="G7" i="28"/>
  <c r="G181" i="28" s="1"/>
  <c r="H181" i="28"/>
  <c r="I7" i="28"/>
  <c r="I181" i="28" s="1"/>
  <c r="E11" i="34"/>
  <c r="E197" i="34" s="1"/>
  <c r="F11" i="34"/>
  <c r="G11" i="34"/>
  <c r="H11" i="34"/>
  <c r="I11" i="34"/>
  <c r="D8" i="34"/>
  <c r="E8" i="34"/>
  <c r="F8" i="34"/>
  <c r="G8" i="34"/>
  <c r="H8" i="34"/>
  <c r="I8" i="34"/>
  <c r="D6" i="34"/>
  <c r="E6" i="34"/>
  <c r="F6" i="34"/>
  <c r="G6" i="34"/>
  <c r="G164" i="34" s="1"/>
  <c r="H6" i="34"/>
  <c r="I6" i="34"/>
  <c r="D66" i="24"/>
  <c r="D65" i="24"/>
  <c r="B155" i="24" a="1"/>
  <c r="B155" i="24" s="1"/>
  <c r="D155" i="24" a="1"/>
  <c r="D155" i="24" s="1"/>
  <c r="B134" i="24" a="1"/>
  <c r="B134" i="24" s="1"/>
  <c r="A134" i="24" a="1"/>
  <c r="A139" i="24" s="1"/>
  <c r="A71" i="24" a="1"/>
  <c r="A71" i="24" s="1"/>
  <c r="D11" i="37"/>
  <c r="D205" i="37" s="1"/>
  <c r="E11" i="37"/>
  <c r="E205" i="37" s="1"/>
  <c r="F11" i="37"/>
  <c r="G11" i="37"/>
  <c r="H11" i="37"/>
  <c r="I11" i="37"/>
  <c r="D11" i="41"/>
  <c r="E11" i="41"/>
  <c r="F11" i="41"/>
  <c r="G11" i="41"/>
  <c r="E8" i="41"/>
  <c r="F8" i="41"/>
  <c r="G8" i="41"/>
  <c r="E6" i="41"/>
  <c r="F6" i="41"/>
  <c r="G6" i="41"/>
  <c r="B293" i="41"/>
  <c r="B294" i="41" s="1"/>
  <c r="B295" i="41" s="1"/>
  <c r="B296" i="41" s="1"/>
  <c r="B297" i="41" s="1"/>
  <c r="C289" i="41"/>
  <c r="C290" i="41" s="1"/>
  <c r="C291" i="41" s="1"/>
  <c r="C292" i="41" s="1"/>
  <c r="C293" i="41" s="1"/>
  <c r="C294" i="41" s="1"/>
  <c r="C295" i="41" s="1"/>
  <c r="C296" i="41" s="1"/>
  <c r="C297" i="41" s="1"/>
  <c r="B280" i="41"/>
  <c r="B281" i="41" s="1"/>
  <c r="B282" i="41" s="1"/>
  <c r="B283" i="41" s="1"/>
  <c r="B284" i="41" s="1"/>
  <c r="C276" i="41"/>
  <c r="C277" i="41" s="1"/>
  <c r="C278" i="41" s="1"/>
  <c r="C279" i="41" s="1"/>
  <c r="C280" i="41" s="1"/>
  <c r="C281" i="41" s="1"/>
  <c r="C282" i="41" s="1"/>
  <c r="C283" i="41" s="1"/>
  <c r="C284" i="41" s="1"/>
  <c r="G172" i="41"/>
  <c r="G137" i="41"/>
  <c r="F137" i="41"/>
  <c r="E137" i="41"/>
  <c r="D137" i="41"/>
  <c r="B376" i="24"/>
  <c r="C376" i="24"/>
  <c r="D376" i="24"/>
  <c r="E376" i="24"/>
  <c r="E352" i="24"/>
  <c r="D155" i="22"/>
  <c r="E155" i="22"/>
  <c r="F155" i="22"/>
  <c r="I155" i="22"/>
  <c r="H270" i="23"/>
  <c r="I270" i="23"/>
  <c r="J270" i="23"/>
  <c r="K270" i="23"/>
  <c r="G7" i="41"/>
  <c r="G19" i="41" s="1"/>
  <c r="G95" i="41" s="1"/>
  <c r="F7" i="41"/>
  <c r="F19" i="41" s="1"/>
  <c r="F95" i="41" s="1"/>
  <c r="E7" i="41"/>
  <c r="E19" i="41" s="1"/>
  <c r="E95" i="41" s="1"/>
  <c r="F292" i="24"/>
  <c r="J5" i="23"/>
  <c r="H20" i="22"/>
  <c r="H84" i="22" s="1"/>
  <c r="H126" i="22"/>
  <c r="H129" i="22" s="1"/>
  <c r="I183" i="24"/>
  <c r="I184" i="24"/>
  <c r="I185" i="24"/>
  <c r="I186" i="24"/>
  <c r="I187" i="24"/>
  <c r="I188" i="24"/>
  <c r="F183" i="24"/>
  <c r="F184" i="24"/>
  <c r="F185" i="24"/>
  <c r="F186" i="24"/>
  <c r="F187" i="24"/>
  <c r="F188" i="24"/>
  <c r="C183" i="24"/>
  <c r="C184" i="24"/>
  <c r="C185" i="24"/>
  <c r="C186" i="24"/>
  <c r="C187" i="24"/>
  <c r="C188" i="24"/>
  <c r="C177" i="24"/>
  <c r="F177" i="24"/>
  <c r="F176" i="24"/>
  <c r="F175" i="24"/>
  <c r="F174" i="24"/>
  <c r="C167" i="24"/>
  <c r="E216" i="28" l="1"/>
  <c r="E189" i="28"/>
  <c r="E193" i="28" s="1"/>
  <c r="H197" i="34"/>
  <c r="H172" i="34"/>
  <c r="I216" i="28"/>
  <c r="I192" i="28"/>
  <c r="I191" i="28"/>
  <c r="I190" i="28"/>
  <c r="I189" i="28"/>
  <c r="G197" i="34"/>
  <c r="G172" i="34"/>
  <c r="H216" i="28"/>
  <c r="H192" i="28"/>
  <c r="H191" i="28"/>
  <c r="H190" i="28"/>
  <c r="H189" i="28"/>
  <c r="F197" i="34"/>
  <c r="F172" i="34"/>
  <c r="G216" i="28"/>
  <c r="G191" i="28"/>
  <c r="G190" i="28"/>
  <c r="G189" i="28"/>
  <c r="G192" i="28"/>
  <c r="I197" i="34"/>
  <c r="I172" i="34"/>
  <c r="F216" i="28"/>
  <c r="F191" i="28"/>
  <c r="F190" i="28"/>
  <c r="F189" i="28"/>
  <c r="F192" i="28"/>
  <c r="F179" i="41"/>
  <c r="F182" i="41"/>
  <c r="H205" i="37"/>
  <c r="H179" i="37"/>
  <c r="H182" i="37"/>
  <c r="E182" i="41"/>
  <c r="E179" i="41"/>
  <c r="G205" i="37"/>
  <c r="G179" i="37"/>
  <c r="G182" i="37"/>
  <c r="G206" i="40"/>
  <c r="G180" i="40"/>
  <c r="G183" i="40"/>
  <c r="F205" i="37"/>
  <c r="F182" i="37"/>
  <c r="F179" i="37"/>
  <c r="F206" i="40"/>
  <c r="F183" i="40"/>
  <c r="F180" i="40"/>
  <c r="G179" i="41"/>
  <c r="G182" i="41"/>
  <c r="I205" i="37"/>
  <c r="I182" i="37"/>
  <c r="I179" i="37"/>
  <c r="E206" i="40"/>
  <c r="E180" i="40"/>
  <c r="E183" i="40"/>
  <c r="E164" i="34"/>
  <c r="D164" i="34"/>
  <c r="D100" i="48"/>
  <c r="D81" i="48"/>
  <c r="E81" i="48"/>
  <c r="E100" i="48"/>
  <c r="J337" i="23"/>
  <c r="J402" i="23"/>
  <c r="J454" i="23"/>
  <c r="J453" i="23"/>
  <c r="J452" i="23"/>
  <c r="J451" i="23"/>
  <c r="J450" i="23"/>
  <c r="J446" i="23"/>
  <c r="J445" i="23"/>
  <c r="J444" i="23"/>
  <c r="J447" i="23" s="1"/>
  <c r="J440" i="23"/>
  <c r="J439" i="23"/>
  <c r="J438" i="23"/>
  <c r="J437" i="23"/>
  <c r="J436" i="23"/>
  <c r="J435" i="23"/>
  <c r="J434" i="23"/>
  <c r="J433" i="23"/>
  <c r="J432" i="23"/>
  <c r="J441" i="23" s="1"/>
  <c r="I337" i="23"/>
  <c r="I402" i="23"/>
  <c r="I454" i="23"/>
  <c r="I453" i="23"/>
  <c r="I452" i="23"/>
  <c r="I451" i="23"/>
  <c r="I450" i="23"/>
  <c r="I446" i="23"/>
  <c r="I445" i="23"/>
  <c r="I444" i="23"/>
  <c r="I447" i="23" s="1"/>
  <c r="I440" i="23"/>
  <c r="I439" i="23"/>
  <c r="I438" i="23"/>
  <c r="I437" i="23"/>
  <c r="I436" i="23"/>
  <c r="I435" i="23"/>
  <c r="I434" i="23"/>
  <c r="I433" i="23"/>
  <c r="I432" i="23"/>
  <c r="I441" i="23" s="1"/>
  <c r="H337" i="23"/>
  <c r="H402" i="23"/>
  <c r="H454" i="23"/>
  <c r="H453" i="23"/>
  <c r="H452" i="23"/>
  <c r="H451" i="23"/>
  <c r="H450" i="23"/>
  <c r="H446" i="23"/>
  <c r="H445" i="23"/>
  <c r="H444" i="23"/>
  <c r="H447" i="23" s="1"/>
  <c r="H440" i="23"/>
  <c r="H439" i="23"/>
  <c r="H435" i="23"/>
  <c r="H438" i="23"/>
  <c r="H434" i="23"/>
  <c r="H437" i="23"/>
  <c r="H433" i="23"/>
  <c r="H436" i="23"/>
  <c r="H432" i="23"/>
  <c r="H441" i="23" s="1"/>
  <c r="K337" i="23"/>
  <c r="K402" i="23"/>
  <c r="G206" i="41"/>
  <c r="K458" i="23" s="1"/>
  <c r="K454" i="23"/>
  <c r="K453" i="23"/>
  <c r="K452" i="23"/>
  <c r="K451" i="23"/>
  <c r="K450" i="23"/>
  <c r="K446" i="23"/>
  <c r="K445" i="23"/>
  <c r="K444" i="23"/>
  <c r="K447" i="23" s="1"/>
  <c r="K440" i="23"/>
  <c r="K439" i="23"/>
  <c r="K438" i="23"/>
  <c r="K437" i="23"/>
  <c r="K436" i="23"/>
  <c r="K435" i="23"/>
  <c r="K434" i="23"/>
  <c r="K433" i="23"/>
  <c r="K432" i="23"/>
  <c r="K441" i="23" s="1"/>
  <c r="F13" i="41"/>
  <c r="F166" i="41" s="1"/>
  <c r="F206" i="41"/>
  <c r="J458" i="23" s="1"/>
  <c r="E13" i="41"/>
  <c r="E166" i="41" s="1"/>
  <c r="E206" i="41"/>
  <c r="I458" i="23" s="1"/>
  <c r="D13" i="41"/>
  <c r="D166" i="41" s="1"/>
  <c r="D206" i="41"/>
  <c r="H458" i="23" s="1"/>
  <c r="G171" i="41"/>
  <c r="F171" i="41"/>
  <c r="E171" i="41"/>
  <c r="H164" i="34"/>
  <c r="I164" i="34"/>
  <c r="F164" i="34"/>
  <c r="H102" i="22"/>
  <c r="H155" i="22"/>
  <c r="G562" i="23"/>
  <c r="G557" i="23"/>
  <c r="G555" i="23"/>
  <c r="G550" i="23"/>
  <c r="G548" i="23"/>
  <c r="G542" i="23"/>
  <c r="G540" i="23"/>
  <c r="G538" i="23"/>
  <c r="G536" i="23"/>
  <c r="G558" i="23"/>
  <c r="G556" i="23"/>
  <c r="G554" i="23"/>
  <c r="G549" i="23"/>
  <c r="G543" i="23"/>
  <c r="G541" i="23"/>
  <c r="G539" i="23"/>
  <c r="G537" i="23"/>
  <c r="H562" i="23"/>
  <c r="H557" i="23"/>
  <c r="H555" i="23"/>
  <c r="H550" i="23"/>
  <c r="H548" i="23"/>
  <c r="H538" i="23"/>
  <c r="H558" i="23"/>
  <c r="H556" i="23"/>
  <c r="H554" i="23"/>
  <c r="H549" i="23"/>
  <c r="H543" i="23"/>
  <c r="H541" i="23"/>
  <c r="H539" i="23"/>
  <c r="H537" i="23"/>
  <c r="H542" i="23"/>
  <c r="H540" i="23"/>
  <c r="H536" i="23"/>
  <c r="K562" i="23"/>
  <c r="K557" i="23"/>
  <c r="K555" i="23"/>
  <c r="K550" i="23"/>
  <c r="K548" i="23"/>
  <c r="K542" i="23"/>
  <c r="K540" i="23"/>
  <c r="K538" i="23"/>
  <c r="K536" i="23"/>
  <c r="K558" i="23"/>
  <c r="K556" i="23"/>
  <c r="K554" i="23"/>
  <c r="K549" i="23"/>
  <c r="K543" i="23"/>
  <c r="K541" i="23"/>
  <c r="K539" i="23"/>
  <c r="K537" i="23"/>
  <c r="J558" i="23"/>
  <c r="J556" i="23"/>
  <c r="J541" i="23"/>
  <c r="J539" i="23"/>
  <c r="J562" i="23"/>
  <c r="J557" i="23"/>
  <c r="J555" i="23"/>
  <c r="J550" i="23"/>
  <c r="J548" i="23"/>
  <c r="J542" i="23"/>
  <c r="J540" i="23"/>
  <c r="J538" i="23"/>
  <c r="J536" i="23"/>
  <c r="J549" i="23"/>
  <c r="J537" i="23"/>
  <c r="J554" i="23"/>
  <c r="J543" i="23"/>
  <c r="F556" i="23"/>
  <c r="F554" i="23"/>
  <c r="F543" i="23"/>
  <c r="F562" i="23"/>
  <c r="F557" i="23"/>
  <c r="F555" i="23"/>
  <c r="F550" i="23"/>
  <c r="F548" i="23"/>
  <c r="F542" i="23"/>
  <c r="F540" i="23"/>
  <c r="F538" i="23"/>
  <c r="F536" i="23"/>
  <c r="F541" i="23"/>
  <c r="F539" i="23"/>
  <c r="F537" i="23"/>
  <c r="F558" i="23"/>
  <c r="F549" i="23"/>
  <c r="I558" i="23"/>
  <c r="I556" i="23"/>
  <c r="I554" i="23"/>
  <c r="I549" i="23"/>
  <c r="I543" i="23"/>
  <c r="I541" i="23"/>
  <c r="I539" i="23"/>
  <c r="I537" i="23"/>
  <c r="I562" i="23"/>
  <c r="I557" i="23"/>
  <c r="I555" i="23"/>
  <c r="I550" i="23"/>
  <c r="I548" i="23"/>
  <c r="I542" i="23"/>
  <c r="I540" i="23"/>
  <c r="I538" i="23"/>
  <c r="I536" i="23"/>
  <c r="B67" i="24"/>
  <c r="F172" i="41"/>
  <c r="H142" i="22"/>
  <c r="D172" i="41"/>
  <c r="D7" i="41"/>
  <c r="D19" i="41" s="1"/>
  <c r="D95" i="41" s="1"/>
  <c r="H140" i="22"/>
  <c r="H135" i="22"/>
  <c r="H130" i="22"/>
  <c r="H139" i="22"/>
  <c r="H134" i="22"/>
  <c r="H136" i="22"/>
  <c r="H131" i="22"/>
  <c r="H144" i="22"/>
  <c r="H128" i="22"/>
  <c r="H143" i="22"/>
  <c r="H138" i="22"/>
  <c r="H132" i="22"/>
  <c r="H127" i="22"/>
  <c r="B71" i="24" a="1"/>
  <c r="G13" i="41"/>
  <c r="G174" i="41" s="1"/>
  <c r="F238" i="23"/>
  <c r="F237" i="23"/>
  <c r="F239" i="23"/>
  <c r="F107" i="23"/>
  <c r="F109" i="23"/>
  <c r="F108" i="23"/>
  <c r="H14" i="22"/>
  <c r="D157" i="24"/>
  <c r="B158" i="24"/>
  <c r="G15" i="41"/>
  <c r="G196" i="41" s="1"/>
  <c r="D158" i="24"/>
  <c r="B157" i="24"/>
  <c r="F15" i="41"/>
  <c r="F196" i="41" s="1"/>
  <c r="H16" i="22"/>
  <c r="H182" i="22" s="1"/>
  <c r="E15" i="41"/>
  <c r="E196" i="41" s="1"/>
  <c r="B156" i="24"/>
  <c r="D156" i="24"/>
  <c r="A74" i="24"/>
  <c r="A73" i="24"/>
  <c r="A136" i="24"/>
  <c r="B137" i="24"/>
  <c r="B136" i="24"/>
  <c r="B139" i="24"/>
  <c r="B135" i="24"/>
  <c r="B138" i="24"/>
  <c r="A137" i="24"/>
  <c r="A134" i="24"/>
  <c r="A138" i="24"/>
  <c r="A135" i="24"/>
  <c r="A76" i="24"/>
  <c r="A72" i="24"/>
  <c r="A75" i="24"/>
  <c r="F113" i="41"/>
  <c r="D15" i="41"/>
  <c r="D196" i="41" s="1"/>
  <c r="E113" i="41"/>
  <c r="D113" i="41"/>
  <c r="G113" i="41"/>
  <c r="E172" i="41"/>
  <c r="H141" i="22"/>
  <c r="H137" i="22"/>
  <c r="H133" i="22"/>
  <c r="I137" i="37"/>
  <c r="F174" i="41" l="1"/>
  <c r="H193" i="28"/>
  <c r="D174" i="41"/>
  <c r="F193" i="28"/>
  <c r="G193" i="28"/>
  <c r="I193" i="28"/>
  <c r="J455" i="23"/>
  <c r="E174" i="41"/>
  <c r="E101" i="48"/>
  <c r="E82" i="48"/>
  <c r="I455" i="23"/>
  <c r="D101" i="48"/>
  <c r="D82" i="48"/>
  <c r="H455" i="23"/>
  <c r="K455" i="23"/>
  <c r="H149" i="22"/>
  <c r="H165" i="22"/>
  <c r="G559" i="23"/>
  <c r="I551" i="23"/>
  <c r="G551" i="23"/>
  <c r="F559" i="23"/>
  <c r="J559" i="23"/>
  <c r="K551" i="23"/>
  <c r="I559" i="23"/>
  <c r="F551" i="23"/>
  <c r="J551" i="23"/>
  <c r="K559" i="23"/>
  <c r="H559" i="23"/>
  <c r="H551" i="23"/>
  <c r="G166" i="41"/>
  <c r="E188" i="41"/>
  <c r="I381" i="23" s="1"/>
  <c r="G188" i="41"/>
  <c r="K381" i="23" s="1"/>
  <c r="J387" i="23"/>
  <c r="D188" i="41"/>
  <c r="H381" i="23" s="1"/>
  <c r="H387" i="23"/>
  <c r="H178" i="22"/>
  <c r="J51" i="23" s="1"/>
  <c r="B71" i="24"/>
  <c r="B74" i="24"/>
  <c r="B75" i="24"/>
  <c r="B72" i="24"/>
  <c r="B73" i="24"/>
  <c r="B76" i="24"/>
  <c r="F188" i="41"/>
  <c r="J381" i="23" s="1"/>
  <c r="H180" i="22"/>
  <c r="J53" i="23" s="1"/>
  <c r="H173" i="22"/>
  <c r="J47" i="23" s="1"/>
  <c r="K385" i="23"/>
  <c r="J385" i="23"/>
  <c r="K387" i="23"/>
  <c r="I385" i="23"/>
  <c r="I387" i="23"/>
  <c r="H385" i="23"/>
  <c r="I113" i="37"/>
  <c r="E359" i="24"/>
  <c r="E360" i="24"/>
  <c r="G335" i="24"/>
  <c r="G342" i="24" s="1"/>
  <c r="G343" i="24"/>
  <c r="G318" i="24"/>
  <c r="G325" i="24" s="1"/>
  <c r="G326" i="24"/>
  <c r="G309" i="24"/>
  <c r="C350" i="24"/>
  <c r="D350" i="24"/>
  <c r="E350" i="24"/>
  <c r="B350" i="24"/>
  <c r="C333" i="24"/>
  <c r="F2" i="37"/>
  <c r="D333" i="24" s="1"/>
  <c r="G2" i="37"/>
  <c r="E333" i="24" s="1"/>
  <c r="H2" i="37"/>
  <c r="F333" i="24" s="1"/>
  <c r="I2" i="37"/>
  <c r="G333" i="24" s="1"/>
  <c r="C316" i="24"/>
  <c r="F2" i="34"/>
  <c r="D316" i="24" s="1"/>
  <c r="G2" i="34"/>
  <c r="E316" i="24" s="1"/>
  <c r="H2" i="34"/>
  <c r="F316" i="24" s="1"/>
  <c r="I2" i="34"/>
  <c r="G316" i="24" s="1"/>
  <c r="C299" i="24"/>
  <c r="D299" i="24"/>
  <c r="E299" i="24"/>
  <c r="F299" i="24"/>
  <c r="G299" i="24"/>
  <c r="B299" i="24"/>
  <c r="G137" i="40"/>
  <c r="E102" i="48" l="1"/>
  <c r="E83" i="48"/>
  <c r="D83" i="48"/>
  <c r="D102" i="48"/>
  <c r="C366" i="24"/>
  <c r="C382" i="24"/>
  <c r="B366" i="24"/>
  <c r="B382" i="24"/>
  <c r="E366" i="24"/>
  <c r="E382" i="24"/>
  <c r="D366" i="24"/>
  <c r="D382" i="24"/>
  <c r="G7" i="40"/>
  <c r="G19" i="40" s="1"/>
  <c r="G95" i="40" s="1"/>
  <c r="D7" i="37"/>
  <c r="K73" i="23"/>
  <c r="K138" i="23" s="1"/>
  <c r="G301" i="24"/>
  <c r="G308" i="24" s="1"/>
  <c r="G310" i="24" s="1"/>
  <c r="G300" i="24" s="1"/>
  <c r="I152" i="28"/>
  <c r="I155" i="28" s="1"/>
  <c r="D103" i="48" l="1"/>
  <c r="D84" i="48"/>
  <c r="E84" i="48"/>
  <c r="E103" i="48"/>
  <c r="K85" i="23"/>
  <c r="I5" i="28" s="1"/>
  <c r="G302" i="24"/>
  <c r="G311" i="24"/>
  <c r="G312" i="24" s="1"/>
  <c r="I6" i="28"/>
  <c r="G303" i="24"/>
  <c r="I168" i="28"/>
  <c r="I165" i="28"/>
  <c r="I170" i="28"/>
  <c r="I167" i="28"/>
  <c r="I162" i="28"/>
  <c r="I159" i="28"/>
  <c r="I154" i="28"/>
  <c r="I160" i="28"/>
  <c r="I157" i="28"/>
  <c r="I169" i="28"/>
  <c r="I164" i="28"/>
  <c r="I161" i="28"/>
  <c r="I156" i="28"/>
  <c r="I153" i="28"/>
  <c r="I166" i="28"/>
  <c r="I163" i="28"/>
  <c r="I158" i="28"/>
  <c r="B360" i="24"/>
  <c r="C360" i="24"/>
  <c r="D360" i="24"/>
  <c r="C352" i="24"/>
  <c r="D352" i="24"/>
  <c r="B400" i="24" a="1"/>
  <c r="B400" i="24" s="1"/>
  <c r="B343" i="24"/>
  <c r="C343" i="24"/>
  <c r="D343" i="24"/>
  <c r="E343" i="24"/>
  <c r="F343" i="24"/>
  <c r="B326" i="24"/>
  <c r="C326" i="24"/>
  <c r="D326" i="24"/>
  <c r="E326" i="24"/>
  <c r="F326" i="24"/>
  <c r="B309" i="24"/>
  <c r="C309" i="24"/>
  <c r="D309" i="24"/>
  <c r="E309" i="24"/>
  <c r="F309" i="24"/>
  <c r="B292" i="24"/>
  <c r="C292" i="24"/>
  <c r="D292" i="24"/>
  <c r="E292" i="24"/>
  <c r="G292" i="24"/>
  <c r="C57" i="24"/>
  <c r="B59" i="24" s="1"/>
  <c r="I174" i="28" l="1"/>
  <c r="I26" i="28"/>
  <c r="I30" i="28"/>
  <c r="I34" i="28"/>
  <c r="I38" i="28"/>
  <c r="I42" i="28"/>
  <c r="I46" i="28"/>
  <c r="I136" i="28"/>
  <c r="I140" i="28"/>
  <c r="I144" i="28"/>
  <c r="I126" i="28"/>
  <c r="I130" i="28"/>
  <c r="I134" i="28"/>
  <c r="I33" i="28"/>
  <c r="I45" i="28"/>
  <c r="I27" i="28"/>
  <c r="I31" i="28"/>
  <c r="I35" i="28"/>
  <c r="I39" i="28"/>
  <c r="I67" i="28" s="1"/>
  <c r="I43" i="28"/>
  <c r="I23" i="28"/>
  <c r="I137" i="28"/>
  <c r="I141" i="28"/>
  <c r="I145" i="28"/>
  <c r="I127" i="28"/>
  <c r="I131" i="28"/>
  <c r="I135" i="28"/>
  <c r="I25" i="28"/>
  <c r="I53" i="28" s="1"/>
  <c r="I37" i="28"/>
  <c r="I24" i="28"/>
  <c r="I28" i="28"/>
  <c r="I32" i="28"/>
  <c r="I36" i="28"/>
  <c r="I40" i="28"/>
  <c r="I44" i="28"/>
  <c r="I138" i="28"/>
  <c r="I142" i="28"/>
  <c r="I146" i="28"/>
  <c r="I128" i="28"/>
  <c r="I132" i="28"/>
  <c r="I125" i="28"/>
  <c r="I29" i="28"/>
  <c r="I41" i="28"/>
  <c r="I129" i="28"/>
  <c r="I139" i="28"/>
  <c r="I133" i="28"/>
  <c r="I143" i="28"/>
  <c r="I124" i="28"/>
  <c r="I147" i="28"/>
  <c r="E104" i="48"/>
  <c r="E85" i="48"/>
  <c r="B177" i="45"/>
  <c r="C194" i="48"/>
  <c r="D104" i="48"/>
  <c r="D85" i="48"/>
  <c r="C194" i="41"/>
  <c r="B403" i="24"/>
  <c r="B404" i="24"/>
  <c r="B401" i="24"/>
  <c r="B402" i="24"/>
  <c r="C179" i="22"/>
  <c r="C194" i="40"/>
  <c r="C193" i="37"/>
  <c r="I61" i="28" l="1"/>
  <c r="I71" i="28"/>
  <c r="I60" i="28"/>
  <c r="I55" i="28"/>
  <c r="I62" i="28"/>
  <c r="I68" i="28"/>
  <c r="I64" i="28"/>
  <c r="I69" i="28"/>
  <c r="I72" i="28"/>
  <c r="I56" i="28"/>
  <c r="I73" i="28"/>
  <c r="I74" i="28"/>
  <c r="I58" i="28"/>
  <c r="I57" i="28"/>
  <c r="I63" i="28"/>
  <c r="I70" i="28"/>
  <c r="I54" i="28"/>
  <c r="I65" i="28"/>
  <c r="I51" i="28"/>
  <c r="I59" i="28"/>
  <c r="I66" i="28"/>
  <c r="D86" i="48"/>
  <c r="D105" i="48"/>
  <c r="E86" i="48"/>
  <c r="E105" i="48"/>
  <c r="E194" i="48"/>
  <c r="F194" i="48"/>
  <c r="D194" i="48"/>
  <c r="G194" i="48"/>
  <c r="H179" i="22"/>
  <c r="J52" i="23" s="1"/>
  <c r="D194" i="41"/>
  <c r="H386" i="23" s="1"/>
  <c r="E194" i="41"/>
  <c r="I386" i="23" s="1"/>
  <c r="G194" i="41"/>
  <c r="K386" i="23" s="1"/>
  <c r="F194" i="41"/>
  <c r="J386" i="23" s="1"/>
  <c r="H549" i="24"/>
  <c r="G549" i="24"/>
  <c r="F549" i="24"/>
  <c r="E549" i="24"/>
  <c r="D549" i="24"/>
  <c r="H556" i="24"/>
  <c r="G556" i="24"/>
  <c r="F556" i="24"/>
  <c r="E556" i="24"/>
  <c r="D556" i="24"/>
  <c r="D563" i="24"/>
  <c r="E563" i="24"/>
  <c r="F563" i="24"/>
  <c r="G563" i="24"/>
  <c r="H563" i="24"/>
  <c r="D542" i="24"/>
  <c r="E542" i="24"/>
  <c r="F542" i="24"/>
  <c r="G542" i="24"/>
  <c r="H542" i="24"/>
  <c r="I15" i="37"/>
  <c r="I15" i="34"/>
  <c r="I185" i="34" s="1"/>
  <c r="I16" i="28"/>
  <c r="K122" i="23" l="1"/>
  <c r="I193" i="37"/>
  <c r="I195" i="37"/>
  <c r="I187" i="34"/>
  <c r="E87" i="48"/>
  <c r="E106" i="48"/>
  <c r="D87" i="48"/>
  <c r="D106" i="48"/>
  <c r="I207" i="28"/>
  <c r="N556" i="24"/>
  <c r="N542" i="24"/>
  <c r="N563" i="24"/>
  <c r="N549" i="24"/>
  <c r="I187" i="37"/>
  <c r="K247" i="23" s="1"/>
  <c r="I179" i="34"/>
  <c r="K182" i="23" s="1"/>
  <c r="I198" i="28"/>
  <c r="K117" i="23" s="1"/>
  <c r="I203" i="28"/>
  <c r="K121" i="23" s="1"/>
  <c r="K188" i="23"/>
  <c r="K186" i="23"/>
  <c r="K251" i="23"/>
  <c r="K253" i="23"/>
  <c r="K252" i="23"/>
  <c r="K187" i="23"/>
  <c r="G15" i="40"/>
  <c r="I205" i="28"/>
  <c r="K123" i="23" s="1"/>
  <c r="H565" i="24"/>
  <c r="H567" i="24" s="1"/>
  <c r="D565" i="24"/>
  <c r="E565" i="24"/>
  <c r="E567" i="24" s="1"/>
  <c r="F565" i="24"/>
  <c r="F567" i="24" s="1"/>
  <c r="G565" i="24"/>
  <c r="G567" i="24" s="1"/>
  <c r="G197" i="40" l="1"/>
  <c r="G196" i="40"/>
  <c r="D107" i="48"/>
  <c r="D88" i="48"/>
  <c r="E88" i="48"/>
  <c r="E107" i="48"/>
  <c r="D567" i="24"/>
  <c r="N565" i="24"/>
  <c r="G195" i="40"/>
  <c r="K321" i="23" s="1"/>
  <c r="G194" i="40"/>
  <c r="K320" i="23" s="1"/>
  <c r="G188" i="40"/>
  <c r="K315" i="23" s="1"/>
  <c r="K319" i="23"/>
  <c r="E108" i="48" l="1"/>
  <c r="E110" i="48" s="1"/>
  <c r="E170" i="48" s="1"/>
  <c r="E89" i="48"/>
  <c r="E90" i="48" s="1"/>
  <c r="E91" i="48" s="1"/>
  <c r="E92" i="48" s="1"/>
  <c r="D108" i="48"/>
  <c r="D110" i="48" s="1"/>
  <c r="D170" i="48" s="1"/>
  <c r="D89" i="48"/>
  <c r="D90" i="48" s="1"/>
  <c r="D91" i="48" s="1"/>
  <c r="D92" i="48" s="1"/>
  <c r="N567" i="24"/>
  <c r="D481" i="24" l="1"/>
  <c r="D488" i="24"/>
  <c r="D495" i="24"/>
  <c r="D506" i="24"/>
  <c r="D441" i="24" s="1"/>
  <c r="E506" i="24"/>
  <c r="E441" i="24" s="1"/>
  <c r="F506" i="24"/>
  <c r="F441" i="24" s="1"/>
  <c r="G506" i="24"/>
  <c r="G441" i="24" s="1"/>
  <c r="H506" i="24"/>
  <c r="H441" i="24" s="1"/>
  <c r="D513" i="24"/>
  <c r="E513" i="24"/>
  <c r="E448" i="24" s="1"/>
  <c r="F513" i="24"/>
  <c r="F448" i="24" s="1"/>
  <c r="G513" i="24"/>
  <c r="G448" i="24" s="1"/>
  <c r="H513" i="24"/>
  <c r="H448" i="24" s="1"/>
  <c r="D520" i="24"/>
  <c r="E520" i="24"/>
  <c r="E455" i="24" s="1"/>
  <c r="F520" i="24"/>
  <c r="F455" i="24" s="1"/>
  <c r="G520" i="24"/>
  <c r="G455" i="24" s="1"/>
  <c r="H520" i="24"/>
  <c r="H455" i="24" s="1"/>
  <c r="D527" i="24"/>
  <c r="E527" i="24"/>
  <c r="E462" i="24" s="1"/>
  <c r="F527" i="24"/>
  <c r="F462" i="24" s="1"/>
  <c r="G527" i="24"/>
  <c r="G462" i="24" s="1"/>
  <c r="H527" i="24"/>
  <c r="H462" i="24" s="1"/>
  <c r="F7" i="40"/>
  <c r="E7" i="40"/>
  <c r="D7" i="40"/>
  <c r="J219" i="23"/>
  <c r="H7" i="37" s="1"/>
  <c r="I219" i="23"/>
  <c r="G7" i="37" s="1"/>
  <c r="H219" i="23"/>
  <c r="F7" i="37" s="1"/>
  <c r="E7" i="37"/>
  <c r="H7" i="34"/>
  <c r="G7" i="34"/>
  <c r="F7" i="34"/>
  <c r="E7" i="34"/>
  <c r="D7" i="34"/>
  <c r="D8" i="28"/>
  <c r="E8" i="28"/>
  <c r="F8" i="28"/>
  <c r="G8" i="28"/>
  <c r="H8" i="28"/>
  <c r="K38" i="23"/>
  <c r="K39" i="23"/>
  <c r="N527" i="24" l="1"/>
  <c r="D462" i="24"/>
  <c r="N495" i="24"/>
  <c r="N520" i="24"/>
  <c r="D455" i="24"/>
  <c r="N488" i="24"/>
  <c r="N513" i="24"/>
  <c r="D448" i="24"/>
  <c r="N481" i="24"/>
  <c r="K37" i="23"/>
  <c r="H529" i="24"/>
  <c r="G529" i="24"/>
  <c r="E529" i="24"/>
  <c r="D529" i="24"/>
  <c r="F529" i="24"/>
  <c r="D497" i="24"/>
  <c r="N455" i="24" l="1"/>
  <c r="N448" i="24"/>
  <c r="D531" i="24"/>
  <c r="N529" i="24"/>
  <c r="E531" i="24"/>
  <c r="E466" i="24" s="1"/>
  <c r="E464" i="24"/>
  <c r="D499" i="24"/>
  <c r="D464" i="24"/>
  <c r="N497" i="24"/>
  <c r="G531" i="24"/>
  <c r="G466" i="24" s="1"/>
  <c r="G464" i="24"/>
  <c r="F531" i="24"/>
  <c r="F466" i="24" s="1"/>
  <c r="F464" i="24"/>
  <c r="H531" i="24"/>
  <c r="H466" i="24" s="1"/>
  <c r="H464" i="24"/>
  <c r="N462" i="24"/>
  <c r="G533" i="24" l="1"/>
  <c r="N464" i="24"/>
  <c r="D466" i="24"/>
  <c r="N499" i="24"/>
  <c r="N531" i="24"/>
  <c r="P531" i="24" s="1"/>
  <c r="N466" i="24" l="1"/>
  <c r="H379" i="23" l="1"/>
  <c r="H367" i="23"/>
  <c r="H368" i="23"/>
  <c r="K115" i="23"/>
  <c r="K245" i="23"/>
  <c r="K180" i="23"/>
  <c r="K313" i="23"/>
  <c r="K367" i="23" l="1"/>
  <c r="I368" i="23"/>
  <c r="J369" i="23"/>
  <c r="J45" i="23"/>
  <c r="K379" i="23"/>
  <c r="I379" i="23"/>
  <c r="J379" i="23"/>
  <c r="J39" i="23"/>
  <c r="H164" i="22"/>
  <c r="J38" i="23" s="1"/>
  <c r="K369" i="23" l="1"/>
  <c r="I367" i="23"/>
  <c r="I369" i="23"/>
  <c r="J367" i="23"/>
  <c r="J368" i="23"/>
  <c r="H369" i="23"/>
  <c r="K368" i="23"/>
  <c r="E116" i="24"/>
  <c r="E117" i="24"/>
  <c r="E118" i="24"/>
  <c r="E119" i="24" l="1"/>
  <c r="B120" i="24" s="1"/>
  <c r="C408" i="24" a="1"/>
  <c r="C408" i="24" s="1"/>
  <c r="I113" i="34" s="1"/>
  <c r="D408" i="24" a="1"/>
  <c r="D408" i="24" s="1"/>
  <c r="I13" i="37"/>
  <c r="I166" i="37" s="1"/>
  <c r="F408" i="24" a="1"/>
  <c r="F408" i="24" s="1"/>
  <c r="B308" i="24"/>
  <c r="B310" i="24" s="1"/>
  <c r="C301" i="24"/>
  <c r="C308" i="24" s="1"/>
  <c r="C310" i="24" s="1"/>
  <c r="C300" i="24" s="1"/>
  <c r="D301" i="24"/>
  <c r="D308" i="24" s="1"/>
  <c r="D310" i="24" s="1"/>
  <c r="D300" i="24" s="1"/>
  <c r="E301" i="24"/>
  <c r="E308" i="24" s="1"/>
  <c r="E310" i="24" s="1"/>
  <c r="E300" i="24" s="1"/>
  <c r="F301" i="24"/>
  <c r="F308" i="24" s="1"/>
  <c r="F310" i="24" s="1"/>
  <c r="F300" i="24" s="1"/>
  <c r="D20" i="28"/>
  <c r="D104" i="28" s="1"/>
  <c r="E20" i="28"/>
  <c r="E104" i="28" s="1"/>
  <c r="F20" i="28"/>
  <c r="F104" i="28" s="1"/>
  <c r="G20" i="28"/>
  <c r="G104" i="28" s="1"/>
  <c r="H20" i="28"/>
  <c r="H104" i="28" s="1"/>
  <c r="D155" i="28"/>
  <c r="E152" i="28"/>
  <c r="E154" i="28" s="1"/>
  <c r="F152" i="28"/>
  <c r="F155" i="28" s="1"/>
  <c r="G152" i="28"/>
  <c r="G159" i="28" s="1"/>
  <c r="H152" i="28"/>
  <c r="H155" i="28" s="1"/>
  <c r="E339" i="28"/>
  <c r="C163" i="24"/>
  <c r="C164" i="24"/>
  <c r="C165" i="24"/>
  <c r="C166" i="24"/>
  <c r="C168" i="24"/>
  <c r="C176" i="24"/>
  <c r="C175" i="24"/>
  <c r="G85" i="23" l="1"/>
  <c r="E5" i="28" s="1"/>
  <c r="J85" i="23"/>
  <c r="H5" i="28" s="1"/>
  <c r="H85" i="23"/>
  <c r="F5" i="28" s="1"/>
  <c r="I85" i="23"/>
  <c r="G5" i="28" s="1"/>
  <c r="B303" i="24"/>
  <c r="B300" i="24"/>
  <c r="E302" i="24"/>
  <c r="D302" i="24"/>
  <c r="C302" i="24"/>
  <c r="F302" i="24"/>
  <c r="I17" i="37"/>
  <c r="I114" i="37" s="1"/>
  <c r="I77" i="37" s="1"/>
  <c r="G13" i="40"/>
  <c r="G166" i="40" s="1"/>
  <c r="G113" i="40"/>
  <c r="B311" i="24"/>
  <c r="D303" i="24"/>
  <c r="D311" i="24"/>
  <c r="F311" i="24"/>
  <c r="F303" i="24"/>
  <c r="E303" i="24"/>
  <c r="E311" i="24"/>
  <c r="C311" i="24"/>
  <c r="C303" i="24"/>
  <c r="G164" i="28"/>
  <c r="F163" i="28"/>
  <c r="F169" i="28"/>
  <c r="F159" i="28"/>
  <c r="F165" i="28"/>
  <c r="C409" i="24"/>
  <c r="C411" i="24"/>
  <c r="C410" i="24"/>
  <c r="C412" i="24"/>
  <c r="D411" i="24"/>
  <c r="D410" i="24"/>
  <c r="D409" i="24"/>
  <c r="D412" i="24"/>
  <c r="I14" i="28"/>
  <c r="F410" i="24"/>
  <c r="F409" i="24"/>
  <c r="G170" i="28"/>
  <c r="G157" i="28"/>
  <c r="G167" i="28"/>
  <c r="G155" i="28"/>
  <c r="G165" i="28"/>
  <c r="G162" i="28"/>
  <c r="G153" i="28"/>
  <c r="G169" i="28"/>
  <c r="G166" i="28"/>
  <c r="G163" i="28"/>
  <c r="G161" i="28"/>
  <c r="G156" i="28"/>
  <c r="G168" i="28"/>
  <c r="E163" i="28"/>
  <c r="G158" i="28"/>
  <c r="G154" i="28"/>
  <c r="E153" i="28"/>
  <c r="F170" i="28"/>
  <c r="F166" i="28"/>
  <c r="F164" i="28"/>
  <c r="E170" i="28"/>
  <c r="F168" i="28"/>
  <c r="F162" i="28"/>
  <c r="F154" i="28"/>
  <c r="H160" i="28"/>
  <c r="D168" i="28"/>
  <c r="D164" i="28"/>
  <c r="D160" i="28"/>
  <c r="H156" i="28"/>
  <c r="H168" i="28"/>
  <c r="H164" i="28"/>
  <c r="D156" i="28"/>
  <c r="F167" i="28"/>
  <c r="F160" i="28"/>
  <c r="F157" i="28"/>
  <c r="F161" i="28"/>
  <c r="E157" i="28"/>
  <c r="F153" i="28"/>
  <c r="E167" i="28"/>
  <c r="E165" i="28"/>
  <c r="E164" i="28"/>
  <c r="E160" i="28"/>
  <c r="E169" i="28"/>
  <c r="E168" i="28"/>
  <c r="E162" i="28"/>
  <c r="E156" i="28"/>
  <c r="E166" i="28"/>
  <c r="E161" i="28"/>
  <c r="E159" i="28"/>
  <c r="E158" i="28"/>
  <c r="E155" i="28"/>
  <c r="G160" i="28"/>
  <c r="F158" i="28"/>
  <c r="F156" i="28"/>
  <c r="H169" i="28"/>
  <c r="D169" i="28"/>
  <c r="H165" i="28"/>
  <c r="D165" i="28"/>
  <c r="H161" i="28"/>
  <c r="D161" i="28"/>
  <c r="H157" i="28"/>
  <c r="D157" i="28"/>
  <c r="H153" i="28"/>
  <c r="D153" i="28"/>
  <c r="G16" i="28"/>
  <c r="H170" i="28"/>
  <c r="D170" i="28"/>
  <c r="H166" i="28"/>
  <c r="D166" i="28"/>
  <c r="H162" i="28"/>
  <c r="D162" i="28"/>
  <c r="H158" i="28"/>
  <c r="D158" i="28"/>
  <c r="H154" i="28"/>
  <c r="D154" i="28"/>
  <c r="H167" i="28"/>
  <c r="D167" i="28"/>
  <c r="H163" i="28"/>
  <c r="D163" i="28"/>
  <c r="H159" i="28"/>
  <c r="D159" i="28"/>
  <c r="F16" i="28"/>
  <c r="H16" i="28"/>
  <c r="E16" i="28"/>
  <c r="G123" i="23" l="1"/>
  <c r="E203" i="28"/>
  <c r="G121" i="23" s="1"/>
  <c r="F174" i="28"/>
  <c r="F26" i="28"/>
  <c r="F30" i="28"/>
  <c r="F34" i="28"/>
  <c r="F38" i="28"/>
  <c r="F42" i="28"/>
  <c r="F46" i="28"/>
  <c r="F125" i="28"/>
  <c r="F129" i="28"/>
  <c r="F133" i="28"/>
  <c r="F137" i="28"/>
  <c r="F141" i="28"/>
  <c r="F145" i="28"/>
  <c r="F37" i="28"/>
  <c r="F27" i="28"/>
  <c r="F31" i="28"/>
  <c r="F35" i="28"/>
  <c r="F39" i="28"/>
  <c r="F43" i="28"/>
  <c r="F23" i="28"/>
  <c r="F126" i="28"/>
  <c r="F130" i="28"/>
  <c r="F134" i="28"/>
  <c r="F138" i="28"/>
  <c r="F142" i="28"/>
  <c r="F146" i="28"/>
  <c r="F29" i="28"/>
  <c r="F41" i="28"/>
  <c r="F24" i="28"/>
  <c r="F28" i="28"/>
  <c r="F32" i="28"/>
  <c r="F36" i="28"/>
  <c r="F40" i="28"/>
  <c r="F44" i="28"/>
  <c r="F127" i="28"/>
  <c r="F131" i="28"/>
  <c r="F135" i="28"/>
  <c r="F139" i="28"/>
  <c r="F143" i="28"/>
  <c r="F147" i="28"/>
  <c r="F25" i="28"/>
  <c r="F33" i="28"/>
  <c r="F45" i="28"/>
  <c r="F132" i="28"/>
  <c r="F124" i="28"/>
  <c r="F128" i="28"/>
  <c r="F136" i="28"/>
  <c r="F144" i="28"/>
  <c r="F140" i="28"/>
  <c r="H174" i="28"/>
  <c r="H26" i="28"/>
  <c r="H30" i="28"/>
  <c r="H34" i="28"/>
  <c r="H38" i="28"/>
  <c r="H42" i="28"/>
  <c r="H46" i="28"/>
  <c r="H125" i="28"/>
  <c r="H129" i="28"/>
  <c r="H133" i="28"/>
  <c r="H137" i="28"/>
  <c r="H141" i="28"/>
  <c r="H145" i="28"/>
  <c r="H33" i="28"/>
  <c r="H45" i="28"/>
  <c r="H27" i="28"/>
  <c r="H31" i="28"/>
  <c r="H35" i="28"/>
  <c r="H39" i="28"/>
  <c r="H43" i="28"/>
  <c r="H23" i="28"/>
  <c r="H126" i="28"/>
  <c r="H130" i="28"/>
  <c r="H134" i="28"/>
  <c r="H138" i="28"/>
  <c r="H142" i="28"/>
  <c r="H146" i="28"/>
  <c r="H25" i="28"/>
  <c r="H37" i="28"/>
  <c r="H24" i="28"/>
  <c r="H28" i="28"/>
  <c r="H32" i="28"/>
  <c r="H36" i="28"/>
  <c r="H40" i="28"/>
  <c r="H68" i="28" s="1"/>
  <c r="H44" i="28"/>
  <c r="H127" i="28"/>
  <c r="H131" i="28"/>
  <c r="H135" i="28"/>
  <c r="H139" i="28"/>
  <c r="H143" i="28"/>
  <c r="H147" i="28"/>
  <c r="H29" i="28"/>
  <c r="H41" i="28"/>
  <c r="H132" i="28"/>
  <c r="H124" i="28"/>
  <c r="H128" i="28"/>
  <c r="H136" i="28"/>
  <c r="H140" i="28"/>
  <c r="H144" i="28"/>
  <c r="G174" i="28"/>
  <c r="G26" i="28"/>
  <c r="G30" i="28"/>
  <c r="G34" i="28"/>
  <c r="G38" i="28"/>
  <c r="G42" i="28"/>
  <c r="G46" i="28"/>
  <c r="G125" i="28"/>
  <c r="G129" i="28"/>
  <c r="G133" i="28"/>
  <c r="G137" i="28"/>
  <c r="G141" i="28"/>
  <c r="G145" i="28"/>
  <c r="G25" i="28"/>
  <c r="G33" i="28"/>
  <c r="G45" i="28"/>
  <c r="G27" i="28"/>
  <c r="G31" i="28"/>
  <c r="G35" i="28"/>
  <c r="G39" i="28"/>
  <c r="G43" i="28"/>
  <c r="G23" i="28"/>
  <c r="G126" i="28"/>
  <c r="G130" i="28"/>
  <c r="G134" i="28"/>
  <c r="G138" i="28"/>
  <c r="G142" i="28"/>
  <c r="G146" i="28"/>
  <c r="G37" i="28"/>
  <c r="G24" i="28"/>
  <c r="G28" i="28"/>
  <c r="G32" i="28"/>
  <c r="G36" i="28"/>
  <c r="G64" i="28" s="1"/>
  <c r="G40" i="28"/>
  <c r="G44" i="28"/>
  <c r="G127" i="28"/>
  <c r="G131" i="28"/>
  <c r="G135" i="28"/>
  <c r="G139" i="28"/>
  <c r="G143" i="28"/>
  <c r="G147" i="28"/>
  <c r="G29" i="28"/>
  <c r="G41" i="28"/>
  <c r="G69" i="28" s="1"/>
  <c r="G140" i="28"/>
  <c r="G128" i="28"/>
  <c r="G144" i="28"/>
  <c r="G132" i="28"/>
  <c r="G124" i="28"/>
  <c r="G136" i="28"/>
  <c r="E174" i="28"/>
  <c r="E26" i="28"/>
  <c r="E30" i="28"/>
  <c r="E34" i="28"/>
  <c r="E38" i="28"/>
  <c r="E42" i="28"/>
  <c r="E46" i="28"/>
  <c r="E125" i="28"/>
  <c r="E129" i="28"/>
  <c r="E133" i="28"/>
  <c r="E137" i="28"/>
  <c r="E141" i="28"/>
  <c r="E145" i="28"/>
  <c r="E33" i="28"/>
  <c r="E45" i="28"/>
  <c r="E27" i="28"/>
  <c r="E31" i="28"/>
  <c r="E35" i="28"/>
  <c r="E39" i="28"/>
  <c r="E43" i="28"/>
  <c r="E23" i="28"/>
  <c r="E126" i="28"/>
  <c r="E130" i="28"/>
  <c r="E134" i="28"/>
  <c r="E138" i="28"/>
  <c r="E142" i="28"/>
  <c r="E146" i="28"/>
  <c r="E25" i="28"/>
  <c r="E41" i="28"/>
  <c r="E24" i="28"/>
  <c r="E28" i="28"/>
  <c r="E32" i="28"/>
  <c r="E36" i="28"/>
  <c r="E40" i="28"/>
  <c r="E44" i="28"/>
  <c r="E127" i="28"/>
  <c r="E131" i="28"/>
  <c r="E135" i="28"/>
  <c r="E139" i="28"/>
  <c r="E143" i="28"/>
  <c r="E147" i="28"/>
  <c r="E29" i="28"/>
  <c r="E37" i="28"/>
  <c r="E140" i="28"/>
  <c r="E128" i="28"/>
  <c r="E144" i="28"/>
  <c r="E136" i="28"/>
  <c r="E132" i="28"/>
  <c r="E124" i="28"/>
  <c r="F121" i="23"/>
  <c r="I18" i="28"/>
  <c r="I123" i="28" s="1"/>
  <c r="I78" i="28" s="1"/>
  <c r="I175" i="28"/>
  <c r="F85" i="23"/>
  <c r="E207" i="28"/>
  <c r="G207" i="28"/>
  <c r="F207" i="28"/>
  <c r="H207" i="28"/>
  <c r="D207" i="28"/>
  <c r="B302" i="24"/>
  <c r="F203" i="28"/>
  <c r="H121" i="23" s="1"/>
  <c r="G203" i="28"/>
  <c r="I121" i="23" s="1"/>
  <c r="H203" i="28"/>
  <c r="J121" i="23" s="1"/>
  <c r="F198" i="28"/>
  <c r="H117" i="23" s="1"/>
  <c r="E198" i="28"/>
  <c r="G117" i="23" s="1"/>
  <c r="G198" i="28"/>
  <c r="I117" i="23" s="1"/>
  <c r="F117" i="23"/>
  <c r="H198" i="28"/>
  <c r="J117" i="23" s="1"/>
  <c r="G17" i="40"/>
  <c r="G114" i="40" s="1"/>
  <c r="G77" i="40" s="1"/>
  <c r="G97" i="40" s="1"/>
  <c r="E312" i="24"/>
  <c r="D312" i="24"/>
  <c r="C312" i="24"/>
  <c r="F312" i="24"/>
  <c r="B312" i="24"/>
  <c r="G205" i="28"/>
  <c r="I123" i="23" s="1"/>
  <c r="H205" i="28"/>
  <c r="J123" i="23" s="1"/>
  <c r="F123" i="23"/>
  <c r="F205" i="28"/>
  <c r="H123" i="23" s="1"/>
  <c r="H52" i="28" l="1"/>
  <c r="F60" i="28"/>
  <c r="H65" i="28"/>
  <c r="D5" i="28"/>
  <c r="H15" i="49"/>
  <c r="I15" i="49" s="1"/>
  <c r="H16" i="49"/>
  <c r="I16" i="49" s="1"/>
  <c r="H14" i="49"/>
  <c r="I14" i="49" s="1"/>
  <c r="F72" i="28"/>
  <c r="F56" i="28"/>
  <c r="E57" i="28"/>
  <c r="E64" i="28"/>
  <c r="G57" i="28"/>
  <c r="G68" i="28"/>
  <c r="G52" i="28"/>
  <c r="H69" i="28"/>
  <c r="H72" i="28"/>
  <c r="H56" i="28"/>
  <c r="F64" i="28"/>
  <c r="F65" i="28"/>
  <c r="G59" i="28"/>
  <c r="G53" i="28"/>
  <c r="E69" i="28"/>
  <c r="E60" i="28"/>
  <c r="E53" i="28"/>
  <c r="E66" i="28"/>
  <c r="E59" i="28"/>
  <c r="G51" i="28"/>
  <c r="G70" i="28"/>
  <c r="G54" i="28"/>
  <c r="H67" i="28"/>
  <c r="H74" i="28"/>
  <c r="H58" i="28"/>
  <c r="F51" i="28"/>
  <c r="F62" i="28"/>
  <c r="E68" i="28"/>
  <c r="E52" i="28"/>
  <c r="G72" i="28"/>
  <c r="G56" i="28"/>
  <c r="H60" i="28"/>
  <c r="H53" i="28"/>
  <c r="E51" i="28"/>
  <c r="D174" i="28"/>
  <c r="D26" i="28"/>
  <c r="D30" i="28"/>
  <c r="D34" i="28"/>
  <c r="D38" i="28"/>
  <c r="D42" i="28"/>
  <c r="D46" i="28"/>
  <c r="D125" i="28"/>
  <c r="D129" i="28"/>
  <c r="D133" i="28"/>
  <c r="D137" i="28"/>
  <c r="D141" i="28"/>
  <c r="D145" i="28"/>
  <c r="D29" i="28"/>
  <c r="D41" i="28"/>
  <c r="D27" i="28"/>
  <c r="D31" i="28"/>
  <c r="D35" i="28"/>
  <c r="D39" i="28"/>
  <c r="D43" i="28"/>
  <c r="D23" i="28"/>
  <c r="D126" i="28"/>
  <c r="D130" i="28"/>
  <c r="D134" i="28"/>
  <c r="D138" i="28"/>
  <c r="D142" i="28"/>
  <c r="D146" i="28"/>
  <c r="D25" i="28"/>
  <c r="D37" i="28"/>
  <c r="D128" i="28"/>
  <c r="D24" i="28"/>
  <c r="D28" i="28"/>
  <c r="D32" i="28"/>
  <c r="D36" i="28"/>
  <c r="D40" i="28"/>
  <c r="D44" i="28"/>
  <c r="D127" i="28"/>
  <c r="D131" i="28"/>
  <c r="D135" i="28"/>
  <c r="D139" i="28"/>
  <c r="D143" i="28"/>
  <c r="D147" i="28"/>
  <c r="D33" i="28"/>
  <c r="D45" i="28"/>
  <c r="D132" i="28"/>
  <c r="D124" i="28"/>
  <c r="D136" i="28"/>
  <c r="D140" i="28"/>
  <c r="D144" i="28"/>
  <c r="E71" i="28"/>
  <c r="E55" i="28"/>
  <c r="E62" i="28"/>
  <c r="G65" i="28"/>
  <c r="G71" i="28"/>
  <c r="G55" i="28"/>
  <c r="G66" i="28"/>
  <c r="H57" i="28"/>
  <c r="H63" i="28"/>
  <c r="H61" i="28"/>
  <c r="H70" i="28"/>
  <c r="H54" i="28"/>
  <c r="F61" i="28"/>
  <c r="F71" i="28"/>
  <c r="F55" i="28"/>
  <c r="F74" i="28"/>
  <c r="F58" i="28"/>
  <c r="H73" i="28"/>
  <c r="E65" i="28"/>
  <c r="E72" i="28"/>
  <c r="E56" i="28"/>
  <c r="E67" i="28"/>
  <c r="E73" i="28"/>
  <c r="E74" i="28"/>
  <c r="E58" i="28"/>
  <c r="G60" i="28"/>
  <c r="G67" i="28"/>
  <c r="G73" i="28"/>
  <c r="G62" i="28"/>
  <c r="H64" i="28"/>
  <c r="H51" i="28"/>
  <c r="H59" i="28"/>
  <c r="H66" i="28"/>
  <c r="F73" i="28"/>
  <c r="F57" i="28"/>
  <c r="F67" i="28"/>
  <c r="F70" i="28"/>
  <c r="F54" i="28"/>
  <c r="F59" i="28"/>
  <c r="E63" i="28"/>
  <c r="E61" i="28"/>
  <c r="E70" i="28"/>
  <c r="E54" i="28"/>
  <c r="G63" i="28"/>
  <c r="G61" i="28"/>
  <c r="G74" i="28"/>
  <c r="G58" i="28"/>
  <c r="H71" i="28"/>
  <c r="H55" i="28"/>
  <c r="H62" i="28"/>
  <c r="F68" i="28"/>
  <c r="F52" i="28"/>
  <c r="F69" i="28"/>
  <c r="F53" i="28"/>
  <c r="F63" i="28"/>
  <c r="F66" i="28"/>
  <c r="C245" i="24" a="1"/>
  <c r="C245" i="24" s="1"/>
  <c r="G14" i="28"/>
  <c r="G175" i="28" s="1"/>
  <c r="D59" i="28" l="1"/>
  <c r="D65" i="28"/>
  <c r="E183" i="28"/>
  <c r="H183" i="28"/>
  <c r="D64" i="28"/>
  <c r="D73" i="28"/>
  <c r="D57" i="28"/>
  <c r="F183" i="28"/>
  <c r="G183" i="28"/>
  <c r="D71" i="28"/>
  <c r="D72" i="28"/>
  <c r="D56" i="28"/>
  <c r="D61" i="28"/>
  <c r="D68" i="28"/>
  <c r="D52" i="28"/>
  <c r="D51" i="28"/>
  <c r="D55" i="28"/>
  <c r="D70" i="28"/>
  <c r="D54" i="28"/>
  <c r="D60" i="28"/>
  <c r="D66" i="28"/>
  <c r="D53" i="28"/>
  <c r="D62" i="28"/>
  <c r="D63" i="28"/>
  <c r="D67" i="28"/>
  <c r="D69" i="28"/>
  <c r="D74" i="28"/>
  <c r="D58" i="28"/>
  <c r="C250" i="24"/>
  <c r="C249" i="24"/>
  <c r="C247" i="24"/>
  <c r="C246" i="24"/>
  <c r="C248" i="24"/>
  <c r="D14" i="28"/>
  <c r="F14" i="28"/>
  <c r="F175" i="28" s="1"/>
  <c r="H14" i="28"/>
  <c r="E14" i="28"/>
  <c r="G18" i="28"/>
  <c r="G123" i="28" s="1"/>
  <c r="D183" i="28" l="1"/>
  <c r="H18" i="28"/>
  <c r="H123" i="28" s="1"/>
  <c r="H78" i="28" s="1"/>
  <c r="H106" i="28" s="1"/>
  <c r="H175" i="28"/>
  <c r="D18" i="28"/>
  <c r="D123" i="28" s="1"/>
  <c r="D78" i="28" s="1"/>
  <c r="D106" i="28" s="1"/>
  <c r="E18" i="28"/>
  <c r="E123" i="28" s="1"/>
  <c r="E78" i="28" s="1"/>
  <c r="E106" i="28" s="1"/>
  <c r="F18" i="28"/>
  <c r="F123" i="28" s="1"/>
  <c r="G78" i="28"/>
  <c r="G106" i="28" s="1"/>
  <c r="F78" i="28" l="1"/>
  <c r="F106" i="28" s="1"/>
  <c r="B293" i="40" l="1"/>
  <c r="B294" i="40" s="1"/>
  <c r="B295" i="40" s="1"/>
  <c r="B296" i="40" s="1"/>
  <c r="B297" i="40" s="1"/>
  <c r="C289" i="40"/>
  <c r="C290" i="40" s="1"/>
  <c r="B280" i="40"/>
  <c r="B281" i="40" s="1"/>
  <c r="B282" i="40" s="1"/>
  <c r="B283" i="40" s="1"/>
  <c r="B284" i="40" s="1"/>
  <c r="C276" i="40"/>
  <c r="G175" i="40"/>
  <c r="G173" i="40"/>
  <c r="F137" i="40"/>
  <c r="E137" i="40"/>
  <c r="D137" i="40"/>
  <c r="F19" i="40"/>
  <c r="F95" i="40" s="1"/>
  <c r="E19" i="40"/>
  <c r="E95" i="40" s="1"/>
  <c r="D19" i="40"/>
  <c r="D95" i="40" s="1"/>
  <c r="E15" i="40"/>
  <c r="E197" i="40" l="1"/>
  <c r="E196" i="40"/>
  <c r="E195" i="40"/>
  <c r="I321" i="23" s="1"/>
  <c r="E194" i="40"/>
  <c r="I320" i="23" s="1"/>
  <c r="I319" i="23"/>
  <c r="E188" i="40"/>
  <c r="I315" i="23" s="1"/>
  <c r="D113" i="40"/>
  <c r="D13" i="40"/>
  <c r="D166" i="40" s="1"/>
  <c r="C277" i="40"/>
  <c r="F13" i="40"/>
  <c r="F166" i="40" s="1"/>
  <c r="E13" i="40"/>
  <c r="E166" i="40" s="1"/>
  <c r="F15" i="40"/>
  <c r="D15" i="40"/>
  <c r="D173" i="40"/>
  <c r="F173" i="40"/>
  <c r="E173" i="40"/>
  <c r="C291" i="40"/>
  <c r="D197" i="40" l="1"/>
  <c r="D196" i="40"/>
  <c r="F197" i="40"/>
  <c r="F196" i="40"/>
  <c r="D195" i="40"/>
  <c r="H321" i="23" s="1"/>
  <c r="D194" i="40"/>
  <c r="H320" i="23" s="1"/>
  <c r="F195" i="40"/>
  <c r="J321" i="23" s="1"/>
  <c r="F194" i="40"/>
  <c r="J320" i="23" s="1"/>
  <c r="D188" i="40"/>
  <c r="H315" i="23" s="1"/>
  <c r="F188" i="40"/>
  <c r="J315" i="23" s="1"/>
  <c r="D175" i="40"/>
  <c r="F175" i="40"/>
  <c r="H319" i="23"/>
  <c r="J319" i="23"/>
  <c r="D17" i="40"/>
  <c r="D114" i="40" s="1"/>
  <c r="D77" i="40" s="1"/>
  <c r="D97" i="40" s="1"/>
  <c r="C278" i="40"/>
  <c r="F17" i="40"/>
  <c r="F114" i="40" s="1"/>
  <c r="F77" i="40" s="1"/>
  <c r="F97" i="40" s="1"/>
  <c r="E175" i="40"/>
  <c r="E17" i="40"/>
  <c r="E114" i="40" s="1"/>
  <c r="E77" i="40" s="1"/>
  <c r="E97" i="40" s="1"/>
  <c r="E113" i="40"/>
  <c r="F113" i="40"/>
  <c r="C292" i="40"/>
  <c r="C279" i="40" l="1"/>
  <c r="C293" i="40"/>
  <c r="C280" i="40" l="1"/>
  <c r="C294" i="40"/>
  <c r="C281" i="40" l="1"/>
  <c r="C295" i="40"/>
  <c r="C282" i="40" l="1"/>
  <c r="C296" i="40"/>
  <c r="C283" i="40" l="1"/>
  <c r="C297" i="40"/>
  <c r="C284" i="40" l="1"/>
  <c r="B335" i="24" l="1"/>
  <c r="B342" i="24" s="1"/>
  <c r="C335" i="24"/>
  <c r="C342" i="24" s="1"/>
  <c r="D335" i="24"/>
  <c r="D342" i="24" s="1"/>
  <c r="E335" i="24"/>
  <c r="E342" i="24" s="1"/>
  <c r="K108" i="23" l="1"/>
  <c r="I108" i="23"/>
  <c r="H108" i="23"/>
  <c r="J108" i="23"/>
  <c r="K109" i="23"/>
  <c r="J109" i="23"/>
  <c r="I109" i="23"/>
  <c r="H109" i="23"/>
  <c r="C173" i="34"/>
  <c r="G108" i="23"/>
  <c r="C174" i="34"/>
  <c r="G109" i="23"/>
  <c r="F174" i="34" l="1"/>
  <c r="G174" i="34"/>
  <c r="I174" i="23" s="1"/>
  <c r="I174" i="34"/>
  <c r="K174" i="23" s="1"/>
  <c r="H174" i="34"/>
  <c r="J174" i="23" s="1"/>
  <c r="F173" i="34"/>
  <c r="F175" i="34" s="1"/>
  <c r="I173" i="34"/>
  <c r="G173" i="34"/>
  <c r="G175" i="34" s="1"/>
  <c r="H173" i="34"/>
  <c r="H175" i="34" s="1"/>
  <c r="H174" i="23"/>
  <c r="H173" i="23"/>
  <c r="K173" i="23"/>
  <c r="C181" i="37"/>
  <c r="G174" i="23"/>
  <c r="C180" i="37"/>
  <c r="G173" i="23"/>
  <c r="F20" i="22"/>
  <c r="F84" i="22" s="1"/>
  <c r="J173" i="23" l="1"/>
  <c r="I173" i="23"/>
  <c r="I175" i="34"/>
  <c r="C180" i="48"/>
  <c r="F180" i="37"/>
  <c r="G180" i="37"/>
  <c r="H180" i="37"/>
  <c r="I180" i="37"/>
  <c r="K238" i="23" s="1"/>
  <c r="C181" i="48"/>
  <c r="F181" i="37"/>
  <c r="G181" i="37"/>
  <c r="I181" i="37"/>
  <c r="K239" i="23" s="1"/>
  <c r="H181" i="37"/>
  <c r="C180" i="41"/>
  <c r="C181" i="40"/>
  <c r="C181" i="41"/>
  <c r="C182" i="40"/>
  <c r="F16" i="22"/>
  <c r="F182" i="22" s="1"/>
  <c r="I5" i="23"/>
  <c r="K5" i="23"/>
  <c r="H5" i="23"/>
  <c r="F126" i="22"/>
  <c r="F129" i="22" s="1"/>
  <c r="F202" i="22"/>
  <c r="F314" i="22"/>
  <c r="E328" i="37"/>
  <c r="B292" i="37"/>
  <c r="B293" i="37" s="1"/>
  <c r="B294" i="37" s="1"/>
  <c r="B295" i="37" s="1"/>
  <c r="B296" i="37" s="1"/>
  <c r="C288" i="37"/>
  <c r="C289" i="37" s="1"/>
  <c r="B279" i="37"/>
  <c r="B280" i="37" s="1"/>
  <c r="B281" i="37" s="1"/>
  <c r="B282" i="37" s="1"/>
  <c r="B283" i="37" s="1"/>
  <c r="C275" i="37"/>
  <c r="I174" i="37"/>
  <c r="I172" i="37"/>
  <c r="H137" i="37"/>
  <c r="G137" i="37"/>
  <c r="F137" i="37"/>
  <c r="E137" i="37"/>
  <c r="D137" i="37"/>
  <c r="H19" i="37"/>
  <c r="H95" i="37" s="1"/>
  <c r="G19" i="37"/>
  <c r="G95" i="37" s="1"/>
  <c r="F19" i="37"/>
  <c r="F95" i="37" s="1"/>
  <c r="E19" i="37"/>
  <c r="E95" i="37" s="1"/>
  <c r="D19" i="37"/>
  <c r="D95" i="37" s="1"/>
  <c r="B333" i="24"/>
  <c r="G183" i="37" l="1"/>
  <c r="F183" i="37"/>
  <c r="F181" i="40"/>
  <c r="J306" i="23" s="1"/>
  <c r="E181" i="40"/>
  <c r="I306" i="23" s="1"/>
  <c r="G181" i="40"/>
  <c r="F181" i="48"/>
  <c r="G181" i="48"/>
  <c r="E181" i="48"/>
  <c r="E180" i="41"/>
  <c r="G180" i="41"/>
  <c r="F180" i="41"/>
  <c r="J372" i="23" s="1"/>
  <c r="I183" i="37"/>
  <c r="G180" i="48"/>
  <c r="E180" i="48"/>
  <c r="F180" i="48"/>
  <c r="F183" i="48" s="1"/>
  <c r="G181" i="41"/>
  <c r="E181" i="41"/>
  <c r="I373" i="23" s="1"/>
  <c r="F181" i="41"/>
  <c r="E182" i="40"/>
  <c r="I307" i="23" s="1"/>
  <c r="F182" i="40"/>
  <c r="J307" i="23" s="1"/>
  <c r="G182" i="40"/>
  <c r="K307" i="23" s="1"/>
  <c r="H183" i="37"/>
  <c r="J373" i="23"/>
  <c r="K373" i="23"/>
  <c r="K372" i="23"/>
  <c r="F178" i="22"/>
  <c r="H51" i="23" s="1"/>
  <c r="F173" i="22"/>
  <c r="H47" i="23" s="1"/>
  <c r="H373" i="23"/>
  <c r="H306" i="23"/>
  <c r="H307" i="23"/>
  <c r="H372" i="23"/>
  <c r="F335" i="24"/>
  <c r="F342" i="24" s="1"/>
  <c r="G172" i="37"/>
  <c r="C276" i="37"/>
  <c r="C277" i="37" s="1"/>
  <c r="C278" i="37" s="1"/>
  <c r="F136" i="22"/>
  <c r="F134" i="22"/>
  <c r="F144" i="22"/>
  <c r="H13" i="37"/>
  <c r="H166" i="37" s="1"/>
  <c r="F142" i="22"/>
  <c r="F130" i="22"/>
  <c r="E172" i="37"/>
  <c r="F138" i="22"/>
  <c r="F128" i="22"/>
  <c r="F102" i="22"/>
  <c r="E13" i="37"/>
  <c r="F13" i="37"/>
  <c r="F166" i="37" s="1"/>
  <c r="F113" i="37"/>
  <c r="F140" i="22"/>
  <c r="F132" i="22"/>
  <c r="F180" i="22"/>
  <c r="H53" i="23" s="1"/>
  <c r="F143" i="22"/>
  <c r="F139" i="22"/>
  <c r="F135" i="22"/>
  <c r="F131" i="22"/>
  <c r="F127" i="22"/>
  <c r="F141" i="22"/>
  <c r="F137" i="22"/>
  <c r="F133" i="22"/>
  <c r="H113" i="37"/>
  <c r="G13" i="37"/>
  <c r="G166" i="37" s="1"/>
  <c r="D13" i="37"/>
  <c r="E113" i="37"/>
  <c r="F172" i="37"/>
  <c r="D172" i="37"/>
  <c r="H172" i="37"/>
  <c r="C290" i="37"/>
  <c r="B316" i="24"/>
  <c r="G183" i="48" l="1"/>
  <c r="E184" i="40"/>
  <c r="E183" i="41"/>
  <c r="F183" i="41"/>
  <c r="F184" i="40"/>
  <c r="G184" i="40"/>
  <c r="K306" i="23"/>
  <c r="I372" i="23"/>
  <c r="E183" i="48"/>
  <c r="G183" i="41"/>
  <c r="I238" i="23"/>
  <c r="I239" i="23"/>
  <c r="J238" i="23"/>
  <c r="J239" i="23"/>
  <c r="F17" i="37"/>
  <c r="F114" i="37" s="1"/>
  <c r="F77" i="37" s="1"/>
  <c r="F97" i="37" s="1"/>
  <c r="H238" i="23"/>
  <c r="H239" i="23"/>
  <c r="G239" i="23"/>
  <c r="G238" i="23"/>
  <c r="H17" i="37"/>
  <c r="H114" i="37" s="1"/>
  <c r="H77" i="37" s="1"/>
  <c r="H97" i="37" s="1"/>
  <c r="H174" i="37"/>
  <c r="E174" i="37"/>
  <c r="G174" i="37"/>
  <c r="E17" i="37"/>
  <c r="E114" i="37" s="1"/>
  <c r="E77" i="37" s="1"/>
  <c r="E97" i="37" s="1"/>
  <c r="F174" i="37"/>
  <c r="D174" i="37"/>
  <c r="C291" i="37"/>
  <c r="D113" i="37"/>
  <c r="D17" i="37"/>
  <c r="D114" i="37" s="1"/>
  <c r="D77" i="37" s="1"/>
  <c r="D97" i="37" s="1"/>
  <c r="G113" i="37"/>
  <c r="C279" i="37"/>
  <c r="G17" i="37"/>
  <c r="G114" i="37" s="1"/>
  <c r="G77" i="37" s="1"/>
  <c r="G97" i="37" s="1"/>
  <c r="F15" i="37" l="1"/>
  <c r="E15" i="37"/>
  <c r="H15" i="37"/>
  <c r="G15" i="37"/>
  <c r="C292" i="37"/>
  <c r="C280" i="37"/>
  <c r="F193" i="37" l="1"/>
  <c r="F195" i="37"/>
  <c r="G193" i="37"/>
  <c r="I252" i="23" s="1"/>
  <c r="G195" i="37"/>
  <c r="H193" i="37"/>
  <c r="J252" i="23" s="1"/>
  <c r="H195" i="37"/>
  <c r="G252" i="23"/>
  <c r="J251" i="23"/>
  <c r="H187" i="37"/>
  <c r="J247" i="23" s="1"/>
  <c r="I251" i="23"/>
  <c r="G187" i="37"/>
  <c r="I247" i="23" s="1"/>
  <c r="G251" i="23"/>
  <c r="E187" i="37"/>
  <c r="G247" i="23" s="1"/>
  <c r="H251" i="23"/>
  <c r="F187" i="37"/>
  <c r="H247" i="23" s="1"/>
  <c r="J253" i="23"/>
  <c r="G253" i="23"/>
  <c r="D15" i="37"/>
  <c r="I253" i="23"/>
  <c r="H253" i="23"/>
  <c r="H252" i="23"/>
  <c r="C293" i="37"/>
  <c r="C281" i="37"/>
  <c r="F252" i="23" l="1"/>
  <c r="F251" i="23"/>
  <c r="D187" i="37"/>
  <c r="F247" i="23" s="1"/>
  <c r="F253" i="23"/>
  <c r="C294" i="37"/>
  <c r="C282" i="37"/>
  <c r="C283" i="37" l="1"/>
  <c r="C295" i="37"/>
  <c r="D17" i="41"/>
  <c r="D114" i="41" s="1"/>
  <c r="E17" i="41"/>
  <c r="E114" i="41" s="1"/>
  <c r="F17" i="41"/>
  <c r="F114" i="41" s="1"/>
  <c r="G17" i="41"/>
  <c r="G114" i="41" s="1"/>
  <c r="D77" i="41" l="1"/>
  <c r="F77" i="41"/>
  <c r="G77" i="41"/>
  <c r="E77" i="41"/>
  <c r="E318" i="24"/>
  <c r="E384" i="24" s="1"/>
  <c r="E391" i="24" s="1"/>
  <c r="E393" i="24" s="1"/>
  <c r="D318" i="24"/>
  <c r="D384" i="24" s="1"/>
  <c r="D391" i="24" s="1"/>
  <c r="D393" i="24" s="1"/>
  <c r="F318" i="24"/>
  <c r="F325" i="24" s="1"/>
  <c r="C296" i="37"/>
  <c r="D386" i="24" l="1"/>
  <c r="D383" i="24"/>
  <c r="D394" i="24"/>
  <c r="D395" i="24" s="1"/>
  <c r="E394" i="24"/>
  <c r="E395" i="24" s="1"/>
  <c r="E386" i="24"/>
  <c r="E383" i="24"/>
  <c r="E97" i="41"/>
  <c r="G97" i="41"/>
  <c r="F97" i="41"/>
  <c r="D97" i="41"/>
  <c r="C325" i="24"/>
  <c r="C368" i="24"/>
  <c r="C375" i="24" s="1"/>
  <c r="D325" i="24"/>
  <c r="D368" i="24"/>
  <c r="D375" i="24" s="1"/>
  <c r="B325" i="24"/>
  <c r="B375" i="24"/>
  <c r="E325" i="24"/>
  <c r="E368" i="24"/>
  <c r="E375" i="24" s="1"/>
  <c r="G15" i="34"/>
  <c r="G185" i="34" s="1"/>
  <c r="H15" i="34"/>
  <c r="H185" i="34" s="1"/>
  <c r="H73" i="23"/>
  <c r="H138" i="23" s="1"/>
  <c r="I73" i="23"/>
  <c r="I138" i="23" s="1"/>
  <c r="J73" i="23"/>
  <c r="J138" i="23" s="1"/>
  <c r="E320" i="34"/>
  <c r="B284" i="34"/>
  <c r="B285" i="34" s="1"/>
  <c r="B286" i="34" s="1"/>
  <c r="B287" i="34" s="1"/>
  <c r="B288" i="34" s="1"/>
  <c r="C280" i="34"/>
  <c r="C281" i="34" s="1"/>
  <c r="B271" i="34"/>
  <c r="B272" i="34" s="1"/>
  <c r="B273" i="34" s="1"/>
  <c r="B274" i="34" s="1"/>
  <c r="B275" i="34" s="1"/>
  <c r="C267" i="34"/>
  <c r="C268" i="34" s="1"/>
  <c r="I165" i="34"/>
  <c r="H19" i="34"/>
  <c r="H95" i="34" s="1"/>
  <c r="G19" i="34"/>
  <c r="G95" i="34" s="1"/>
  <c r="F19" i="34"/>
  <c r="F95" i="34" s="1"/>
  <c r="E19" i="34"/>
  <c r="E95" i="34" s="1"/>
  <c r="D19" i="34"/>
  <c r="D95" i="34" s="1"/>
  <c r="F15" i="34"/>
  <c r="F185" i="34" s="1"/>
  <c r="E15" i="34"/>
  <c r="G187" i="23" l="1"/>
  <c r="I187" i="23"/>
  <c r="G187" i="34"/>
  <c r="F187" i="34"/>
  <c r="J187" i="23"/>
  <c r="H187" i="34"/>
  <c r="E385" i="24"/>
  <c r="K413" i="23"/>
  <c r="G4" i="48" s="1"/>
  <c r="D385" i="24"/>
  <c r="J413" i="23"/>
  <c r="F4" i="48" s="1"/>
  <c r="H186" i="23"/>
  <c r="F179" i="34"/>
  <c r="H182" i="23" s="1"/>
  <c r="J186" i="23"/>
  <c r="H179" i="34"/>
  <c r="J182" i="23" s="1"/>
  <c r="G186" i="23"/>
  <c r="E179" i="34"/>
  <c r="G182" i="23" s="1"/>
  <c r="I186" i="23"/>
  <c r="G179" i="34"/>
  <c r="I182" i="23" s="1"/>
  <c r="E165" i="34"/>
  <c r="F165" i="34"/>
  <c r="J188" i="23"/>
  <c r="G188" i="23"/>
  <c r="H188" i="23"/>
  <c r="H187" i="23"/>
  <c r="I188" i="23"/>
  <c r="D113" i="34"/>
  <c r="H113" i="34"/>
  <c r="D15" i="34"/>
  <c r="G113" i="34"/>
  <c r="E113" i="34"/>
  <c r="F113" i="34"/>
  <c r="G165" i="34"/>
  <c r="C282" i="34"/>
  <c r="D165" i="34"/>
  <c r="H165" i="34"/>
  <c r="C269" i="34"/>
  <c r="F139" i="48" l="1"/>
  <c r="F143" i="48"/>
  <c r="F147" i="48"/>
  <c r="F151" i="48"/>
  <c r="F155" i="48"/>
  <c r="F159" i="48"/>
  <c r="F140" i="48"/>
  <c r="F144" i="48"/>
  <c r="F148" i="48"/>
  <c r="F152" i="48"/>
  <c r="F156" i="48"/>
  <c r="F160" i="48"/>
  <c r="F141" i="48"/>
  <c r="F149" i="48"/>
  <c r="F153" i="48"/>
  <c r="F157" i="48"/>
  <c r="F161" i="48"/>
  <c r="F142" i="48"/>
  <c r="F145" i="48"/>
  <c r="F146" i="48"/>
  <c r="F138" i="48"/>
  <c r="F154" i="48"/>
  <c r="F158" i="48"/>
  <c r="F150" i="48"/>
  <c r="G139" i="48"/>
  <c r="G143" i="48"/>
  <c r="G147" i="48"/>
  <c r="G151" i="48"/>
  <c r="G155" i="48"/>
  <c r="G159" i="48"/>
  <c r="G140" i="48"/>
  <c r="G144" i="48"/>
  <c r="G148" i="48"/>
  <c r="G152" i="48"/>
  <c r="G156" i="48"/>
  <c r="G160" i="48"/>
  <c r="G141" i="48"/>
  <c r="G145" i="48"/>
  <c r="G153" i="48"/>
  <c r="G161" i="48"/>
  <c r="G149" i="48"/>
  <c r="G157" i="48"/>
  <c r="G154" i="48"/>
  <c r="G142" i="48"/>
  <c r="G146" i="48"/>
  <c r="G138" i="48"/>
  <c r="G150" i="48"/>
  <c r="G158" i="48"/>
  <c r="F112" i="48"/>
  <c r="F130" i="48" s="1"/>
  <c r="F165" i="48"/>
  <c r="G112" i="48"/>
  <c r="G26" i="48" s="1"/>
  <c r="G165" i="48"/>
  <c r="F27" i="48"/>
  <c r="G27" i="48"/>
  <c r="D179" i="34"/>
  <c r="C283" i="34"/>
  <c r="C270" i="34"/>
  <c r="A163" i="24" a="1"/>
  <c r="A163" i="24" s="1"/>
  <c r="G129" i="48" l="1"/>
  <c r="G130" i="48"/>
  <c r="G127" i="48"/>
  <c r="G128" i="48"/>
  <c r="G131" i="48"/>
  <c r="G132" i="48"/>
  <c r="G54" i="48"/>
  <c r="F55" i="48"/>
  <c r="G55" i="48"/>
  <c r="G28" i="48"/>
  <c r="G56" i="48" s="1"/>
  <c r="F35" i="48"/>
  <c r="F63" i="48" s="1"/>
  <c r="F39" i="48"/>
  <c r="F67" i="48" s="1"/>
  <c r="F43" i="48"/>
  <c r="F71" i="48" s="1"/>
  <c r="F34" i="48"/>
  <c r="F62" i="48" s="1"/>
  <c r="F36" i="48"/>
  <c r="F64" i="48" s="1"/>
  <c r="F40" i="48"/>
  <c r="F68" i="48" s="1"/>
  <c r="F44" i="48"/>
  <c r="F72" i="48" s="1"/>
  <c r="F42" i="48"/>
  <c r="F70" i="48" s="1"/>
  <c r="F33" i="48"/>
  <c r="F61" i="48" s="1"/>
  <c r="F37" i="48"/>
  <c r="F65" i="48" s="1"/>
  <c r="F41" i="48"/>
  <c r="F69" i="48" s="1"/>
  <c r="F45" i="48"/>
  <c r="F73" i="48" s="1"/>
  <c r="F38" i="48"/>
  <c r="F66" i="48" s="1"/>
  <c r="G32" i="48"/>
  <c r="G60" i="48" s="1"/>
  <c r="G36" i="48"/>
  <c r="G64" i="48" s="1"/>
  <c r="G40" i="48"/>
  <c r="G68" i="48" s="1"/>
  <c r="G44" i="48"/>
  <c r="G72" i="48" s="1"/>
  <c r="G31" i="48"/>
  <c r="G59" i="48" s="1"/>
  <c r="G43" i="48"/>
  <c r="G71" i="48" s="1"/>
  <c r="G33" i="48"/>
  <c r="G61" i="48" s="1"/>
  <c r="G37" i="48"/>
  <c r="G65" i="48" s="1"/>
  <c r="G41" i="48"/>
  <c r="G69" i="48" s="1"/>
  <c r="G45" i="48"/>
  <c r="G73" i="48" s="1"/>
  <c r="G39" i="48"/>
  <c r="G67" i="48" s="1"/>
  <c r="G34" i="48"/>
  <c r="G62" i="48" s="1"/>
  <c r="G38" i="48"/>
  <c r="G66" i="48" s="1"/>
  <c r="G42" i="48"/>
  <c r="G70" i="48" s="1"/>
  <c r="G35" i="48"/>
  <c r="G63" i="48" s="1"/>
  <c r="F25" i="48"/>
  <c r="F53" i="48" s="1"/>
  <c r="F28" i="48"/>
  <c r="F56" i="48" s="1"/>
  <c r="F22" i="48"/>
  <c r="F23" i="48"/>
  <c r="F51" i="48" s="1"/>
  <c r="F131" i="48"/>
  <c r="F129" i="48"/>
  <c r="F24" i="48"/>
  <c r="F52" i="48" s="1"/>
  <c r="F31" i="48"/>
  <c r="F59" i="48" s="1"/>
  <c r="F30" i="48"/>
  <c r="F58" i="48" s="1"/>
  <c r="F29" i="48"/>
  <c r="F57" i="48" s="1"/>
  <c r="F32" i="48"/>
  <c r="F60" i="48" s="1"/>
  <c r="F128" i="48"/>
  <c r="F127" i="48"/>
  <c r="F26" i="48"/>
  <c r="F54" i="48" s="1"/>
  <c r="F132" i="48"/>
  <c r="G29" i="48"/>
  <c r="G57" i="48" s="1"/>
  <c r="G30" i="48"/>
  <c r="G58" i="48" s="1"/>
  <c r="G25" i="48"/>
  <c r="G53" i="48" s="1"/>
  <c r="G23" i="48"/>
  <c r="G51" i="48" s="1"/>
  <c r="G22" i="48"/>
  <c r="G24" i="48"/>
  <c r="G52" i="48" s="1"/>
  <c r="A165" i="24"/>
  <c r="C284" i="34"/>
  <c r="C271" i="34"/>
  <c r="A164" i="24"/>
  <c r="G78" i="48" l="1"/>
  <c r="G98" i="48" s="1"/>
  <c r="G50" i="48"/>
  <c r="G173" i="48" s="1"/>
  <c r="F78" i="48"/>
  <c r="F79" i="48" s="1"/>
  <c r="F50" i="48"/>
  <c r="F173" i="48" s="1"/>
  <c r="G79" i="48"/>
  <c r="C272" i="34"/>
  <c r="C285" i="34"/>
  <c r="F98" i="48" l="1"/>
  <c r="F99" i="48"/>
  <c r="F80" i="48"/>
  <c r="G99" i="48"/>
  <c r="G80" i="48"/>
  <c r="C286" i="34"/>
  <c r="C273" i="34"/>
  <c r="G81" i="48" l="1"/>
  <c r="G100" i="48"/>
  <c r="F81" i="48"/>
  <c r="F100" i="48"/>
  <c r="C274" i="34"/>
  <c r="C287" i="34"/>
  <c r="F101" i="48" l="1"/>
  <c r="F82" i="48"/>
  <c r="G101" i="48"/>
  <c r="G82" i="48"/>
  <c r="C288" i="34"/>
  <c r="C275" i="34"/>
  <c r="G83" i="48" l="1"/>
  <c r="G102" i="48"/>
  <c r="F102" i="48"/>
  <c r="F83" i="48"/>
  <c r="D202" i="22"/>
  <c r="G202" i="22"/>
  <c r="E202" i="22"/>
  <c r="F103" i="48" l="1"/>
  <c r="F84" i="48"/>
  <c r="G103" i="48"/>
  <c r="G84" i="48"/>
  <c r="I184" i="28"/>
  <c r="D184" i="28"/>
  <c r="F184" i="28"/>
  <c r="G184" i="28"/>
  <c r="H184" i="28"/>
  <c r="E184" i="28"/>
  <c r="I202" i="22"/>
  <c r="G85" i="48" l="1"/>
  <c r="G104" i="48"/>
  <c r="F104" i="48"/>
  <c r="F85" i="48"/>
  <c r="G122" i="23"/>
  <c r="H122" i="23"/>
  <c r="I122" i="23"/>
  <c r="F122" i="23"/>
  <c r="J122" i="23"/>
  <c r="F105" i="48" l="1"/>
  <c r="F86" i="48"/>
  <c r="G105" i="48"/>
  <c r="G86" i="48"/>
  <c r="K168" i="23"/>
  <c r="K233" i="23"/>
  <c r="K103" i="23"/>
  <c r="K301" i="23"/>
  <c r="K170" i="23"/>
  <c r="K105" i="23"/>
  <c r="K303" i="23"/>
  <c r="K235" i="23"/>
  <c r="K169" i="23"/>
  <c r="K104" i="23"/>
  <c r="K302" i="23"/>
  <c r="K234" i="23"/>
  <c r="C161" i="24"/>
  <c r="G204" i="22"/>
  <c r="I204" i="22" s="1"/>
  <c r="F204" i="22"/>
  <c r="D204" i="22"/>
  <c r="E204" i="22"/>
  <c r="C132" i="24"/>
  <c r="C135" i="24" s="1"/>
  <c r="D165" i="45" s="1"/>
  <c r="C66" i="24"/>
  <c r="G106" i="48" l="1"/>
  <c r="G87" i="48"/>
  <c r="F200" i="48"/>
  <c r="D200" i="48"/>
  <c r="G200" i="48"/>
  <c r="E200" i="48"/>
  <c r="F106" i="48"/>
  <c r="F87" i="48"/>
  <c r="G65" i="24"/>
  <c r="H181" i="22"/>
  <c r="J54" i="23" s="1"/>
  <c r="J33" i="23"/>
  <c r="J34" i="23"/>
  <c r="J35" i="23"/>
  <c r="F181" i="22"/>
  <c r="H54" i="23" s="1"/>
  <c r="D181" i="22"/>
  <c r="D166" i="24"/>
  <c r="D167" i="24"/>
  <c r="D165" i="24"/>
  <c r="D168" i="24"/>
  <c r="D164" i="24"/>
  <c r="D163" i="24"/>
  <c r="C138" i="24"/>
  <c r="G165" i="45" s="1"/>
  <c r="C137" i="24"/>
  <c r="F165" i="45" s="1"/>
  <c r="C139" i="24"/>
  <c r="H165" i="45" s="1"/>
  <c r="C134" i="24"/>
  <c r="C165" i="45" s="1"/>
  <c r="C136" i="24"/>
  <c r="E165" i="45" s="1"/>
  <c r="K124" i="23"/>
  <c r="K254" i="23"/>
  <c r="G124" i="23"/>
  <c r="F124" i="23"/>
  <c r="I124" i="23"/>
  <c r="H124" i="23"/>
  <c r="J124" i="23"/>
  <c r="J254" i="23"/>
  <c r="G254" i="23"/>
  <c r="I254" i="23"/>
  <c r="H254" i="23"/>
  <c r="F254" i="23"/>
  <c r="H189" i="23"/>
  <c r="J189" i="23"/>
  <c r="G189" i="23"/>
  <c r="I189" i="23"/>
  <c r="J388" i="23"/>
  <c r="J322" i="23"/>
  <c r="I388" i="23"/>
  <c r="I322" i="23"/>
  <c r="H322" i="23"/>
  <c r="K322" i="23"/>
  <c r="H388" i="23"/>
  <c r="K388" i="23"/>
  <c r="I389" i="23"/>
  <c r="H389" i="23"/>
  <c r="J55" i="23"/>
  <c r="J389" i="23"/>
  <c r="K389" i="23"/>
  <c r="K190" i="23"/>
  <c r="K255" i="23"/>
  <c r="K323" i="23"/>
  <c r="F33" i="23"/>
  <c r="K33" i="23"/>
  <c r="H33" i="23"/>
  <c r="G33" i="23"/>
  <c r="I33" i="23"/>
  <c r="I34" i="23"/>
  <c r="F34" i="23"/>
  <c r="K34" i="23"/>
  <c r="G34" i="23"/>
  <c r="H34" i="23"/>
  <c r="I103" i="23"/>
  <c r="F103" i="23"/>
  <c r="J103" i="23"/>
  <c r="G103" i="23"/>
  <c r="H103" i="23"/>
  <c r="J235" i="23"/>
  <c r="G235" i="23"/>
  <c r="H235" i="23"/>
  <c r="I235" i="23"/>
  <c r="F235" i="23"/>
  <c r="H302" i="23"/>
  <c r="I302" i="23"/>
  <c r="J302" i="23"/>
  <c r="H104" i="23"/>
  <c r="I104" i="23"/>
  <c r="F104" i="23"/>
  <c r="J104" i="23"/>
  <c r="G104" i="23"/>
  <c r="J303" i="23"/>
  <c r="I303" i="23"/>
  <c r="H303" i="23"/>
  <c r="J170" i="23"/>
  <c r="H170" i="23"/>
  <c r="G170" i="23"/>
  <c r="I170" i="23"/>
  <c r="F35" i="23"/>
  <c r="K35" i="23"/>
  <c r="H35" i="23"/>
  <c r="I35" i="23"/>
  <c r="G35" i="23"/>
  <c r="J233" i="23"/>
  <c r="G233" i="23"/>
  <c r="H233" i="23"/>
  <c r="I233" i="23"/>
  <c r="F233" i="23"/>
  <c r="H234" i="23"/>
  <c r="I234" i="23"/>
  <c r="G234" i="23"/>
  <c r="F234" i="23"/>
  <c r="J234" i="23"/>
  <c r="H169" i="23"/>
  <c r="I169" i="23"/>
  <c r="J169" i="23"/>
  <c r="G169" i="23"/>
  <c r="G105" i="23"/>
  <c r="H105" i="23"/>
  <c r="I105" i="23"/>
  <c r="F105" i="23"/>
  <c r="J105" i="23"/>
  <c r="I301" i="23"/>
  <c r="H301" i="23"/>
  <c r="J301" i="23"/>
  <c r="J168" i="23"/>
  <c r="H168" i="23"/>
  <c r="G168" i="23"/>
  <c r="I168" i="23"/>
  <c r="I125" i="23"/>
  <c r="F125" i="23"/>
  <c r="J125" i="23"/>
  <c r="G125" i="23"/>
  <c r="H125" i="23"/>
  <c r="I323" i="23"/>
  <c r="H323" i="23"/>
  <c r="J323" i="23"/>
  <c r="J255" i="23"/>
  <c r="I255" i="23"/>
  <c r="G255" i="23"/>
  <c r="H55" i="23"/>
  <c r="J190" i="23"/>
  <c r="I190" i="23"/>
  <c r="H190" i="23"/>
  <c r="G190" i="23"/>
  <c r="F55" i="23"/>
  <c r="B22" i="24"/>
  <c r="F107" i="48" l="1"/>
  <c r="F88" i="48"/>
  <c r="G107" i="48"/>
  <c r="G88" i="48"/>
  <c r="B24" i="24"/>
  <c r="D168" i="45"/>
  <c r="D185" i="45" s="1"/>
  <c r="D199" i="45" s="1"/>
  <c r="D201" i="45" s="1"/>
  <c r="D203" i="45" s="1"/>
  <c r="J40" i="23"/>
  <c r="I36" i="23"/>
  <c r="K390" i="23"/>
  <c r="I390" i="23"/>
  <c r="E153" i="24"/>
  <c r="E143" i="24"/>
  <c r="G143" i="24"/>
  <c r="G147" i="24" s="1"/>
  <c r="J126" i="23"/>
  <c r="H390" i="23"/>
  <c r="F126" i="23"/>
  <c r="J56" i="23"/>
  <c r="J256" i="23"/>
  <c r="I324" i="23"/>
  <c r="K324" i="23"/>
  <c r="K256" i="23"/>
  <c r="J390" i="23"/>
  <c r="G126" i="23"/>
  <c r="H191" i="23"/>
  <c r="J324" i="23"/>
  <c r="F199" i="37"/>
  <c r="H255" i="23"/>
  <c r="H256" i="23" s="1"/>
  <c r="I191" i="23"/>
  <c r="G256" i="23"/>
  <c r="H324" i="23"/>
  <c r="H126" i="23"/>
  <c r="I191" i="34"/>
  <c r="K189" i="23"/>
  <c r="K191" i="23" s="1"/>
  <c r="G191" i="23"/>
  <c r="I126" i="23"/>
  <c r="D199" i="37"/>
  <c r="F255" i="23"/>
  <c r="F256" i="23" s="1"/>
  <c r="J191" i="23"/>
  <c r="I256" i="23"/>
  <c r="I210" i="28"/>
  <c r="K125" i="23"/>
  <c r="K126" i="23" s="1"/>
  <c r="E200" i="41"/>
  <c r="F200" i="41"/>
  <c r="G200" i="41"/>
  <c r="G172" i="24"/>
  <c r="C172" i="24"/>
  <c r="D200" i="41"/>
  <c r="H185" i="22"/>
  <c r="C153" i="24"/>
  <c r="C156" i="24" s="1"/>
  <c r="I199" i="37"/>
  <c r="G200" i="40"/>
  <c r="F210" i="28"/>
  <c r="G210" i="28"/>
  <c r="E210" i="28"/>
  <c r="H210" i="28"/>
  <c r="D210" i="28"/>
  <c r="D200" i="40"/>
  <c r="E200" i="40"/>
  <c r="F200" i="40"/>
  <c r="G199" i="37"/>
  <c r="C143" i="24"/>
  <c r="E199" i="37"/>
  <c r="H199" i="37"/>
  <c r="F179" i="22"/>
  <c r="H52" i="23" s="1"/>
  <c r="H56" i="23" s="1"/>
  <c r="G89" i="48" l="1"/>
  <c r="G90" i="48" s="1"/>
  <c r="G91" i="48" s="1"/>
  <c r="G92" i="48" s="1"/>
  <c r="G108" i="48"/>
  <c r="G110" i="48" s="1"/>
  <c r="G170" i="48" s="1"/>
  <c r="F108" i="48"/>
  <c r="F110" i="48" s="1"/>
  <c r="F170" i="48" s="1"/>
  <c r="F89" i="48"/>
  <c r="F90" i="48" s="1"/>
  <c r="F91" i="48" s="1"/>
  <c r="F92" i="48" s="1"/>
  <c r="C168" i="45"/>
  <c r="C185" i="45" s="1"/>
  <c r="C326" i="45" s="1"/>
  <c r="F168" i="45"/>
  <c r="E168" i="45"/>
  <c r="E185" i="45" s="1"/>
  <c r="E199" i="45" s="1"/>
  <c r="E201" i="45" s="1"/>
  <c r="E203" i="45" s="1"/>
  <c r="G168" i="45"/>
  <c r="H168" i="45"/>
  <c r="J46" i="23"/>
  <c r="J48" i="23" s="1"/>
  <c r="E147" i="24"/>
  <c r="E145" i="24"/>
  <c r="G149" i="24"/>
  <c r="G174" i="24"/>
  <c r="H374" i="23" s="1"/>
  <c r="G177" i="24"/>
  <c r="G175" i="24"/>
  <c r="G176" i="24"/>
  <c r="D175" i="24"/>
  <c r="D174" i="24"/>
  <c r="D177" i="24"/>
  <c r="D176" i="24"/>
  <c r="E156" i="24"/>
  <c r="E155" i="24"/>
  <c r="E158" i="24"/>
  <c r="E157" i="24"/>
  <c r="G145" i="24"/>
  <c r="G148" i="24"/>
  <c r="G150" i="24"/>
  <c r="K236" i="23" s="1"/>
  <c r="G146" i="24"/>
  <c r="E149" i="24"/>
  <c r="E146" i="24"/>
  <c r="E150" i="24"/>
  <c r="K171" i="23" s="1"/>
  <c r="D189" i="41"/>
  <c r="F189" i="41"/>
  <c r="G189" i="41"/>
  <c r="E148" i="24"/>
  <c r="E189" i="41"/>
  <c r="I380" i="23"/>
  <c r="I382" i="23" s="1"/>
  <c r="G189" i="40"/>
  <c r="K314" i="23"/>
  <c r="K316" i="23" s="1"/>
  <c r="I188" i="37"/>
  <c r="K246" i="23"/>
  <c r="K248" i="23" s="1"/>
  <c r="I180" i="34"/>
  <c r="K181" i="23"/>
  <c r="K183" i="23" s="1"/>
  <c r="C157" i="24"/>
  <c r="C155" i="24"/>
  <c r="H36" i="23"/>
  <c r="K36" i="23"/>
  <c r="F36" i="23"/>
  <c r="J36" i="23"/>
  <c r="G36" i="23"/>
  <c r="C148" i="24"/>
  <c r="C145" i="24"/>
  <c r="C150" i="24"/>
  <c r="C149" i="24"/>
  <c r="C146" i="24"/>
  <c r="C147" i="24"/>
  <c r="C158" i="24"/>
  <c r="F246" i="23"/>
  <c r="J246" i="23"/>
  <c r="G246" i="23"/>
  <c r="I246" i="23"/>
  <c r="H246" i="23"/>
  <c r="F46" i="23"/>
  <c r="I46" i="23"/>
  <c r="G46" i="23"/>
  <c r="H46" i="23"/>
  <c r="K46" i="23"/>
  <c r="I181" i="23"/>
  <c r="J181" i="23"/>
  <c r="G181" i="23"/>
  <c r="H181" i="23"/>
  <c r="H314" i="23"/>
  <c r="J314" i="23"/>
  <c r="I314" i="23"/>
  <c r="H174" i="22" l="1"/>
  <c r="C317" i="45"/>
  <c r="C318" i="45" s="1"/>
  <c r="D318" i="45" s="1"/>
  <c r="E318" i="45" s="1"/>
  <c r="C199" i="45"/>
  <c r="C201" i="45" s="1"/>
  <c r="H201" i="45" s="1"/>
  <c r="H203" i="45" s="1"/>
  <c r="H204" i="45" s="1"/>
  <c r="K308" i="23"/>
  <c r="I374" i="23"/>
  <c r="I308" i="23"/>
  <c r="H308" i="23"/>
  <c r="H380" i="23"/>
  <c r="H382" i="23" s="1"/>
  <c r="J380" i="23"/>
  <c r="J382" i="23" s="1"/>
  <c r="K380" i="23"/>
  <c r="K382" i="23" s="1"/>
  <c r="K106" i="23"/>
  <c r="F106" i="23"/>
  <c r="J374" i="23"/>
  <c r="J308" i="23"/>
  <c r="K374" i="23"/>
  <c r="J370" i="23"/>
  <c r="K304" i="23"/>
  <c r="K370" i="23"/>
  <c r="F236" i="23"/>
  <c r="H304" i="23"/>
  <c r="J304" i="23"/>
  <c r="I304" i="23"/>
  <c r="G102" i="22"/>
  <c r="C203" i="45" l="1"/>
  <c r="I370" i="23"/>
  <c r="H370" i="23"/>
  <c r="G236" i="23"/>
  <c r="I236" i="23"/>
  <c r="H236" i="23"/>
  <c r="J236" i="23"/>
  <c r="I171" i="23"/>
  <c r="H171" i="23"/>
  <c r="J171" i="23"/>
  <c r="G171" i="23"/>
  <c r="G106" i="23"/>
  <c r="H106" i="23"/>
  <c r="J106" i="23"/>
  <c r="I106" i="23"/>
  <c r="F14" i="22"/>
  <c r="E102" i="22"/>
  <c r="F149" i="22" l="1"/>
  <c r="F165" i="22"/>
  <c r="H39" i="23" s="1"/>
  <c r="F164" i="22"/>
  <c r="H38" i="23" s="1"/>
  <c r="F185" i="22"/>
  <c r="C82" i="24"/>
  <c r="E115" i="48" l="1"/>
  <c r="D115" i="48"/>
  <c r="F115" i="48"/>
  <c r="G115" i="48"/>
  <c r="F104" i="45"/>
  <c r="E104" i="45"/>
  <c r="H104" i="45"/>
  <c r="D104" i="45"/>
  <c r="G104" i="45"/>
  <c r="C104" i="45"/>
  <c r="C45" i="45" s="1"/>
  <c r="C83" i="24"/>
  <c r="G73" i="23"/>
  <c r="F73" i="23"/>
  <c r="B303" i="28"/>
  <c r="B304" i="28" s="1"/>
  <c r="B305" i="28" s="1"/>
  <c r="B306" i="28" s="1"/>
  <c r="B307" i="28" s="1"/>
  <c r="C299" i="28"/>
  <c r="B290" i="28"/>
  <c r="B291" i="28" s="1"/>
  <c r="B292" i="28" s="1"/>
  <c r="B293" i="28" s="1"/>
  <c r="B294" i="28" s="1"/>
  <c r="C286" i="28"/>
  <c r="C287" i="28" s="1"/>
  <c r="I182" i="28"/>
  <c r="E116" i="48" l="1"/>
  <c r="D116" i="48"/>
  <c r="F116" i="48"/>
  <c r="G116" i="48"/>
  <c r="D45" i="45"/>
  <c r="F105" i="45"/>
  <c r="F46" i="45" s="1"/>
  <c r="H105" i="45"/>
  <c r="H46" i="45" s="1"/>
  <c r="D105" i="45"/>
  <c r="D46" i="45" s="1"/>
  <c r="G105" i="45"/>
  <c r="G46" i="45" s="1"/>
  <c r="E105" i="45"/>
  <c r="E46" i="45" s="1"/>
  <c r="C105" i="45"/>
  <c r="H45" i="45"/>
  <c r="E45" i="45"/>
  <c r="G45" i="45"/>
  <c r="F45" i="45"/>
  <c r="F182" i="28"/>
  <c r="G182" i="28"/>
  <c r="H182" i="28"/>
  <c r="E182" i="28"/>
  <c r="C84" i="24"/>
  <c r="C288" i="28"/>
  <c r="C300" i="28"/>
  <c r="E117" i="48" l="1"/>
  <c r="D117" i="48"/>
  <c r="G117" i="48"/>
  <c r="F117" i="48"/>
  <c r="C46" i="45"/>
  <c r="F106" i="45"/>
  <c r="G106" i="45"/>
  <c r="H106" i="45"/>
  <c r="E106" i="45"/>
  <c r="D106" i="45"/>
  <c r="D47" i="45" s="1"/>
  <c r="C106" i="45"/>
  <c r="C47" i="45" s="1"/>
  <c r="C85" i="24"/>
  <c r="C289" i="28"/>
  <c r="C301" i="28"/>
  <c r="D118" i="48" l="1"/>
  <c r="E118" i="48"/>
  <c r="F118" i="48"/>
  <c r="G118" i="48"/>
  <c r="F47" i="45"/>
  <c r="E47" i="45"/>
  <c r="D107" i="45"/>
  <c r="H107" i="45"/>
  <c r="H48" i="45" s="1"/>
  <c r="F107" i="45"/>
  <c r="F48" i="45" s="1"/>
  <c r="G107" i="45"/>
  <c r="G48" i="45" s="1"/>
  <c r="E107" i="45"/>
  <c r="E48" i="45" s="1"/>
  <c r="C107" i="45"/>
  <c r="C48" i="45" s="1"/>
  <c r="H47" i="45"/>
  <c r="G47" i="45"/>
  <c r="C86" i="24"/>
  <c r="C302" i="28"/>
  <c r="C290" i="28"/>
  <c r="D119" i="48" l="1"/>
  <c r="E119" i="48"/>
  <c r="F119" i="48"/>
  <c r="G119" i="48"/>
  <c r="F108" i="45"/>
  <c r="F49" i="45" s="1"/>
  <c r="D108" i="45"/>
  <c r="D49" i="45" s="1"/>
  <c r="G108" i="45"/>
  <c r="E108" i="45"/>
  <c r="E49" i="45" s="1"/>
  <c r="H108" i="45"/>
  <c r="H49" i="45" s="1"/>
  <c r="C108" i="45"/>
  <c r="C49" i="45" s="1"/>
  <c r="D48" i="45"/>
  <c r="C87" i="24"/>
  <c r="C291" i="28"/>
  <c r="C303" i="28"/>
  <c r="A78" i="24"/>
  <c r="B70" i="24"/>
  <c r="E120" i="48" l="1"/>
  <c r="D120" i="48"/>
  <c r="F120" i="48"/>
  <c r="G120" i="48"/>
  <c r="H109" i="45"/>
  <c r="F109" i="45"/>
  <c r="E109" i="45"/>
  <c r="D109" i="45"/>
  <c r="G109" i="45"/>
  <c r="G50" i="45" s="1"/>
  <c r="C109" i="45"/>
  <c r="C50" i="45" s="1"/>
  <c r="G49" i="45"/>
  <c r="J181" i="24"/>
  <c r="H40" i="23"/>
  <c r="G181" i="24"/>
  <c r="C88" i="24"/>
  <c r="C292" i="28"/>
  <c r="C304" i="28"/>
  <c r="D121" i="48" l="1"/>
  <c r="E121" i="48"/>
  <c r="G121" i="48"/>
  <c r="F121" i="48"/>
  <c r="D50" i="45"/>
  <c r="E50" i="45"/>
  <c r="F50" i="45"/>
  <c r="D110" i="45"/>
  <c r="D51" i="45" s="1"/>
  <c r="F110" i="45"/>
  <c r="F51" i="45" s="1"/>
  <c r="H110" i="45"/>
  <c r="H51" i="45" s="1"/>
  <c r="E110" i="45"/>
  <c r="E51" i="45" s="1"/>
  <c r="G110" i="45"/>
  <c r="C110" i="45"/>
  <c r="C51" i="45" s="1"/>
  <c r="H50" i="45"/>
  <c r="J186" i="24"/>
  <c r="I240" i="23" s="1"/>
  <c r="J185" i="24"/>
  <c r="J188" i="24"/>
  <c r="K240" i="23" s="1"/>
  <c r="J184" i="24"/>
  <c r="J187" i="24"/>
  <c r="J183" i="24"/>
  <c r="F240" i="23" s="1"/>
  <c r="G188" i="24"/>
  <c r="G184" i="24"/>
  <c r="G187" i="24"/>
  <c r="G183" i="24"/>
  <c r="G186" i="24"/>
  <c r="G185" i="24"/>
  <c r="D181" i="24"/>
  <c r="C89" i="24"/>
  <c r="C305" i="28"/>
  <c r="C293" i="28"/>
  <c r="D122" i="48" l="1"/>
  <c r="E122" i="48"/>
  <c r="G122" i="48"/>
  <c r="F122" i="48"/>
  <c r="F111" i="45"/>
  <c r="F52" i="45" s="1"/>
  <c r="E111" i="45"/>
  <c r="E52" i="45" s="1"/>
  <c r="G111" i="45"/>
  <c r="G52" i="45" s="1"/>
  <c r="H111" i="45"/>
  <c r="D111" i="45"/>
  <c r="D52" i="45" s="1"/>
  <c r="C111" i="45"/>
  <c r="C52" i="45" s="1"/>
  <c r="G51" i="45"/>
  <c r="K175" i="23"/>
  <c r="D186" i="24"/>
  <c r="D187" i="24"/>
  <c r="D185" i="24"/>
  <c r="D188" i="24"/>
  <c r="D184" i="24"/>
  <c r="D183" i="24"/>
  <c r="J175" i="23"/>
  <c r="I175" i="23"/>
  <c r="G240" i="23"/>
  <c r="H175" i="23"/>
  <c r="J240" i="23"/>
  <c r="G175" i="23"/>
  <c r="H240" i="23"/>
  <c r="C90" i="24"/>
  <c r="C91" i="24" s="1"/>
  <c r="C306" i="28"/>
  <c r="C294" i="28"/>
  <c r="D123" i="48" l="1"/>
  <c r="E123" i="48"/>
  <c r="G123" i="48"/>
  <c r="F123" i="48"/>
  <c r="H52" i="45"/>
  <c r="G112" i="45"/>
  <c r="F112" i="45"/>
  <c r="F53" i="45" s="1"/>
  <c r="D112" i="45"/>
  <c r="D53" i="45" s="1"/>
  <c r="H112" i="45"/>
  <c r="H53" i="45" s="1"/>
  <c r="E112" i="45"/>
  <c r="E53" i="45" s="1"/>
  <c r="C112" i="45"/>
  <c r="C53" i="45" s="1"/>
  <c r="K110" i="23"/>
  <c r="F110" i="23"/>
  <c r="H110" i="23"/>
  <c r="I110" i="23"/>
  <c r="G110" i="23"/>
  <c r="C307" i="28"/>
  <c r="D124" i="48" l="1"/>
  <c r="E124" i="48"/>
  <c r="G124" i="48"/>
  <c r="F124" i="48"/>
  <c r="G113" i="45"/>
  <c r="G54" i="45" s="1"/>
  <c r="D113" i="45"/>
  <c r="D54" i="45" s="1"/>
  <c r="E113" i="45"/>
  <c r="E54" i="45" s="1"/>
  <c r="F113" i="45"/>
  <c r="F54" i="45" s="1"/>
  <c r="H113" i="45"/>
  <c r="H54" i="45" s="1"/>
  <c r="C113" i="45"/>
  <c r="C54" i="45" s="1"/>
  <c r="G53" i="45"/>
  <c r="J110" i="23"/>
  <c r="D193" i="28"/>
  <c r="C92" i="24"/>
  <c r="C93" i="24" s="1"/>
  <c r="E125" i="48" l="1"/>
  <c r="D125" i="48"/>
  <c r="F125" i="48"/>
  <c r="G125" i="48"/>
  <c r="G114" i="45"/>
  <c r="G55" i="45" s="1"/>
  <c r="H114" i="45"/>
  <c r="H55" i="45" s="1"/>
  <c r="F114" i="45"/>
  <c r="F55" i="45" s="1"/>
  <c r="D114" i="45"/>
  <c r="D55" i="45" s="1"/>
  <c r="E114" i="45"/>
  <c r="E55" i="45" s="1"/>
  <c r="C114" i="45"/>
  <c r="C55" i="45" s="1"/>
  <c r="D126" i="48" l="1"/>
  <c r="E126" i="48"/>
  <c r="G126" i="48"/>
  <c r="F126" i="48"/>
  <c r="H115" i="45"/>
  <c r="E115" i="45"/>
  <c r="D115" i="45"/>
  <c r="G115" i="45"/>
  <c r="F115" i="45"/>
  <c r="C115" i="45"/>
  <c r="F174" i="22"/>
  <c r="H45" i="23"/>
  <c r="H48" i="23" s="1"/>
  <c r="H188" i="37"/>
  <c r="J245" i="23"/>
  <c r="J248" i="23" s="1"/>
  <c r="F111" i="23"/>
  <c r="D195" i="28"/>
  <c r="G115" i="23"/>
  <c r="H115" i="23"/>
  <c r="I115" i="23"/>
  <c r="J115" i="23"/>
  <c r="F115" i="23"/>
  <c r="G45" i="23"/>
  <c r="K45" i="23"/>
  <c r="F45" i="23"/>
  <c r="I45" i="23"/>
  <c r="E176" i="48" l="1"/>
  <c r="E167" i="48"/>
  <c r="F176" i="48"/>
  <c r="F167" i="48"/>
  <c r="G176" i="48"/>
  <c r="G167" i="48"/>
  <c r="D176" i="48"/>
  <c r="D202" i="48" s="1"/>
  <c r="D167" i="48"/>
  <c r="D56" i="45"/>
  <c r="D148" i="45"/>
  <c r="D149" i="45" s="1"/>
  <c r="D150" i="45" s="1"/>
  <c r="D187" i="45" s="1"/>
  <c r="E56" i="45"/>
  <c r="E148" i="45"/>
  <c r="E149" i="45" s="1"/>
  <c r="E150" i="45" s="1"/>
  <c r="E187" i="45" s="1"/>
  <c r="C56" i="45"/>
  <c r="C148" i="45"/>
  <c r="C149" i="45" s="1"/>
  <c r="C150" i="45" s="1"/>
  <c r="C187" i="45" s="1"/>
  <c r="F56" i="45"/>
  <c r="F158" i="45" s="1"/>
  <c r="F185" i="45" s="1"/>
  <c r="F199" i="45" s="1"/>
  <c r="F201" i="45" s="1"/>
  <c r="F203" i="45" s="1"/>
  <c r="F148" i="45"/>
  <c r="F149" i="45" s="1"/>
  <c r="F150" i="45" s="1"/>
  <c r="H56" i="45"/>
  <c r="H158" i="45" s="1"/>
  <c r="H185" i="45" s="1"/>
  <c r="H148" i="45"/>
  <c r="H149" i="45" s="1"/>
  <c r="H150" i="45" s="1"/>
  <c r="G56" i="45"/>
  <c r="G158" i="45" s="1"/>
  <c r="G185" i="45" s="1"/>
  <c r="G148" i="45"/>
  <c r="G149" i="45" s="1"/>
  <c r="G150" i="45" s="1"/>
  <c r="E180" i="34"/>
  <c r="G180" i="23"/>
  <c r="G183" i="23" s="1"/>
  <c r="E189" i="40"/>
  <c r="I313" i="23"/>
  <c r="I316" i="23" s="1"/>
  <c r="F188" i="37"/>
  <c r="H245" i="23"/>
  <c r="H248" i="23" s="1"/>
  <c r="F180" i="34"/>
  <c r="H180" i="23"/>
  <c r="H183" i="23" s="1"/>
  <c r="G180" i="34"/>
  <c r="I180" i="23"/>
  <c r="I183" i="23" s="1"/>
  <c r="E188" i="37"/>
  <c r="G245" i="23"/>
  <c r="G248" i="23" s="1"/>
  <c r="D180" i="34"/>
  <c r="D189" i="40"/>
  <c r="H313" i="23"/>
  <c r="H316" i="23" s="1"/>
  <c r="G188" i="37"/>
  <c r="I245" i="23"/>
  <c r="I248" i="23" s="1"/>
  <c r="H180" i="34"/>
  <c r="J180" i="23"/>
  <c r="J183" i="23" s="1"/>
  <c r="F189" i="40"/>
  <c r="J313" i="23"/>
  <c r="J316" i="23" s="1"/>
  <c r="D188" i="37"/>
  <c r="F245" i="23"/>
  <c r="F248" i="23" s="1"/>
  <c r="E16" i="22"/>
  <c r="G16" i="22"/>
  <c r="I16" i="22"/>
  <c r="D204" i="48" l="1"/>
  <c r="G187" i="45"/>
  <c r="F187" i="45"/>
  <c r="E193" i="45"/>
  <c r="D193" i="45"/>
  <c r="C193" i="45"/>
  <c r="H187" i="45"/>
  <c r="G181" i="22"/>
  <c r="I54" i="23" s="1"/>
  <c r="G182" i="22"/>
  <c r="I55" i="23" s="1"/>
  <c r="I182" i="22"/>
  <c r="K55" i="23" s="1"/>
  <c r="I181" i="22"/>
  <c r="K54" i="23" s="1"/>
  <c r="E182" i="22"/>
  <c r="G55" i="23" s="1"/>
  <c r="E181" i="22"/>
  <c r="G54" i="23" s="1"/>
  <c r="I173" i="22"/>
  <c r="K47" i="23" s="1"/>
  <c r="K48" i="23" s="1"/>
  <c r="I178" i="22"/>
  <c r="K51" i="23" s="1"/>
  <c r="G178" i="22"/>
  <c r="I51" i="23" s="1"/>
  <c r="E178" i="22"/>
  <c r="G51" i="23" s="1"/>
  <c r="D173" i="22"/>
  <c r="F47" i="23" s="1"/>
  <c r="F48" i="23" s="1"/>
  <c r="D178" i="22"/>
  <c r="F51" i="23" s="1"/>
  <c r="G40" i="23"/>
  <c r="E173" i="22"/>
  <c r="G47" i="23" s="1"/>
  <c r="G48" i="23" s="1"/>
  <c r="I40" i="23"/>
  <c r="G173" i="22"/>
  <c r="I47" i="23" s="1"/>
  <c r="I48" i="23" s="1"/>
  <c r="F40" i="23"/>
  <c r="K40" i="23"/>
  <c r="F54" i="23"/>
  <c r="G126" i="22"/>
  <c r="G144" i="22" s="1"/>
  <c r="G20" i="22"/>
  <c r="G84" i="22" s="1"/>
  <c r="G14" i="22"/>
  <c r="D210" i="48" l="1"/>
  <c r="D208" i="48"/>
  <c r="D211" i="48" s="1"/>
  <c r="G193" i="45"/>
  <c r="G149" i="22"/>
  <c r="G165" i="22"/>
  <c r="I39" i="23" s="1"/>
  <c r="F193" i="45"/>
  <c r="H193" i="45"/>
  <c r="F158" i="22"/>
  <c r="H158" i="22"/>
  <c r="G164" i="22"/>
  <c r="I38" i="23" s="1"/>
  <c r="I102" i="22"/>
  <c r="G158" i="22"/>
  <c r="G129" i="22"/>
  <c r="G133" i="22"/>
  <c r="G137" i="22"/>
  <c r="G141" i="22"/>
  <c r="G134" i="22"/>
  <c r="G138" i="22"/>
  <c r="G142" i="22"/>
  <c r="G127" i="22"/>
  <c r="G131" i="22"/>
  <c r="G135" i="22"/>
  <c r="G139" i="22"/>
  <c r="G143" i="22"/>
  <c r="G180" i="22"/>
  <c r="I53" i="23" s="1"/>
  <c r="G130" i="22"/>
  <c r="G128" i="22"/>
  <c r="G132" i="22"/>
  <c r="G136" i="22"/>
  <c r="G140" i="22"/>
  <c r="G5" i="23" l="1"/>
  <c r="F5" i="23"/>
  <c r="I20" i="22" l="1"/>
  <c r="I84" i="22" s="1"/>
  <c r="I14" i="22"/>
  <c r="I163" i="22" l="1"/>
  <c r="I149" i="22"/>
  <c r="I158" i="22"/>
  <c r="I180" i="22"/>
  <c r="K53" i="23" s="1"/>
  <c r="I126" i="22" l="1"/>
  <c r="I144" i="22" l="1"/>
  <c r="I140" i="22"/>
  <c r="I136" i="22"/>
  <c r="I132" i="22"/>
  <c r="I128" i="22"/>
  <c r="I143" i="22"/>
  <c r="I139" i="22"/>
  <c r="I135" i="22"/>
  <c r="I131" i="22"/>
  <c r="I127" i="22"/>
  <c r="I137" i="22"/>
  <c r="I129" i="22"/>
  <c r="I142" i="22"/>
  <c r="I138" i="22"/>
  <c r="I134" i="22"/>
  <c r="I130" i="22"/>
  <c r="I141" i="22"/>
  <c r="I133" i="22"/>
  <c r="F241" i="23" l="1"/>
  <c r="F242" i="23" s="1"/>
  <c r="D184" i="37"/>
  <c r="I179" i="22"/>
  <c r="G179" i="22"/>
  <c r="G185" i="22" l="1"/>
  <c r="I52" i="23"/>
  <c r="I56" i="23" s="1"/>
  <c r="I185" i="22"/>
  <c r="K52" i="23"/>
  <c r="K56" i="23" s="1"/>
  <c r="D176" i="34"/>
  <c r="E314" i="22"/>
  <c r="B278" i="22"/>
  <c r="B279" i="22" s="1"/>
  <c r="B280" i="22" s="1"/>
  <c r="B281" i="22" s="1"/>
  <c r="B282" i="22" s="1"/>
  <c r="C274" i="22"/>
  <c r="C275" i="22" s="1"/>
  <c r="B265" i="22"/>
  <c r="B266" i="22" s="1"/>
  <c r="B267" i="22" s="1"/>
  <c r="B268" i="22" s="1"/>
  <c r="B269" i="22" s="1"/>
  <c r="C261" i="22"/>
  <c r="B194" i="24"/>
  <c r="E84" i="22"/>
  <c r="D20" i="22"/>
  <c r="D84" i="22" s="1"/>
  <c r="E14" i="22"/>
  <c r="D14" i="22"/>
  <c r="D163" i="22" s="1"/>
  <c r="B189" i="45" l="1"/>
  <c r="D189" i="45" s="1"/>
  <c r="D191" i="45" s="1"/>
  <c r="D149" i="22"/>
  <c r="D165" i="22"/>
  <c r="F39" i="23" s="1"/>
  <c r="E149" i="22"/>
  <c r="E165" i="22"/>
  <c r="G39" i="23" s="1"/>
  <c r="C191" i="22"/>
  <c r="F156" i="22"/>
  <c r="H156" i="22"/>
  <c r="D164" i="22"/>
  <c r="F38" i="23" s="1"/>
  <c r="E164" i="22"/>
  <c r="G38" i="23" s="1"/>
  <c r="G156" i="22"/>
  <c r="I156" i="22"/>
  <c r="D156" i="22"/>
  <c r="C262" i="22"/>
  <c r="C263" i="22" s="1"/>
  <c r="E126" i="22"/>
  <c r="D180" i="22"/>
  <c r="F53" i="23" s="1"/>
  <c r="E158" i="22"/>
  <c r="E180" i="22"/>
  <c r="G53" i="23" s="1"/>
  <c r="E156" i="22"/>
  <c r="C276" i="22"/>
  <c r="D158" i="22"/>
  <c r="D179" i="22"/>
  <c r="F52" i="23" s="1"/>
  <c r="E179" i="22"/>
  <c r="G52" i="23" s="1"/>
  <c r="F189" i="45" l="1"/>
  <c r="F191" i="45" s="1"/>
  <c r="F194" i="45" s="1"/>
  <c r="H189" i="45"/>
  <c r="H191" i="45" s="1"/>
  <c r="H194" i="45" s="1"/>
  <c r="E189" i="45"/>
  <c r="E191" i="45" s="1"/>
  <c r="E194" i="45" s="1"/>
  <c r="C189" i="45"/>
  <c r="C191" i="45" s="1"/>
  <c r="G189" i="45"/>
  <c r="G191" i="45" s="1"/>
  <c r="G194" i="45" s="1"/>
  <c r="D194" i="45"/>
  <c r="H327" i="23"/>
  <c r="I327" i="23"/>
  <c r="J327" i="23"/>
  <c r="J194" i="23"/>
  <c r="G194" i="23"/>
  <c r="K194" i="23"/>
  <c r="H194" i="23"/>
  <c r="I194" i="23"/>
  <c r="H191" i="22"/>
  <c r="J59" i="23" s="1"/>
  <c r="F191" i="22"/>
  <c r="H59" i="23" s="1"/>
  <c r="H259" i="23"/>
  <c r="F259" i="23"/>
  <c r="I259" i="23"/>
  <c r="G259" i="23"/>
  <c r="K259" i="23"/>
  <c r="J259" i="23"/>
  <c r="H129" i="23"/>
  <c r="F129" i="23"/>
  <c r="I129" i="23"/>
  <c r="G129" i="23"/>
  <c r="I393" i="23"/>
  <c r="H393" i="23"/>
  <c r="J393" i="23"/>
  <c r="K393" i="23"/>
  <c r="G56" i="23"/>
  <c r="F56" i="23"/>
  <c r="D71" i="24"/>
  <c r="D73" i="24"/>
  <c r="D75" i="24"/>
  <c r="D74" i="24"/>
  <c r="D72" i="24"/>
  <c r="I167" i="22"/>
  <c r="D126" i="22"/>
  <c r="C277" i="22"/>
  <c r="E144" i="22"/>
  <c r="E142" i="22"/>
  <c r="E141" i="22"/>
  <c r="E140" i="22"/>
  <c r="E139" i="22"/>
  <c r="E138" i="22"/>
  <c r="E137" i="22"/>
  <c r="E136" i="22"/>
  <c r="E135" i="22"/>
  <c r="E134" i="22"/>
  <c r="E133" i="22"/>
  <c r="E132" i="22"/>
  <c r="E131" i="22"/>
  <c r="E130" i="22"/>
  <c r="E143" i="22"/>
  <c r="E128" i="22"/>
  <c r="E129" i="22"/>
  <c r="E127" i="22"/>
  <c r="C264" i="22"/>
  <c r="C319" i="45" l="1"/>
  <c r="J129" i="23"/>
  <c r="K129" i="23"/>
  <c r="K327" i="23"/>
  <c r="C194" i="45"/>
  <c r="B78" i="24"/>
  <c r="C76" i="24" s="1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C265" i="22"/>
  <c r="C278" i="22"/>
  <c r="K544" i="23" l="1"/>
  <c r="K545" i="23" s="1"/>
  <c r="K41" i="23"/>
  <c r="K42" i="23" s="1"/>
  <c r="D76" i="24"/>
  <c r="I170" i="22"/>
  <c r="C266" i="22"/>
  <c r="C279" i="22"/>
  <c r="F284" i="24" l="1"/>
  <c r="F291" i="24" s="1"/>
  <c r="F293" i="24" s="1"/>
  <c r="F283" i="24" s="1"/>
  <c r="J16" i="23" s="1"/>
  <c r="H18" i="22"/>
  <c r="H103" i="22" s="1"/>
  <c r="D284" i="24"/>
  <c r="D291" i="24" s="1"/>
  <c r="D293" i="24" s="1"/>
  <c r="D283" i="24" s="1"/>
  <c r="H16" i="23" s="1"/>
  <c r="F18" i="22"/>
  <c r="F103" i="22" s="1"/>
  <c r="G284" i="24"/>
  <c r="G291" i="24" s="1"/>
  <c r="G293" i="24" s="1"/>
  <c r="G283" i="24" s="1"/>
  <c r="K16" i="23" s="1"/>
  <c r="I18" i="22"/>
  <c r="I103" i="22" s="1"/>
  <c r="E284" i="24"/>
  <c r="E291" i="24" s="1"/>
  <c r="E293" i="24" s="1"/>
  <c r="E283" i="24" s="1"/>
  <c r="G18" i="22"/>
  <c r="G103" i="22" s="1"/>
  <c r="C284" i="24"/>
  <c r="C291" i="24" s="1"/>
  <c r="C293" i="24" s="1"/>
  <c r="C283" i="24" s="1"/>
  <c r="G16" i="23" s="1"/>
  <c r="E18" i="22"/>
  <c r="E103" i="22" s="1"/>
  <c r="B291" i="24"/>
  <c r="D18" i="22"/>
  <c r="D103" i="22" s="1"/>
  <c r="C280" i="22"/>
  <c r="C267" i="22"/>
  <c r="B293" i="24" l="1"/>
  <c r="B283" i="24" s="1"/>
  <c r="I16" i="23"/>
  <c r="E285" i="24"/>
  <c r="E66" i="22"/>
  <c r="G66" i="22"/>
  <c r="D66" i="22"/>
  <c r="F66" i="22"/>
  <c r="H66" i="22"/>
  <c r="I66" i="22"/>
  <c r="C281" i="22"/>
  <c r="C268" i="22"/>
  <c r="B294" i="24" l="1"/>
  <c r="F16" i="23"/>
  <c r="B285" i="24"/>
  <c r="I86" i="22"/>
  <c r="H86" i="22"/>
  <c r="D86" i="22"/>
  <c r="G86" i="22"/>
  <c r="F86" i="22"/>
  <c r="E86" i="22"/>
  <c r="G174" i="22"/>
  <c r="C282" i="22"/>
  <c r="C269" i="22"/>
  <c r="I174" i="22" l="1"/>
  <c r="D174" i="22" l="1"/>
  <c r="E174" i="22" l="1"/>
  <c r="E185" i="22" l="1"/>
  <c r="D185" i="22"/>
  <c r="E191" i="22" l="1"/>
  <c r="G59" i="23" s="1"/>
  <c r="I191" i="22"/>
  <c r="K59" i="23" s="1"/>
  <c r="G191" i="22"/>
  <c r="D191" i="22"/>
  <c r="I59" i="23" l="1"/>
  <c r="F59" i="23"/>
  <c r="I13" i="34"/>
  <c r="I159" i="34" s="1"/>
  <c r="I17" i="34" l="1"/>
  <c r="I114" i="34" s="1"/>
  <c r="I167" i="34"/>
  <c r="F13" i="34"/>
  <c r="F159" i="34" s="1"/>
  <c r="I77" i="34" l="1"/>
  <c r="G13" i="34"/>
  <c r="H13" i="34"/>
  <c r="E13" i="34"/>
  <c r="F167" i="34"/>
  <c r="F17" i="34"/>
  <c r="F114" i="34" s="1"/>
  <c r="F191" i="34"/>
  <c r="H191" i="34" l="1"/>
  <c r="H159" i="34"/>
  <c r="D191" i="34"/>
  <c r="G191" i="34"/>
  <c r="G159" i="34"/>
  <c r="E167" i="34"/>
  <c r="G167" i="34"/>
  <c r="G17" i="34"/>
  <c r="G114" i="34" s="1"/>
  <c r="H17" i="34"/>
  <c r="H114" i="34" s="1"/>
  <c r="E191" i="34"/>
  <c r="E17" i="34"/>
  <c r="E114" i="34" s="1"/>
  <c r="H167" i="34"/>
  <c r="F77" i="34"/>
  <c r="F97" i="34" s="1"/>
  <c r="G77" i="34" l="1"/>
  <c r="G97" i="34" s="1"/>
  <c r="H77" i="34"/>
  <c r="H97" i="34" s="1"/>
  <c r="E77" i="34"/>
  <c r="E97" i="34" s="1"/>
  <c r="B408" i="24" l="1" a="1"/>
  <c r="B411" i="24" l="1"/>
  <c r="B408" i="24"/>
  <c r="B409" i="24"/>
  <c r="B412" i="24"/>
  <c r="B410" i="24"/>
  <c r="I122" i="28" l="1"/>
  <c r="I199" i="28" l="1"/>
  <c r="K116" i="23"/>
  <c r="K118" i="23" s="1"/>
  <c r="I121" i="28"/>
  <c r="F122" i="28" l="1"/>
  <c r="E122" i="28"/>
  <c r="H122" i="28"/>
  <c r="D122" i="28"/>
  <c r="G122" i="28"/>
  <c r="G199" i="28" l="1"/>
  <c r="I116" i="23"/>
  <c r="I118" i="23" s="1"/>
  <c r="D199" i="28"/>
  <c r="F116" i="23"/>
  <c r="F118" i="23" s="1"/>
  <c r="E199" i="28"/>
  <c r="G116" i="23"/>
  <c r="G118" i="23" s="1"/>
  <c r="F199" i="28"/>
  <c r="H116" i="23"/>
  <c r="H118" i="23" s="1"/>
  <c r="H199" i="28"/>
  <c r="J116" i="23"/>
  <c r="J118" i="23" s="1"/>
  <c r="I52" i="28"/>
  <c r="I183" i="28" s="1"/>
  <c r="I79" i="28"/>
  <c r="I176" i="28"/>
  <c r="E121" i="28"/>
  <c r="I185" i="28" l="1"/>
  <c r="I80" i="28"/>
  <c r="F6" i="28"/>
  <c r="F121" i="28"/>
  <c r="D121" i="28"/>
  <c r="G121" i="28"/>
  <c r="H121" i="28"/>
  <c r="H6" i="28"/>
  <c r="E6" i="28"/>
  <c r="K99" i="23" l="1"/>
  <c r="I81" i="28"/>
  <c r="F79" i="28"/>
  <c r="F107" i="28" s="1"/>
  <c r="D79" i="28"/>
  <c r="D107" i="28" s="1"/>
  <c r="G79" i="28"/>
  <c r="G107" i="28" s="1"/>
  <c r="D6" i="28"/>
  <c r="E79" i="28"/>
  <c r="E107" i="28" s="1"/>
  <c r="G6" i="28"/>
  <c r="E185" i="28" l="1"/>
  <c r="I82" i="28"/>
  <c r="F176" i="28"/>
  <c r="G176" i="28"/>
  <c r="D176" i="28"/>
  <c r="H176" i="28"/>
  <c r="H79" i="28"/>
  <c r="H107" i="28" s="1"/>
  <c r="E176" i="28"/>
  <c r="G80" i="28"/>
  <c r="G108" i="28" s="1"/>
  <c r="E80" i="28"/>
  <c r="E108" i="28" s="1"/>
  <c r="D80" i="28"/>
  <c r="D108" i="28" s="1"/>
  <c r="F80" i="28"/>
  <c r="F108" i="28" s="1"/>
  <c r="D185" i="28" l="1"/>
  <c r="G185" i="28"/>
  <c r="H185" i="28"/>
  <c r="F185" i="28"/>
  <c r="G99" i="23"/>
  <c r="I83" i="28"/>
  <c r="H80" i="28"/>
  <c r="H108" i="28" s="1"/>
  <c r="E81" i="28"/>
  <c r="E109" i="28" s="1"/>
  <c r="F81" i="28"/>
  <c r="F109" i="28" s="1"/>
  <c r="G81" i="28"/>
  <c r="G109" i="28" s="1"/>
  <c r="D81" i="28"/>
  <c r="D109" i="28" s="1"/>
  <c r="H99" i="23" l="1"/>
  <c r="J99" i="23"/>
  <c r="F99" i="23"/>
  <c r="I99" i="23"/>
  <c r="I84" i="28"/>
  <c r="H81" i="28"/>
  <c r="F82" i="28"/>
  <c r="F110" i="28" s="1"/>
  <c r="E82" i="28"/>
  <c r="E110" i="28" s="1"/>
  <c r="G82" i="28"/>
  <c r="G110" i="28" s="1"/>
  <c r="D82" i="28"/>
  <c r="D110" i="28" s="1"/>
  <c r="I85" i="28" l="1"/>
  <c r="H82" i="28"/>
  <c r="H110" i="28" s="1"/>
  <c r="H109" i="28"/>
  <c r="F83" i="28"/>
  <c r="F111" i="28" s="1"/>
  <c r="D83" i="28"/>
  <c r="D111" i="28" s="1"/>
  <c r="E83" i="28"/>
  <c r="E111" i="28" s="1"/>
  <c r="G83" i="28"/>
  <c r="G111" i="28" s="1"/>
  <c r="I86" i="28" l="1"/>
  <c r="H83" i="28"/>
  <c r="H111" i="28" s="1"/>
  <c r="E84" i="28"/>
  <c r="E112" i="28" s="1"/>
  <c r="D84" i="28"/>
  <c r="D112" i="28" s="1"/>
  <c r="G84" i="28"/>
  <c r="G112" i="28" s="1"/>
  <c r="F84" i="28"/>
  <c r="F112" i="28" s="1"/>
  <c r="I87" i="28" l="1"/>
  <c r="H84" i="28"/>
  <c r="H112" i="28" s="1"/>
  <c r="E85" i="28"/>
  <c r="E113" i="28" s="1"/>
  <c r="F85" i="28"/>
  <c r="F113" i="28" s="1"/>
  <c r="G85" i="28"/>
  <c r="G113" i="28" s="1"/>
  <c r="D85" i="28"/>
  <c r="D113" i="28" s="1"/>
  <c r="I88" i="28" l="1"/>
  <c r="H85" i="28"/>
  <c r="H113" i="28" s="1"/>
  <c r="E86" i="28"/>
  <c r="E114" i="28" s="1"/>
  <c r="F86" i="28"/>
  <c r="F114" i="28" s="1"/>
  <c r="G86" i="28"/>
  <c r="G114" i="28" s="1"/>
  <c r="D86" i="28"/>
  <c r="D114" i="28" s="1"/>
  <c r="I89" i="28" l="1"/>
  <c r="H86" i="28"/>
  <c r="H114" i="28" s="1"/>
  <c r="D87" i="28"/>
  <c r="D115" i="28" s="1"/>
  <c r="E87" i="28"/>
  <c r="E115" i="28" s="1"/>
  <c r="G87" i="28"/>
  <c r="G115" i="28" s="1"/>
  <c r="F87" i="28"/>
  <c r="F115" i="28" s="1"/>
  <c r="H87" i="28" l="1"/>
  <c r="H115" i="28" s="1"/>
  <c r="I90" i="28"/>
  <c r="I91" i="28" s="1"/>
  <c r="I92" i="28" s="1"/>
  <c r="I93" i="28" s="1"/>
  <c r="I94" i="28" s="1"/>
  <c r="I95" i="28" s="1"/>
  <c r="I96" i="28" s="1"/>
  <c r="I97" i="28" s="1"/>
  <c r="I98" i="28" s="1"/>
  <c r="I99" i="28" s="1"/>
  <c r="I100" i="28" s="1"/>
  <c r="I101" i="28" s="1"/>
  <c r="E88" i="28"/>
  <c r="E116" i="28" s="1"/>
  <c r="D88" i="28"/>
  <c r="D116" i="28" s="1"/>
  <c r="F88" i="28"/>
  <c r="F116" i="28" s="1"/>
  <c r="G88" i="28"/>
  <c r="G116" i="28" s="1"/>
  <c r="H88" i="28" l="1"/>
  <c r="H116" i="28" s="1"/>
  <c r="E89" i="28"/>
  <c r="E117" i="28" s="1"/>
  <c r="D89" i="28"/>
  <c r="D117" i="28" s="1"/>
  <c r="G89" i="28"/>
  <c r="G117" i="28" s="1"/>
  <c r="F89" i="28"/>
  <c r="F117" i="28" s="1"/>
  <c r="H89" i="28" l="1"/>
  <c r="H117" i="28" s="1"/>
  <c r="H119" i="28" s="1"/>
  <c r="E119" i="28"/>
  <c r="E179" i="28" s="1"/>
  <c r="E186" i="28" s="1"/>
  <c r="E90" i="28"/>
  <c r="E91" i="28" s="1"/>
  <c r="E92" i="28" s="1"/>
  <c r="E93" i="28" s="1"/>
  <c r="E94" i="28" s="1"/>
  <c r="E95" i="28" s="1"/>
  <c r="E96" i="28" s="1"/>
  <c r="E97" i="28" s="1"/>
  <c r="E98" i="28" s="1"/>
  <c r="E99" i="28" s="1"/>
  <c r="E100" i="28" s="1"/>
  <c r="E101" i="28" s="1"/>
  <c r="D119" i="28"/>
  <c r="D179" i="28" s="1"/>
  <c r="D186" i="28" s="1"/>
  <c r="D90" i="28"/>
  <c r="D91" i="28" s="1"/>
  <c r="D92" i="28" s="1"/>
  <c r="D93" i="28" s="1"/>
  <c r="D94" i="28" s="1"/>
  <c r="D95" i="28" s="1"/>
  <c r="D96" i="28" s="1"/>
  <c r="D97" i="28" s="1"/>
  <c r="D98" i="28" s="1"/>
  <c r="D99" i="28" s="1"/>
  <c r="D100" i="28" s="1"/>
  <c r="D101" i="28" s="1"/>
  <c r="G119" i="28"/>
  <c r="G179" i="28" s="1"/>
  <c r="G186" i="28" s="1"/>
  <c r="G90" i="28"/>
  <c r="G91" i="28" s="1"/>
  <c r="G92" i="28" s="1"/>
  <c r="G93" i="28" s="1"/>
  <c r="G94" i="28" s="1"/>
  <c r="G95" i="28" s="1"/>
  <c r="G96" i="28" s="1"/>
  <c r="G97" i="28" s="1"/>
  <c r="G98" i="28" s="1"/>
  <c r="G99" i="28" s="1"/>
  <c r="G100" i="28" s="1"/>
  <c r="G101" i="28" s="1"/>
  <c r="F119" i="28"/>
  <c r="F179" i="28" s="1"/>
  <c r="F186" i="28" s="1"/>
  <c r="F90" i="28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H179" i="28" l="1"/>
  <c r="H186" i="28" s="1"/>
  <c r="J119" i="28"/>
  <c r="H98" i="23"/>
  <c r="D212" i="28"/>
  <c r="D346" i="28" s="1"/>
  <c r="F98" i="23"/>
  <c r="I98" i="23"/>
  <c r="G98" i="23"/>
  <c r="H90" i="28"/>
  <c r="H91" i="28" s="1"/>
  <c r="H92" i="28" s="1"/>
  <c r="H93" i="28" s="1"/>
  <c r="H94" i="28" s="1"/>
  <c r="H95" i="28" s="1"/>
  <c r="H96" i="28" s="1"/>
  <c r="H97" i="28" s="1"/>
  <c r="H98" i="28" s="1"/>
  <c r="H99" i="28" s="1"/>
  <c r="H100" i="28" s="1"/>
  <c r="H101" i="28" s="1"/>
  <c r="J98" i="23" l="1"/>
  <c r="D344" i="28"/>
  <c r="D345" i="28" s="1"/>
  <c r="E345" i="28" s="1"/>
  <c r="D214" i="28"/>
  <c r="D218" i="28" s="1"/>
  <c r="D353" i="28"/>
  <c r="D221" i="28" l="1"/>
  <c r="F78" i="23" s="1"/>
  <c r="D220" i="28"/>
  <c r="F77" i="23" s="1"/>
  <c r="F75" i="23"/>
  <c r="F76" i="23" l="1"/>
  <c r="F120" i="24"/>
  <c r="D120" i="24"/>
  <c r="C120" i="24"/>
  <c r="F185" i="48" l="1"/>
  <c r="F202" i="48" s="1"/>
  <c r="F204" i="48" s="1"/>
  <c r="G185" i="48"/>
  <c r="G202" i="48" s="1"/>
  <c r="G204" i="48" s="1"/>
  <c r="E185" i="48"/>
  <c r="E202" i="48" s="1"/>
  <c r="E204" i="48" s="1"/>
  <c r="D167" i="22"/>
  <c r="F37" i="23"/>
  <c r="H163" i="22"/>
  <c r="G163" i="22"/>
  <c r="E163" i="22"/>
  <c r="F163" i="22"/>
  <c r="E210" i="48" l="1"/>
  <c r="E208" i="48"/>
  <c r="E211" i="48" s="1"/>
  <c r="G210" i="48"/>
  <c r="G208" i="48"/>
  <c r="G211" i="48" s="1"/>
  <c r="F210" i="48"/>
  <c r="F208" i="48"/>
  <c r="F211" i="48" s="1"/>
  <c r="J107" i="23"/>
  <c r="G237" i="23"/>
  <c r="K237" i="23"/>
  <c r="J237" i="23"/>
  <c r="H237" i="23"/>
  <c r="I237" i="23"/>
  <c r="K172" i="23"/>
  <c r="G172" i="23"/>
  <c r="H172" i="23"/>
  <c r="I172" i="23"/>
  <c r="J172" i="23"/>
  <c r="F112" i="23"/>
  <c r="E167" i="22"/>
  <c r="G37" i="23"/>
  <c r="G167" i="22"/>
  <c r="I37" i="23"/>
  <c r="H167" i="22"/>
  <c r="J37" i="23"/>
  <c r="F167" i="22"/>
  <c r="H37" i="23"/>
  <c r="K107" i="23"/>
  <c r="F544" i="23" l="1"/>
  <c r="F545" i="23" s="1"/>
  <c r="F41" i="23"/>
  <c r="F42" i="23" s="1"/>
  <c r="D170" i="22"/>
  <c r="G176" i="23"/>
  <c r="I371" i="23"/>
  <c r="J371" i="23"/>
  <c r="K371" i="23"/>
  <c r="D183" i="41"/>
  <c r="H371" i="23"/>
  <c r="J305" i="23"/>
  <c r="D184" i="40"/>
  <c r="H305" i="23"/>
  <c r="I305" i="23"/>
  <c r="K305" i="23"/>
  <c r="H107" i="23"/>
  <c r="I107" i="23"/>
  <c r="G107" i="23"/>
  <c r="I544" i="23" l="1"/>
  <c r="I545" i="23" s="1"/>
  <c r="H544" i="23"/>
  <c r="H545" i="23" s="1"/>
  <c r="G544" i="23"/>
  <c r="G545" i="23" s="1"/>
  <c r="J544" i="23"/>
  <c r="J545" i="23" s="1"/>
  <c r="G241" i="23"/>
  <c r="G242" i="23" s="1"/>
  <c r="H176" i="23"/>
  <c r="G184" i="37"/>
  <c r="F176" i="34"/>
  <c r="H184" i="37"/>
  <c r="E176" i="34"/>
  <c r="J241" i="23"/>
  <c r="I241" i="23"/>
  <c r="G176" i="34"/>
  <c r="I176" i="23"/>
  <c r="E184" i="37"/>
  <c r="F184" i="37"/>
  <c r="I176" i="34"/>
  <c r="K241" i="23"/>
  <c r="K242" i="23" s="1"/>
  <c r="H241" i="23"/>
  <c r="I184" i="37"/>
  <c r="G41" i="23"/>
  <c r="G42" i="23" s="1"/>
  <c r="J176" i="23"/>
  <c r="H170" i="22"/>
  <c r="E170" i="22"/>
  <c r="H176" i="34"/>
  <c r="K176" i="23"/>
  <c r="K177" i="23" s="1"/>
  <c r="J41" i="23"/>
  <c r="J42" i="23" s="1"/>
  <c r="G177" i="23"/>
  <c r="F170" i="22"/>
  <c r="I41" i="23"/>
  <c r="I42" i="23" s="1"/>
  <c r="H41" i="23"/>
  <c r="H42" i="23" s="1"/>
  <c r="G170" i="22"/>
  <c r="G185" i="40" l="1"/>
  <c r="I375" i="23"/>
  <c r="I376" i="23" s="1"/>
  <c r="E185" i="40"/>
  <c r="E185" i="41"/>
  <c r="I309" i="23"/>
  <c r="I310" i="23" s="1"/>
  <c r="K375" i="23"/>
  <c r="K376" i="23" s="1"/>
  <c r="J309" i="23"/>
  <c r="J310" i="23" s="1"/>
  <c r="F185" i="40"/>
  <c r="G185" i="41"/>
  <c r="J375" i="23"/>
  <c r="J376" i="23" s="1"/>
  <c r="H375" i="23"/>
  <c r="H376" i="23" s="1"/>
  <c r="H242" i="23"/>
  <c r="D185" i="40"/>
  <c r="H309" i="23"/>
  <c r="H310" i="23" s="1"/>
  <c r="D185" i="41"/>
  <c r="G111" i="23"/>
  <c r="G112" i="23" s="1"/>
  <c r="K111" i="23"/>
  <c r="K112" i="23" s="1"/>
  <c r="F185" i="41"/>
  <c r="K309" i="23"/>
  <c r="K310" i="23" s="1"/>
  <c r="I195" i="28"/>
  <c r="H111" i="23"/>
  <c r="H112" i="23" s="1"/>
  <c r="E195" i="28"/>
  <c r="E212" i="28" s="1"/>
  <c r="E214" i="28" s="1"/>
  <c r="E218" i="28" s="1"/>
  <c r="E221" i="28" s="1"/>
  <c r="G78" i="23" s="1"/>
  <c r="F195" i="28"/>
  <c r="F212" i="28" s="1"/>
  <c r="F214" i="28" s="1"/>
  <c r="H75" i="23" s="1"/>
  <c r="J111" i="23"/>
  <c r="J112" i="23" s="1"/>
  <c r="H177" i="23"/>
  <c r="J242" i="23"/>
  <c r="I242" i="23"/>
  <c r="I177" i="23"/>
  <c r="J177" i="23"/>
  <c r="G195" i="28"/>
  <c r="G212" i="28" s="1"/>
  <c r="G214" i="28" s="1"/>
  <c r="G218" i="28" s="1"/>
  <c r="G221" i="28" s="1"/>
  <c r="I78" i="23" s="1"/>
  <c r="H195" i="28"/>
  <c r="I111" i="23"/>
  <c r="I112" i="23" s="1"/>
  <c r="H212" i="28" l="1"/>
  <c r="H214" i="28" s="1"/>
  <c r="H220" i="28" s="1"/>
  <c r="J77" i="23" s="1"/>
  <c r="G76" i="23"/>
  <c r="E220" i="28"/>
  <c r="G77" i="23" s="1"/>
  <c r="F218" i="28"/>
  <c r="F221" i="28" s="1"/>
  <c r="H78" i="23" s="1"/>
  <c r="F220" i="28"/>
  <c r="H77" i="23" s="1"/>
  <c r="G75" i="23"/>
  <c r="G220" i="28"/>
  <c r="I77" i="23" s="1"/>
  <c r="I76" i="23"/>
  <c r="I75" i="23"/>
  <c r="H218" i="28" l="1"/>
  <c r="J76" i="23" s="1"/>
  <c r="J75" i="23"/>
  <c r="H76" i="23"/>
  <c r="B359" i="24"/>
  <c r="C359" i="24"/>
  <c r="D359" i="24"/>
  <c r="H221" i="28" l="1"/>
  <c r="J78" i="23" s="1"/>
  <c r="K219" i="23"/>
  <c r="I7" i="34"/>
  <c r="I19" i="34" s="1"/>
  <c r="I95" i="34" s="1"/>
  <c r="I8" i="28"/>
  <c r="I20" i="28" s="1"/>
  <c r="I104" i="28" s="1"/>
  <c r="I7" i="37" l="1"/>
  <c r="I19" i="37" s="1"/>
  <c r="I95" i="37" s="1"/>
  <c r="I97" i="34"/>
  <c r="I115" i="28"/>
  <c r="I111" i="28"/>
  <c r="I113" i="28"/>
  <c r="I106" i="28"/>
  <c r="I108" i="28"/>
  <c r="I117" i="28"/>
  <c r="I114" i="28"/>
  <c r="I116" i="28"/>
  <c r="I110" i="28"/>
  <c r="I109" i="28"/>
  <c r="I107" i="28"/>
  <c r="I112" i="28"/>
  <c r="I97" i="37" l="1"/>
  <c r="I119" i="28"/>
  <c r="I179" i="28" s="1"/>
  <c r="I186" i="28" l="1"/>
  <c r="K98" i="23"/>
  <c r="I212" i="28" l="1"/>
  <c r="I214" i="28" l="1"/>
  <c r="I220" i="28" s="1"/>
  <c r="K77" i="23" s="1"/>
  <c r="K75" i="23" l="1"/>
  <c r="I218" i="28"/>
  <c r="I221" i="28" s="1"/>
  <c r="K78" i="23" s="1"/>
  <c r="D101" i="22"/>
  <c r="K76" i="23" l="1"/>
  <c r="D105" i="22"/>
  <c r="D116" i="22"/>
  <c r="D111" i="22"/>
  <c r="D112" i="22"/>
  <c r="D40" i="22"/>
  <c r="D39" i="22"/>
  <c r="D118" i="22"/>
  <c r="D117" i="22"/>
  <c r="D108" i="22"/>
  <c r="D113" i="22"/>
  <c r="D110" i="22"/>
  <c r="D106" i="22"/>
  <c r="D114" i="22"/>
  <c r="D28" i="22"/>
  <c r="D29" i="22"/>
  <c r="D109" i="22"/>
  <c r="D120" i="22"/>
  <c r="D35" i="22"/>
  <c r="D36" i="22"/>
  <c r="D24" i="22"/>
  <c r="D37" i="22"/>
  <c r="D107" i="22"/>
  <c r="D32" i="22"/>
  <c r="D26" i="22"/>
  <c r="D33" i="22"/>
  <c r="D119" i="22"/>
  <c r="D38" i="22"/>
  <c r="D25" i="22"/>
  <c r="B286" i="24"/>
  <c r="D30" i="22"/>
  <c r="D115" i="22"/>
  <c r="D104" i="22"/>
  <c r="D27" i="22"/>
  <c r="D23" i="22"/>
  <c r="D31" i="22"/>
  <c r="D34" i="22"/>
  <c r="D121" i="22"/>
  <c r="D57" i="22" l="1"/>
  <c r="D47" i="22"/>
  <c r="D51" i="22"/>
  <c r="D56" i="22"/>
  <c r="D52" i="22"/>
  <c r="D59" i="22"/>
  <c r="D53" i="22"/>
  <c r="D46" i="22"/>
  <c r="D55" i="22"/>
  <c r="D148" i="22"/>
  <c r="D62" i="22"/>
  <c r="D48" i="22"/>
  <c r="D60" i="22"/>
  <c r="D54" i="22"/>
  <c r="B295" i="24"/>
  <c r="D45" i="22"/>
  <c r="D67" i="22"/>
  <c r="D58" i="22"/>
  <c r="D49" i="22"/>
  <c r="D50" i="22"/>
  <c r="D61" i="22"/>
  <c r="D157" i="22" l="1"/>
  <c r="F29" i="23" s="1"/>
  <c r="D150" i="22"/>
  <c r="D68" i="22"/>
  <c r="D87" i="22"/>
  <c r="D159" i="22" l="1"/>
  <c r="D69" i="22"/>
  <c r="D88" i="22"/>
  <c r="D89" i="22" l="1"/>
  <c r="D70" i="22"/>
  <c r="D90" i="22" l="1"/>
  <c r="D71" i="22"/>
  <c r="D72" i="22" l="1"/>
  <c r="D91" i="22"/>
  <c r="D73" i="22" l="1"/>
  <c r="D92" i="22"/>
  <c r="D93" i="22" l="1"/>
  <c r="D74" i="22"/>
  <c r="D94" i="22" l="1"/>
  <c r="D75" i="22"/>
  <c r="D95" i="22" l="1"/>
  <c r="D76" i="22"/>
  <c r="D77" i="22" l="1"/>
  <c r="D96" i="22"/>
  <c r="D97" i="22" l="1"/>
  <c r="D99" i="22" s="1"/>
  <c r="D153" i="22" s="1"/>
  <c r="D78" i="22"/>
  <c r="D79" i="22" s="1"/>
  <c r="D80" i="22" s="1"/>
  <c r="D81" i="22" s="1"/>
  <c r="D160" i="22" l="1"/>
  <c r="D187" i="22" s="1"/>
  <c r="D319" i="22" s="1"/>
  <c r="D320" i="22" s="1"/>
  <c r="E320" i="22" s="1"/>
  <c r="F320" i="22" s="1"/>
  <c r="F28" i="23"/>
  <c r="F30" i="23" s="1"/>
  <c r="F61" i="23" s="1"/>
  <c r="D189" i="22" l="1"/>
  <c r="F510" i="23" s="1"/>
  <c r="D201" i="22"/>
  <c r="D203" i="22" s="1"/>
  <c r="D205" i="22" s="1"/>
  <c r="F100" i="23" s="1"/>
  <c r="F131" i="23" s="1"/>
  <c r="F132" i="23" s="1"/>
  <c r="D321" i="22"/>
  <c r="D328" i="22"/>
  <c r="F7" i="23" l="1"/>
  <c r="D195" i="22"/>
  <c r="F512" i="23" s="1"/>
  <c r="I203" i="22"/>
  <c r="I205" i="22" s="1"/>
  <c r="D193" i="22"/>
  <c r="F511" i="23" s="1"/>
  <c r="F285" i="24"/>
  <c r="F286" i="24"/>
  <c r="D285" i="24"/>
  <c r="G285" i="24"/>
  <c r="D294" i="24"/>
  <c r="C285" i="24"/>
  <c r="G286" i="24"/>
  <c r="I101" i="22"/>
  <c r="F101" i="22"/>
  <c r="D196" i="22" l="1"/>
  <c r="F513" i="23" s="1"/>
  <c r="F9" i="23"/>
  <c r="F8" i="23"/>
  <c r="I206" i="22"/>
  <c r="F110" i="22"/>
  <c r="F23" i="22"/>
  <c r="F67" i="22" s="1"/>
  <c r="D286" i="24"/>
  <c r="G294" i="24"/>
  <c r="G295" i="24" s="1"/>
  <c r="I114" i="22"/>
  <c r="I112" i="22"/>
  <c r="I109" i="22"/>
  <c r="I105" i="22"/>
  <c r="I115" i="22"/>
  <c r="I108" i="22"/>
  <c r="I113" i="22"/>
  <c r="I118" i="22"/>
  <c r="I39" i="22"/>
  <c r="I29" i="22"/>
  <c r="I111" i="22"/>
  <c r="I117" i="22"/>
  <c r="I116" i="22"/>
  <c r="I119" i="22"/>
  <c r="I120" i="22"/>
  <c r="I27" i="22"/>
  <c r="I110" i="22"/>
  <c r="I40" i="22"/>
  <c r="I36" i="22"/>
  <c r="I26" i="22"/>
  <c r="I35" i="22"/>
  <c r="I57" i="22" s="1"/>
  <c r="I32" i="22"/>
  <c r="I106" i="22"/>
  <c r="I33" i="22"/>
  <c r="I37" i="22"/>
  <c r="I25" i="22"/>
  <c r="I31" i="22"/>
  <c r="I104" i="22"/>
  <c r="I107" i="22"/>
  <c r="I30" i="22"/>
  <c r="I121" i="22"/>
  <c r="I23" i="22"/>
  <c r="I38" i="22"/>
  <c r="I34" i="22"/>
  <c r="I28" i="22"/>
  <c r="I24" i="22"/>
  <c r="E101" i="22"/>
  <c r="E286" i="24"/>
  <c r="E294" i="24"/>
  <c r="F34" i="22"/>
  <c r="F121" i="22"/>
  <c r="F115" i="22"/>
  <c r="F109" i="22"/>
  <c r="F119" i="22"/>
  <c r="F36" i="22"/>
  <c r="F25" i="22"/>
  <c r="F114" i="22"/>
  <c r="F107" i="22"/>
  <c r="F108" i="22"/>
  <c r="F117" i="22"/>
  <c r="F33" i="22"/>
  <c r="F37" i="22"/>
  <c r="F105" i="22"/>
  <c r="F120" i="22"/>
  <c r="F113" i="22"/>
  <c r="F111" i="22"/>
  <c r="F31" i="22"/>
  <c r="F29" i="22"/>
  <c r="F40" i="22"/>
  <c r="F112" i="22"/>
  <c r="F116" i="22"/>
  <c r="F38" i="22"/>
  <c r="F39" i="22"/>
  <c r="F104" i="22"/>
  <c r="F118" i="22"/>
  <c r="F28" i="22"/>
  <c r="F35" i="22"/>
  <c r="F24" i="22"/>
  <c r="F106" i="22"/>
  <c r="F26" i="22"/>
  <c r="F30" i="22"/>
  <c r="F32" i="22"/>
  <c r="F27" i="22"/>
  <c r="G101" i="22"/>
  <c r="H101" i="22"/>
  <c r="C294" i="24"/>
  <c r="C286" i="24"/>
  <c r="D295" i="24"/>
  <c r="F294" i="24"/>
  <c r="I46" i="22" l="1"/>
  <c r="F10" i="23"/>
  <c r="I50" i="22"/>
  <c r="F49" i="22"/>
  <c r="F51" i="22"/>
  <c r="I56" i="22"/>
  <c r="F55" i="22"/>
  <c r="I55" i="22"/>
  <c r="F54" i="22"/>
  <c r="I51" i="22"/>
  <c r="I53" i="22"/>
  <c r="I52" i="22"/>
  <c r="I60" i="22"/>
  <c r="I148" i="22"/>
  <c r="I48" i="22"/>
  <c r="I49" i="22"/>
  <c r="F46" i="22"/>
  <c r="F59" i="22"/>
  <c r="F57" i="22"/>
  <c r="I47" i="22"/>
  <c r="I54" i="22"/>
  <c r="F148" i="22"/>
  <c r="F62" i="22"/>
  <c r="F50" i="22"/>
  <c r="F47" i="22"/>
  <c r="C295" i="24"/>
  <c r="F45" i="22"/>
  <c r="H116" i="22"/>
  <c r="H118" i="22"/>
  <c r="H111" i="22"/>
  <c r="H117" i="22"/>
  <c r="H40" i="22"/>
  <c r="H32" i="22"/>
  <c r="H120" i="22"/>
  <c r="H113" i="22"/>
  <c r="H114" i="22"/>
  <c r="H115" i="22"/>
  <c r="H106" i="22"/>
  <c r="H36" i="22"/>
  <c r="H58" i="22" s="1"/>
  <c r="H27" i="22"/>
  <c r="H108" i="22"/>
  <c r="H110" i="22"/>
  <c r="H121" i="22"/>
  <c r="H112" i="22"/>
  <c r="H26" i="22"/>
  <c r="H33" i="22"/>
  <c r="H109" i="22"/>
  <c r="H25" i="22"/>
  <c r="H104" i="22"/>
  <c r="H30" i="22"/>
  <c r="H23" i="22"/>
  <c r="H38" i="22"/>
  <c r="H105" i="22"/>
  <c r="H24" i="22"/>
  <c r="H31" i="22"/>
  <c r="H119" i="22"/>
  <c r="H107" i="22"/>
  <c r="H34" i="22"/>
  <c r="H28" i="22"/>
  <c r="H29" i="22"/>
  <c r="H35" i="22"/>
  <c r="H37" i="22"/>
  <c r="H39" i="22"/>
  <c r="F52" i="22"/>
  <c r="F61" i="22"/>
  <c r="F68" i="22"/>
  <c r="F87" i="22"/>
  <c r="E110" i="22"/>
  <c r="E113" i="22"/>
  <c r="E111" i="22"/>
  <c r="E105" i="22"/>
  <c r="E32" i="22"/>
  <c r="E38" i="22"/>
  <c r="E35" i="22"/>
  <c r="E117" i="22"/>
  <c r="E106" i="22"/>
  <c r="E120" i="22"/>
  <c r="E114" i="22"/>
  <c r="E115" i="22"/>
  <c r="E108" i="22"/>
  <c r="E107" i="22"/>
  <c r="E112" i="22"/>
  <c r="E118" i="22"/>
  <c r="E30" i="22"/>
  <c r="E31" i="22"/>
  <c r="E121" i="22"/>
  <c r="E40" i="22"/>
  <c r="E23" i="22"/>
  <c r="E34" i="22"/>
  <c r="E116" i="22"/>
  <c r="E33" i="22"/>
  <c r="E26" i="22"/>
  <c r="E37" i="22"/>
  <c r="E119" i="22"/>
  <c r="E29" i="22"/>
  <c r="E39" i="22"/>
  <c r="E25" i="22"/>
  <c r="E24" i="22"/>
  <c r="E109" i="22"/>
  <c r="E27" i="22"/>
  <c r="E36" i="22"/>
  <c r="E28" i="22"/>
  <c r="E104" i="22"/>
  <c r="I58" i="22"/>
  <c r="F295" i="24"/>
  <c r="G118" i="22"/>
  <c r="G107" i="22"/>
  <c r="G117" i="22"/>
  <c r="G105" i="22"/>
  <c r="G112" i="22"/>
  <c r="G36" i="22"/>
  <c r="G39" i="22"/>
  <c r="G34" i="22"/>
  <c r="G113" i="22"/>
  <c r="G111" i="22"/>
  <c r="G120" i="22"/>
  <c r="G119" i="22"/>
  <c r="G24" i="22"/>
  <c r="G25" i="22"/>
  <c r="G114" i="22"/>
  <c r="G116" i="22"/>
  <c r="G121" i="22"/>
  <c r="G108" i="22"/>
  <c r="G31" i="22"/>
  <c r="G33" i="22"/>
  <c r="G37" i="22"/>
  <c r="G59" i="22" s="1"/>
  <c r="G109" i="22"/>
  <c r="G28" i="22"/>
  <c r="G104" i="22"/>
  <c r="G115" i="22"/>
  <c r="G32" i="22"/>
  <c r="G26" i="22"/>
  <c r="G29" i="22"/>
  <c r="G35" i="22"/>
  <c r="G110" i="22"/>
  <c r="G38" i="22"/>
  <c r="G27" i="22"/>
  <c r="G23" i="22"/>
  <c r="G106" i="22"/>
  <c r="G30" i="22"/>
  <c r="G40" i="22"/>
  <c r="F56" i="22"/>
  <c r="I62" i="22"/>
  <c r="I67" i="22"/>
  <c r="I45" i="22"/>
  <c r="F48" i="22"/>
  <c r="F60" i="22"/>
  <c r="F53" i="22"/>
  <c r="F58" i="22"/>
  <c r="E295" i="24"/>
  <c r="I59" i="22"/>
  <c r="I61" i="22"/>
  <c r="H52" i="22" l="1"/>
  <c r="F566" i="23"/>
  <c r="F63" i="23"/>
  <c r="F157" i="22"/>
  <c r="H50" i="22"/>
  <c r="E49" i="22"/>
  <c r="H61" i="22"/>
  <c r="F150" i="22"/>
  <c r="I150" i="22"/>
  <c r="E55" i="22"/>
  <c r="E61" i="22"/>
  <c r="E48" i="22"/>
  <c r="H59" i="22"/>
  <c r="H56" i="22"/>
  <c r="G52" i="22"/>
  <c r="G48" i="22"/>
  <c r="G62" i="22"/>
  <c r="G50" i="22"/>
  <c r="G53" i="22"/>
  <c r="G61" i="22"/>
  <c r="E62" i="22"/>
  <c r="I157" i="22"/>
  <c r="G54" i="22"/>
  <c r="H46" i="22"/>
  <c r="G49" i="22"/>
  <c r="G51" i="22"/>
  <c r="G148" i="22"/>
  <c r="G55" i="22"/>
  <c r="G56" i="22"/>
  <c r="E52" i="22"/>
  <c r="E54" i="22"/>
  <c r="H51" i="22"/>
  <c r="H47" i="22"/>
  <c r="H49" i="22"/>
  <c r="H62" i="22"/>
  <c r="E148" i="22"/>
  <c r="E51" i="22"/>
  <c r="H53" i="22"/>
  <c r="H67" i="22"/>
  <c r="H45" i="22"/>
  <c r="I68" i="22"/>
  <c r="I87" i="22"/>
  <c r="G60" i="22"/>
  <c r="G47" i="22"/>
  <c r="G58" i="22"/>
  <c r="E50" i="22"/>
  <c r="E46" i="22"/>
  <c r="E57" i="22"/>
  <c r="F88" i="22"/>
  <c r="F69" i="22"/>
  <c r="H55" i="22"/>
  <c r="E67" i="22"/>
  <c r="E45" i="22"/>
  <c r="H60" i="22"/>
  <c r="G45" i="22"/>
  <c r="G67" i="22"/>
  <c r="G57" i="22"/>
  <c r="G46" i="22"/>
  <c r="E58" i="22"/>
  <c r="E47" i="22"/>
  <c r="E59" i="22"/>
  <c r="E56" i="22"/>
  <c r="E53" i="22"/>
  <c r="E60" i="22"/>
  <c r="H57" i="22"/>
  <c r="H148" i="22"/>
  <c r="H48" i="22"/>
  <c r="H54" i="22"/>
  <c r="E157" i="22" l="1"/>
  <c r="K29" i="23"/>
  <c r="I159" i="22"/>
  <c r="H29" i="23"/>
  <c r="F159" i="22"/>
  <c r="G150" i="22"/>
  <c r="G87" i="22"/>
  <c r="G68" i="22"/>
  <c r="F70" i="22"/>
  <c r="F89" i="22"/>
  <c r="G157" i="22"/>
  <c r="H157" i="22"/>
  <c r="I88" i="22"/>
  <c r="I69" i="22"/>
  <c r="H68" i="22"/>
  <c r="H87" i="22"/>
  <c r="E68" i="22"/>
  <c r="E87" i="22"/>
  <c r="I29" i="23" l="1"/>
  <c r="G159" i="22"/>
  <c r="J29" i="23"/>
  <c r="H159" i="22"/>
  <c r="G29" i="23"/>
  <c r="E159" i="22"/>
  <c r="E150" i="22"/>
  <c r="H150" i="22"/>
  <c r="F71" i="22"/>
  <c r="F90" i="22"/>
  <c r="H69" i="22"/>
  <c r="H88" i="22"/>
  <c r="G88" i="22"/>
  <c r="G69" i="22"/>
  <c r="E88" i="22"/>
  <c r="E69" i="22"/>
  <c r="I89" i="22"/>
  <c r="I70" i="22"/>
  <c r="I90" i="22" l="1"/>
  <c r="I71" i="22"/>
  <c r="G70" i="22"/>
  <c r="G89" i="22"/>
  <c r="H89" i="22"/>
  <c r="H70" i="22"/>
  <c r="E89" i="22"/>
  <c r="E70" i="22"/>
  <c r="F91" i="22"/>
  <c r="F72" i="22"/>
  <c r="H90" i="22" l="1"/>
  <c r="H71" i="22"/>
  <c r="F92" i="22"/>
  <c r="F73" i="22"/>
  <c r="E90" i="22"/>
  <c r="E71" i="22"/>
  <c r="I91" i="22"/>
  <c r="I72" i="22"/>
  <c r="G90" i="22"/>
  <c r="G71" i="22"/>
  <c r="I73" i="22" l="1"/>
  <c r="K100" i="23" s="1"/>
  <c r="K131" i="23" s="1"/>
  <c r="K132" i="23" s="1"/>
  <c r="I92" i="22"/>
  <c r="H91" i="22"/>
  <c r="H72" i="22"/>
  <c r="F93" i="22"/>
  <c r="F74" i="22"/>
  <c r="G91" i="22"/>
  <c r="G72" i="22"/>
  <c r="E72" i="22"/>
  <c r="E91" i="22"/>
  <c r="G92" i="22" l="1"/>
  <c r="G73" i="22"/>
  <c r="H92" i="22"/>
  <c r="H73" i="22"/>
  <c r="F75" i="22"/>
  <c r="F94" i="22"/>
  <c r="E92" i="22"/>
  <c r="E73" i="22"/>
  <c r="I74" i="22"/>
  <c r="I93" i="22"/>
  <c r="H93" i="22" l="1"/>
  <c r="H74" i="22"/>
  <c r="F95" i="22"/>
  <c r="F76" i="22"/>
  <c r="E93" i="22"/>
  <c r="E74" i="22"/>
  <c r="G93" i="22"/>
  <c r="G74" i="22"/>
  <c r="I94" i="22"/>
  <c r="I75" i="22"/>
  <c r="G94" i="22" l="1"/>
  <c r="G75" i="22"/>
  <c r="H94" i="22"/>
  <c r="H75" i="22"/>
  <c r="J100" i="23" s="1"/>
  <c r="J131" i="23" s="1"/>
  <c r="J132" i="23" s="1"/>
  <c r="F96" i="22"/>
  <c r="F77" i="22"/>
  <c r="I76" i="22"/>
  <c r="I95" i="22"/>
  <c r="E94" i="22"/>
  <c r="E75" i="22"/>
  <c r="H95" i="22" l="1"/>
  <c r="H76" i="22"/>
  <c r="E95" i="22"/>
  <c r="E76" i="22"/>
  <c r="G95" i="22"/>
  <c r="G76" i="22"/>
  <c r="I96" i="22"/>
  <c r="I77" i="22"/>
  <c r="F97" i="22"/>
  <c r="F99" i="22" s="1"/>
  <c r="F153" i="22" s="1"/>
  <c r="F160" i="22" s="1"/>
  <c r="F78" i="22"/>
  <c r="F79" i="22" s="1"/>
  <c r="F80" i="22" s="1"/>
  <c r="F81" i="22" s="1"/>
  <c r="F187" i="22" l="1"/>
  <c r="F201" i="22" s="1"/>
  <c r="F203" i="22" s="1"/>
  <c r="F205" i="22" s="1"/>
  <c r="H100" i="23" s="1"/>
  <c r="H131" i="23" s="1"/>
  <c r="H132" i="23" s="1"/>
  <c r="H28" i="23"/>
  <c r="H30" i="23" s="1"/>
  <c r="H61" i="23" s="1"/>
  <c r="E96" i="22"/>
  <c r="E77" i="22"/>
  <c r="G77" i="22"/>
  <c r="G96" i="22"/>
  <c r="H77" i="22"/>
  <c r="H96" i="22"/>
  <c r="I97" i="22"/>
  <c r="I78" i="22"/>
  <c r="I79" i="22" s="1"/>
  <c r="I80" i="22" s="1"/>
  <c r="I81" i="22" s="1"/>
  <c r="I99" i="22" l="1"/>
  <c r="I153" i="22" s="1"/>
  <c r="I160" i="22" s="1"/>
  <c r="F189" i="22"/>
  <c r="H510" i="23" s="1"/>
  <c r="G97" i="22"/>
  <c r="G99" i="22" s="1"/>
  <c r="G153" i="22" s="1"/>
  <c r="G78" i="22"/>
  <c r="G79" i="22" s="1"/>
  <c r="G80" i="22" s="1"/>
  <c r="G81" i="22" s="1"/>
  <c r="E97" i="22"/>
  <c r="E99" i="22" s="1"/>
  <c r="E153" i="22" s="1"/>
  <c r="E160" i="22" s="1"/>
  <c r="E78" i="22"/>
  <c r="E79" i="22" s="1"/>
  <c r="E80" i="22" s="1"/>
  <c r="E81" i="22" s="1"/>
  <c r="H97" i="22"/>
  <c r="H99" i="22" s="1"/>
  <c r="H153" i="22" s="1"/>
  <c r="H160" i="22" s="1"/>
  <c r="H78" i="22"/>
  <c r="H79" i="22" s="1"/>
  <c r="H80" i="22" s="1"/>
  <c r="H81" i="22" s="1"/>
  <c r="F193" i="22" l="1"/>
  <c r="H511" i="23" s="1"/>
  <c r="G160" i="22"/>
  <c r="G187" i="22" s="1"/>
  <c r="I28" i="23"/>
  <c r="I30" i="23" s="1"/>
  <c r="I61" i="23" s="1"/>
  <c r="I187" i="22"/>
  <c r="I189" i="22" s="1"/>
  <c r="K510" i="23" s="1"/>
  <c r="K28" i="23"/>
  <c r="K30" i="23" s="1"/>
  <c r="K61" i="23" s="1"/>
  <c r="H7" i="23"/>
  <c r="F195" i="22"/>
  <c r="H512" i="23" s="1"/>
  <c r="E187" i="22"/>
  <c r="E201" i="22" s="1"/>
  <c r="E203" i="22" s="1"/>
  <c r="E205" i="22" s="1"/>
  <c r="G100" i="23" s="1"/>
  <c r="G131" i="23" s="1"/>
  <c r="G132" i="23" s="1"/>
  <c r="G28" i="23"/>
  <c r="G30" i="23" s="1"/>
  <c r="G61" i="23" s="1"/>
  <c r="H187" i="22"/>
  <c r="H189" i="22" s="1"/>
  <c r="J510" i="23" s="1"/>
  <c r="J28" i="23"/>
  <c r="J30" i="23" s="1"/>
  <c r="J61" i="23" s="1"/>
  <c r="G152" i="22"/>
  <c r="H8" i="23" l="1"/>
  <c r="H193" i="22"/>
  <c r="J511" i="23" s="1"/>
  <c r="I193" i="22"/>
  <c r="F196" i="22"/>
  <c r="H513" i="23" s="1"/>
  <c r="H9" i="23"/>
  <c r="K7" i="23"/>
  <c r="I195" i="22"/>
  <c r="K512" i="23" s="1"/>
  <c r="E189" i="22"/>
  <c r="G510" i="23" s="1"/>
  <c r="J7" i="23"/>
  <c r="H195" i="22"/>
  <c r="J512" i="23" s="1"/>
  <c r="G201" i="22"/>
  <c r="G203" i="22" s="1"/>
  <c r="G205" i="22" s="1"/>
  <c r="I100" i="23" s="1"/>
  <c r="I131" i="23" s="1"/>
  <c r="I132" i="23" s="1"/>
  <c r="G189" i="22"/>
  <c r="I510" i="23" s="1"/>
  <c r="K8" i="23" l="1"/>
  <c r="K511" i="23"/>
  <c r="J8" i="23"/>
  <c r="H196" i="22"/>
  <c r="E195" i="22"/>
  <c r="G512" i="23" s="1"/>
  <c r="K9" i="23"/>
  <c r="I196" i="22"/>
  <c r="K513" i="23" s="1"/>
  <c r="J9" i="23"/>
  <c r="H10" i="23"/>
  <c r="E193" i="22"/>
  <c r="G511" i="23" s="1"/>
  <c r="G7" i="23"/>
  <c r="G195" i="22"/>
  <c r="I512" i="23" s="1"/>
  <c r="G193" i="22"/>
  <c r="I511" i="23" s="1"/>
  <c r="I7" i="23"/>
  <c r="J10" i="23" l="1"/>
  <c r="J566" i="23" s="1"/>
  <c r="J513" i="23"/>
  <c r="I9" i="23"/>
  <c r="H566" i="23"/>
  <c r="H63" i="23"/>
  <c r="K10" i="23"/>
  <c r="G9" i="23"/>
  <c r="G8" i="23"/>
  <c r="E196" i="22"/>
  <c r="G513" i="23" s="1"/>
  <c r="I8" i="23"/>
  <c r="G196" i="22"/>
  <c r="I513" i="23" s="1"/>
  <c r="D5" i="34"/>
  <c r="F5" i="34"/>
  <c r="G5" i="34"/>
  <c r="H5" i="34"/>
  <c r="E322" i="24"/>
  <c r="E327" i="24" s="1"/>
  <c r="E317" i="24" s="1"/>
  <c r="I149" i="23" s="1"/>
  <c r="E5" i="34"/>
  <c r="F322" i="24"/>
  <c r="F327" i="24" s="1"/>
  <c r="F317" i="24" s="1"/>
  <c r="J149" i="23" s="1"/>
  <c r="B322" i="24"/>
  <c r="B327" i="24" s="1"/>
  <c r="D322" i="24"/>
  <c r="D327" i="24" s="1"/>
  <c r="D317" i="24" s="1"/>
  <c r="H149" i="23" s="1"/>
  <c r="C322" i="24"/>
  <c r="C327" i="24" s="1"/>
  <c r="I5" i="34"/>
  <c r="G322" i="24"/>
  <c r="G327" i="24" s="1"/>
  <c r="G317" i="24" s="1"/>
  <c r="K149" i="23" s="1"/>
  <c r="J63" i="23" l="1"/>
  <c r="G10" i="23"/>
  <c r="G566" i="23" s="1"/>
  <c r="I10" i="23"/>
  <c r="I566" i="23" s="1"/>
  <c r="K566" i="23"/>
  <c r="K63" i="23"/>
  <c r="B320" i="24"/>
  <c r="B317" i="24"/>
  <c r="F149" i="23" s="1"/>
  <c r="C320" i="24"/>
  <c r="C317" i="24"/>
  <c r="G149" i="23" s="1"/>
  <c r="C328" i="24"/>
  <c r="C329" i="24" s="1"/>
  <c r="B328" i="24"/>
  <c r="B329" i="24" s="1"/>
  <c r="D320" i="24"/>
  <c r="D328" i="24"/>
  <c r="D329" i="24" s="1"/>
  <c r="F320" i="24"/>
  <c r="F328" i="24"/>
  <c r="F329" i="24" s="1"/>
  <c r="G320" i="24"/>
  <c r="G328" i="24"/>
  <c r="G329" i="24" s="1"/>
  <c r="E320" i="24"/>
  <c r="E328" i="24"/>
  <c r="E329" i="24" s="1"/>
  <c r="F344" i="24"/>
  <c r="D344" i="24"/>
  <c r="E344" i="24"/>
  <c r="C344" i="24"/>
  <c r="G344" i="24"/>
  <c r="B344" i="24"/>
  <c r="G63" i="23" l="1"/>
  <c r="H29" i="49"/>
  <c r="I29" i="49" s="1"/>
  <c r="H30" i="49"/>
  <c r="I30" i="49" s="1"/>
  <c r="H31" i="49"/>
  <c r="I31" i="49" s="1"/>
  <c r="I63" i="23"/>
  <c r="D337" i="24"/>
  <c r="D334" i="24"/>
  <c r="C334" i="24"/>
  <c r="G214" i="23" s="1"/>
  <c r="B337" i="24"/>
  <c r="B334" i="24"/>
  <c r="F214" i="23" s="1"/>
  <c r="G345" i="24"/>
  <c r="G346" i="24" s="1"/>
  <c r="G334" i="24"/>
  <c r="F334" i="24"/>
  <c r="E337" i="24"/>
  <c r="E334" i="24"/>
  <c r="E4" i="34"/>
  <c r="C319" i="24"/>
  <c r="B319" i="24"/>
  <c r="E345" i="24"/>
  <c r="E346" i="24" s="1"/>
  <c r="D319" i="24"/>
  <c r="F4" i="34"/>
  <c r="F319" i="24"/>
  <c r="H4" i="34"/>
  <c r="G319" i="24"/>
  <c r="I4" i="34"/>
  <c r="C345" i="24"/>
  <c r="C346" i="24" s="1"/>
  <c r="E319" i="24"/>
  <c r="G4" i="34"/>
  <c r="D345" i="24"/>
  <c r="D346" i="24" s="1"/>
  <c r="F345" i="24"/>
  <c r="F346" i="24" s="1"/>
  <c r="G337" i="24"/>
  <c r="B345" i="24"/>
  <c r="B346" i="24" s="1"/>
  <c r="F337" i="24"/>
  <c r="C337" i="24"/>
  <c r="E5" i="40"/>
  <c r="F5" i="40"/>
  <c r="E356" i="24"/>
  <c r="E361" i="24" s="1"/>
  <c r="E351" i="24" s="1"/>
  <c r="K282" i="23" s="1"/>
  <c r="G5" i="40"/>
  <c r="D356" i="24"/>
  <c r="D361" i="24" s="1"/>
  <c r="C356" i="24"/>
  <c r="C361" i="24" s="1"/>
  <c r="C351" i="24" s="1"/>
  <c r="I282" i="23" s="1"/>
  <c r="C426" i="24" l="1" a="1"/>
  <c r="D11" i="34"/>
  <c r="G23" i="34"/>
  <c r="G27" i="34"/>
  <c r="G31" i="34"/>
  <c r="G35" i="34"/>
  <c r="G39" i="34"/>
  <c r="G43" i="34"/>
  <c r="G24" i="34"/>
  <c r="G28" i="34"/>
  <c r="G32" i="34"/>
  <c r="G36" i="34"/>
  <c r="G40" i="34"/>
  <c r="G44" i="34"/>
  <c r="G25" i="34"/>
  <c r="G29" i="34"/>
  <c r="G33" i="34"/>
  <c r="G37" i="34"/>
  <c r="G41" i="34"/>
  <c r="G45" i="34"/>
  <c r="G30" i="34"/>
  <c r="G22" i="34"/>
  <c r="G42" i="34"/>
  <c r="G34" i="34"/>
  <c r="G38" i="34"/>
  <c r="G26" i="34"/>
  <c r="H24" i="34"/>
  <c r="H28" i="34"/>
  <c r="H32" i="34"/>
  <c r="H36" i="34"/>
  <c r="H40" i="34"/>
  <c r="H44" i="34"/>
  <c r="H25" i="34"/>
  <c r="H29" i="34"/>
  <c r="H33" i="34"/>
  <c r="H37" i="34"/>
  <c r="H41" i="34"/>
  <c r="H45" i="34"/>
  <c r="H26" i="34"/>
  <c r="H30" i="34"/>
  <c r="H34" i="34"/>
  <c r="H38" i="34"/>
  <c r="H42" i="34"/>
  <c r="H23" i="34"/>
  <c r="H39" i="34"/>
  <c r="H22" i="34"/>
  <c r="H35" i="34"/>
  <c r="H27" i="34"/>
  <c r="H43" i="34"/>
  <c r="H31" i="34"/>
  <c r="E23" i="34"/>
  <c r="E27" i="34"/>
  <c r="E31" i="34"/>
  <c r="E35" i="34"/>
  <c r="E39" i="34"/>
  <c r="E43" i="34"/>
  <c r="E24" i="34"/>
  <c r="E28" i="34"/>
  <c r="E32" i="34"/>
  <c r="E36" i="34"/>
  <c r="E40" i="34"/>
  <c r="E44" i="34"/>
  <c r="E25" i="34"/>
  <c r="E29" i="34"/>
  <c r="E33" i="34"/>
  <c r="E37" i="34"/>
  <c r="E41" i="34"/>
  <c r="E45" i="34"/>
  <c r="E30" i="34"/>
  <c r="E22" i="34"/>
  <c r="E26" i="34"/>
  <c r="E42" i="34"/>
  <c r="E34" i="34"/>
  <c r="E38" i="34"/>
  <c r="I34" i="34"/>
  <c r="I38" i="34"/>
  <c r="I42" i="34"/>
  <c r="I23" i="34"/>
  <c r="I27" i="34"/>
  <c r="I31" i="34"/>
  <c r="I35" i="34"/>
  <c r="I39" i="34"/>
  <c r="I43" i="34"/>
  <c r="I24" i="34"/>
  <c r="I28" i="34"/>
  <c r="I32" i="34"/>
  <c r="I36" i="34"/>
  <c r="I40" i="34"/>
  <c r="I25" i="34"/>
  <c r="I33" i="34"/>
  <c r="I29" i="34"/>
  <c r="I45" i="34"/>
  <c r="I41" i="34"/>
  <c r="I26" i="34"/>
  <c r="I22" i="34"/>
  <c r="I44" i="34"/>
  <c r="I37" i="34"/>
  <c r="I30" i="34"/>
  <c r="F23" i="34"/>
  <c r="F27" i="34"/>
  <c r="F31" i="34"/>
  <c r="F35" i="34"/>
  <c r="F39" i="34"/>
  <c r="F43" i="34"/>
  <c r="F24" i="34"/>
  <c r="F28" i="34"/>
  <c r="F32" i="34"/>
  <c r="F36" i="34"/>
  <c r="F40" i="34"/>
  <c r="F44" i="34"/>
  <c r="F25" i="34"/>
  <c r="F29" i="34"/>
  <c r="F33" i="34"/>
  <c r="F37" i="34"/>
  <c r="F41" i="34"/>
  <c r="F45" i="34"/>
  <c r="F38" i="34"/>
  <c r="F22" i="34"/>
  <c r="F34" i="34"/>
  <c r="F26" i="34"/>
  <c r="F42" i="34"/>
  <c r="F30" i="34"/>
  <c r="G116" i="34"/>
  <c r="G120" i="34"/>
  <c r="G124" i="34"/>
  <c r="G128" i="34"/>
  <c r="G132" i="34"/>
  <c r="G136" i="34"/>
  <c r="G117" i="34"/>
  <c r="G121" i="34"/>
  <c r="G125" i="34"/>
  <c r="G129" i="34"/>
  <c r="G133" i="34"/>
  <c r="G137" i="34"/>
  <c r="G122" i="34"/>
  <c r="G130" i="34"/>
  <c r="G123" i="34"/>
  <c r="G131" i="34"/>
  <c r="G115" i="34"/>
  <c r="G118" i="34"/>
  <c r="G126" i="34"/>
  <c r="G134" i="34"/>
  <c r="G119" i="34"/>
  <c r="G127" i="34"/>
  <c r="G135" i="34"/>
  <c r="G138" i="34"/>
  <c r="H116" i="34"/>
  <c r="H120" i="34"/>
  <c r="H124" i="34"/>
  <c r="H128" i="34"/>
  <c r="H132" i="34"/>
  <c r="H136" i="34"/>
  <c r="H117" i="34"/>
  <c r="H121" i="34"/>
  <c r="H125" i="34"/>
  <c r="H129" i="34"/>
  <c r="H133" i="34"/>
  <c r="H137" i="34"/>
  <c r="H123" i="34"/>
  <c r="H131" i="34"/>
  <c r="H115" i="34"/>
  <c r="H118" i="34"/>
  <c r="H126" i="34"/>
  <c r="H134" i="34"/>
  <c r="H119" i="34"/>
  <c r="H127" i="34"/>
  <c r="H135" i="34"/>
  <c r="H122" i="34"/>
  <c r="H130" i="34"/>
  <c r="H138" i="34"/>
  <c r="E116" i="34"/>
  <c r="E120" i="34"/>
  <c r="E124" i="34"/>
  <c r="E128" i="34"/>
  <c r="E132" i="34"/>
  <c r="E136" i="34"/>
  <c r="E117" i="34"/>
  <c r="E121" i="34"/>
  <c r="E125" i="34"/>
  <c r="E129" i="34"/>
  <c r="E133" i="34"/>
  <c r="E137" i="34"/>
  <c r="E122" i="34"/>
  <c r="E130" i="34"/>
  <c r="E138" i="34"/>
  <c r="E123" i="34"/>
  <c r="E131" i="34"/>
  <c r="E115" i="34"/>
  <c r="E118" i="34"/>
  <c r="E126" i="34"/>
  <c r="E134" i="34"/>
  <c r="E119" i="34"/>
  <c r="E127" i="34"/>
  <c r="E135" i="34"/>
  <c r="I116" i="34"/>
  <c r="I120" i="34"/>
  <c r="I124" i="34"/>
  <c r="I128" i="34"/>
  <c r="I132" i="34"/>
  <c r="I136" i="34"/>
  <c r="I117" i="34"/>
  <c r="I122" i="34"/>
  <c r="I127" i="34"/>
  <c r="I133" i="34"/>
  <c r="I138" i="34"/>
  <c r="I118" i="34"/>
  <c r="I123" i="34"/>
  <c r="I129" i="34"/>
  <c r="I134" i="34"/>
  <c r="I115" i="34"/>
  <c r="I119" i="34"/>
  <c r="I125" i="34"/>
  <c r="I130" i="34"/>
  <c r="I135" i="34"/>
  <c r="I121" i="34"/>
  <c r="I126" i="34"/>
  <c r="I131" i="34"/>
  <c r="I137" i="34"/>
  <c r="F116" i="34"/>
  <c r="F120" i="34"/>
  <c r="F124" i="34"/>
  <c r="F128" i="34"/>
  <c r="F132" i="34"/>
  <c r="F136" i="34"/>
  <c r="F117" i="34"/>
  <c r="F121" i="34"/>
  <c r="F125" i="34"/>
  <c r="F129" i="34"/>
  <c r="F133" i="34"/>
  <c r="F137" i="34"/>
  <c r="F122" i="34"/>
  <c r="F130" i="34"/>
  <c r="F138" i="34"/>
  <c r="F123" i="34"/>
  <c r="F131" i="34"/>
  <c r="F115" i="34"/>
  <c r="F118" i="34"/>
  <c r="F126" i="34"/>
  <c r="F134" i="34"/>
  <c r="F119" i="34"/>
  <c r="F127" i="34"/>
  <c r="F135" i="34"/>
  <c r="G112" i="34"/>
  <c r="G158" i="34"/>
  <c r="E112" i="34"/>
  <c r="E158" i="34"/>
  <c r="H112" i="34"/>
  <c r="H158" i="34"/>
  <c r="I112" i="34"/>
  <c r="I158" i="34"/>
  <c r="F112" i="34"/>
  <c r="F158" i="34"/>
  <c r="K214" i="23"/>
  <c r="I4" i="37" s="1"/>
  <c r="E4" i="37"/>
  <c r="B336" i="24"/>
  <c r="D4" i="37"/>
  <c r="H4" i="37"/>
  <c r="F4" i="37"/>
  <c r="D336" i="24"/>
  <c r="D354" i="24"/>
  <c r="D351" i="24"/>
  <c r="J282" i="23" s="1"/>
  <c r="C336" i="24"/>
  <c r="E336" i="24"/>
  <c r="G336" i="24"/>
  <c r="F336" i="24"/>
  <c r="C353" i="24"/>
  <c r="E4" i="40"/>
  <c r="C254" i="24" a="1"/>
  <c r="D4" i="34"/>
  <c r="E354" i="24"/>
  <c r="E362" i="24"/>
  <c r="E363" i="24" s="1"/>
  <c r="D362" i="24"/>
  <c r="D363" i="24" s="1"/>
  <c r="C354" i="24"/>
  <c r="C362" i="24"/>
  <c r="C363" i="24" s="1"/>
  <c r="D197" i="34" l="1"/>
  <c r="F194" i="23" s="1"/>
  <c r="F174" i="23"/>
  <c r="F172" i="23"/>
  <c r="F173" i="23"/>
  <c r="F187" i="23"/>
  <c r="F186" i="23"/>
  <c r="F188" i="23"/>
  <c r="F182" i="23"/>
  <c r="F169" i="23"/>
  <c r="F170" i="23"/>
  <c r="F190" i="23"/>
  <c r="F189" i="23"/>
  <c r="F168" i="23"/>
  <c r="F181" i="23"/>
  <c r="F171" i="23"/>
  <c r="F175" i="23"/>
  <c r="F180" i="23"/>
  <c r="F183" i="23" s="1"/>
  <c r="F176" i="23"/>
  <c r="D13" i="34"/>
  <c r="C426" i="24"/>
  <c r="C427" i="24"/>
  <c r="C428" i="24"/>
  <c r="C431" i="24"/>
  <c r="C429" i="24"/>
  <c r="C430" i="24"/>
  <c r="I26" i="37"/>
  <c r="I30" i="37"/>
  <c r="I34" i="37"/>
  <c r="I38" i="37"/>
  <c r="I42" i="37"/>
  <c r="I22" i="37"/>
  <c r="I78" i="37" s="1"/>
  <c r="I25" i="37"/>
  <c r="I41" i="37"/>
  <c r="I23" i="37"/>
  <c r="I27" i="37"/>
  <c r="I31" i="37"/>
  <c r="I35" i="37"/>
  <c r="I39" i="37"/>
  <c r="I43" i="37"/>
  <c r="I33" i="37"/>
  <c r="I45" i="37"/>
  <c r="I24" i="37"/>
  <c r="I28" i="37"/>
  <c r="I32" i="37"/>
  <c r="I36" i="37"/>
  <c r="I40" i="37"/>
  <c r="I44" i="37"/>
  <c r="I29" i="37"/>
  <c r="I37" i="37"/>
  <c r="E139" i="40"/>
  <c r="E143" i="40"/>
  <c r="E147" i="40"/>
  <c r="E151" i="40"/>
  <c r="E155" i="40"/>
  <c r="E159" i="40"/>
  <c r="E140" i="40"/>
  <c r="E144" i="40"/>
  <c r="E148" i="40"/>
  <c r="E152" i="40"/>
  <c r="E156" i="40"/>
  <c r="E160" i="40"/>
  <c r="E141" i="40"/>
  <c r="E145" i="40"/>
  <c r="E149" i="40"/>
  <c r="E153" i="40"/>
  <c r="E157" i="40"/>
  <c r="E161" i="40"/>
  <c r="E154" i="40"/>
  <c r="E142" i="40"/>
  <c r="E158" i="40"/>
  <c r="E146" i="40"/>
  <c r="E138" i="40"/>
  <c r="E150" i="40"/>
  <c r="F165" i="37"/>
  <c r="F167" i="37" s="1"/>
  <c r="F139" i="37"/>
  <c r="F143" i="37"/>
  <c r="F147" i="37"/>
  <c r="F151" i="37"/>
  <c r="F155" i="37"/>
  <c r="F159" i="37"/>
  <c r="F140" i="37"/>
  <c r="F144" i="37"/>
  <c r="F148" i="37"/>
  <c r="F152" i="37"/>
  <c r="F156" i="37"/>
  <c r="F160" i="37"/>
  <c r="F141" i="37"/>
  <c r="F145" i="37"/>
  <c r="F149" i="37"/>
  <c r="F153" i="37"/>
  <c r="F157" i="37"/>
  <c r="F161" i="37"/>
  <c r="F142" i="37"/>
  <c r="F158" i="37"/>
  <c r="F146" i="37"/>
  <c r="F138" i="37"/>
  <c r="F150" i="37"/>
  <c r="F154" i="37"/>
  <c r="H165" i="37"/>
  <c r="H167" i="37" s="1"/>
  <c r="H140" i="37"/>
  <c r="H144" i="37"/>
  <c r="H148" i="37"/>
  <c r="H152" i="37"/>
  <c r="H156" i="37"/>
  <c r="H160" i="37"/>
  <c r="H141" i="37"/>
  <c r="H145" i="37"/>
  <c r="H149" i="37"/>
  <c r="H153" i="37"/>
  <c r="H157" i="37"/>
  <c r="H161" i="37"/>
  <c r="H139" i="37"/>
  <c r="H147" i="37"/>
  <c r="H155" i="37"/>
  <c r="H142" i="37"/>
  <c r="H150" i="37"/>
  <c r="H158" i="37"/>
  <c r="H143" i="37"/>
  <c r="H151" i="37"/>
  <c r="H159" i="37"/>
  <c r="H146" i="37"/>
  <c r="H154" i="37"/>
  <c r="H138" i="37"/>
  <c r="I165" i="37"/>
  <c r="I167" i="37" s="1"/>
  <c r="I140" i="37"/>
  <c r="I52" i="37" s="1"/>
  <c r="I144" i="37"/>
  <c r="I56" i="37" s="1"/>
  <c r="I148" i="37"/>
  <c r="I152" i="37"/>
  <c r="I156" i="37"/>
  <c r="I68" i="37" s="1"/>
  <c r="I160" i="37"/>
  <c r="I141" i="37"/>
  <c r="I145" i="37"/>
  <c r="I149" i="37"/>
  <c r="I153" i="37"/>
  <c r="I157" i="37"/>
  <c r="I161" i="37"/>
  <c r="I139" i="37"/>
  <c r="I51" i="37" s="1"/>
  <c r="I147" i="37"/>
  <c r="I155" i="37"/>
  <c r="I67" i="37" s="1"/>
  <c r="I142" i="37"/>
  <c r="I54" i="37" s="1"/>
  <c r="I150" i="37"/>
  <c r="I158" i="37"/>
  <c r="I70" i="37" s="1"/>
  <c r="I143" i="37"/>
  <c r="I55" i="37" s="1"/>
  <c r="I151" i="37"/>
  <c r="I159" i="37"/>
  <c r="I146" i="37"/>
  <c r="I58" i="37" s="1"/>
  <c r="I154" i="37"/>
  <c r="I138" i="37"/>
  <c r="D165" i="37"/>
  <c r="D167" i="37" s="1"/>
  <c r="D139" i="37"/>
  <c r="D143" i="37"/>
  <c r="D147" i="37"/>
  <c r="D151" i="37"/>
  <c r="D155" i="37"/>
  <c r="D159" i="37"/>
  <c r="D138" i="37"/>
  <c r="D140" i="37"/>
  <c r="D144" i="37"/>
  <c r="D148" i="37"/>
  <c r="D152" i="37"/>
  <c r="D156" i="37"/>
  <c r="D160" i="37"/>
  <c r="D141" i="37"/>
  <c r="D145" i="37"/>
  <c r="D149" i="37"/>
  <c r="D153" i="37"/>
  <c r="D157" i="37"/>
  <c r="D161" i="37"/>
  <c r="D142" i="37"/>
  <c r="D146" i="37"/>
  <c r="D150" i="37"/>
  <c r="D154" i="37"/>
  <c r="D158" i="37"/>
  <c r="E165" i="37"/>
  <c r="E167" i="37" s="1"/>
  <c r="E142" i="37"/>
  <c r="E146" i="37"/>
  <c r="E150" i="37"/>
  <c r="E154" i="37"/>
  <c r="E158" i="37"/>
  <c r="E139" i="37"/>
  <c r="E143" i="37"/>
  <c r="E147" i="37"/>
  <c r="E151" i="37"/>
  <c r="E155" i="37"/>
  <c r="E159" i="37"/>
  <c r="E140" i="37"/>
  <c r="E144" i="37"/>
  <c r="E148" i="37"/>
  <c r="E152" i="37"/>
  <c r="E156" i="37"/>
  <c r="E160" i="37"/>
  <c r="E149" i="37"/>
  <c r="E138" i="37"/>
  <c r="E153" i="37"/>
  <c r="E141" i="37"/>
  <c r="E157" i="37"/>
  <c r="E145" i="37"/>
  <c r="E161" i="37"/>
  <c r="F65" i="34"/>
  <c r="F72" i="34"/>
  <c r="F63" i="34"/>
  <c r="I67" i="34"/>
  <c r="E66" i="34"/>
  <c r="E65" i="34"/>
  <c r="E72" i="34"/>
  <c r="E63" i="34"/>
  <c r="H66" i="34"/>
  <c r="H73" i="34"/>
  <c r="H64" i="34"/>
  <c r="G65" i="34"/>
  <c r="G72" i="34"/>
  <c r="G63" i="34"/>
  <c r="F70" i="34"/>
  <c r="F66" i="34"/>
  <c r="F68" i="34"/>
  <c r="I65" i="34"/>
  <c r="I69" i="34"/>
  <c r="I63" i="34"/>
  <c r="I70" i="34"/>
  <c r="E62" i="34"/>
  <c r="E68" i="34"/>
  <c r="H71" i="34"/>
  <c r="H67" i="34"/>
  <c r="H62" i="34"/>
  <c r="H69" i="34"/>
  <c r="G66" i="34"/>
  <c r="G68" i="34"/>
  <c r="F73" i="34"/>
  <c r="F64" i="34"/>
  <c r="F71" i="34"/>
  <c r="I72" i="34"/>
  <c r="I73" i="34"/>
  <c r="I68" i="34"/>
  <c r="I66" i="34"/>
  <c r="E70" i="34"/>
  <c r="E73" i="34"/>
  <c r="E64" i="34"/>
  <c r="E71" i="34"/>
  <c r="H65" i="34"/>
  <c r="H72" i="34"/>
  <c r="G62" i="34"/>
  <c r="G73" i="34"/>
  <c r="G64" i="34"/>
  <c r="G71" i="34"/>
  <c r="F62" i="34"/>
  <c r="F69" i="34"/>
  <c r="F67" i="34"/>
  <c r="I64" i="34"/>
  <c r="I71" i="34"/>
  <c r="I62" i="34"/>
  <c r="E69" i="34"/>
  <c r="E67" i="34"/>
  <c r="H63" i="34"/>
  <c r="H70" i="34"/>
  <c r="H68" i="34"/>
  <c r="G70" i="34"/>
  <c r="G69" i="34"/>
  <c r="G67" i="34"/>
  <c r="D23" i="34"/>
  <c r="D27" i="34"/>
  <c r="D31" i="34"/>
  <c r="D35" i="34"/>
  <c r="D39" i="34"/>
  <c r="D43" i="34"/>
  <c r="D24" i="34"/>
  <c r="D28" i="34"/>
  <c r="D32" i="34"/>
  <c r="D36" i="34"/>
  <c r="D40" i="34"/>
  <c r="D44" i="34"/>
  <c r="D25" i="34"/>
  <c r="D29" i="34"/>
  <c r="D33" i="34"/>
  <c r="D37" i="34"/>
  <c r="D41" i="34"/>
  <c r="D45" i="34"/>
  <c r="D38" i="34"/>
  <c r="D34" i="34"/>
  <c r="D26" i="34"/>
  <c r="D42" i="34"/>
  <c r="D30" i="34"/>
  <c r="D22" i="34"/>
  <c r="F60" i="34"/>
  <c r="H54" i="34"/>
  <c r="H52" i="34"/>
  <c r="D116" i="34"/>
  <c r="D120" i="34"/>
  <c r="D124" i="34"/>
  <c r="D128" i="34"/>
  <c r="D132" i="34"/>
  <c r="D136" i="34"/>
  <c r="D117" i="34"/>
  <c r="D121" i="34"/>
  <c r="D125" i="34"/>
  <c r="D129" i="34"/>
  <c r="D133" i="34"/>
  <c r="D137" i="34"/>
  <c r="D122" i="34"/>
  <c r="D130" i="34"/>
  <c r="D138" i="34"/>
  <c r="D123" i="34"/>
  <c r="D131" i="34"/>
  <c r="D115" i="34"/>
  <c r="D118" i="34"/>
  <c r="D126" i="34"/>
  <c r="D134" i="34"/>
  <c r="D119" i="34"/>
  <c r="D127" i="34"/>
  <c r="D135" i="34"/>
  <c r="I50" i="34"/>
  <c r="I58" i="34"/>
  <c r="E54" i="34"/>
  <c r="E52" i="34"/>
  <c r="F112" i="37"/>
  <c r="F115" i="37" s="1"/>
  <c r="E112" i="37"/>
  <c r="E24" i="37" s="1"/>
  <c r="D112" i="34"/>
  <c r="D158" i="34"/>
  <c r="H112" i="37"/>
  <c r="I112" i="37"/>
  <c r="I116" i="37" s="1"/>
  <c r="D112" i="37"/>
  <c r="D120" i="37" s="1"/>
  <c r="E112" i="40"/>
  <c r="E23" i="40" s="1"/>
  <c r="E51" i="40" s="1"/>
  <c r="E165" i="40"/>
  <c r="E116" i="37"/>
  <c r="C263" i="24" a="1"/>
  <c r="C265" i="24" s="1"/>
  <c r="H130" i="37"/>
  <c r="H119" i="37"/>
  <c r="H132" i="37"/>
  <c r="H127" i="37"/>
  <c r="H23" i="37"/>
  <c r="H125" i="37"/>
  <c r="H33" i="37"/>
  <c r="H61" i="37" s="1"/>
  <c r="H124" i="37"/>
  <c r="F131" i="37"/>
  <c r="F127" i="37"/>
  <c r="F25" i="37"/>
  <c r="F124" i="37"/>
  <c r="G4" i="37"/>
  <c r="I56" i="34"/>
  <c r="G51" i="34"/>
  <c r="H60" i="34"/>
  <c r="G53" i="34"/>
  <c r="H53" i="34"/>
  <c r="H59" i="34"/>
  <c r="F58" i="34"/>
  <c r="H51" i="34"/>
  <c r="E57" i="34"/>
  <c r="H55" i="34"/>
  <c r="E59" i="34"/>
  <c r="F57" i="34"/>
  <c r="H56" i="34"/>
  <c r="G60" i="34"/>
  <c r="F51" i="34"/>
  <c r="I53" i="34"/>
  <c r="G61" i="34"/>
  <c r="I51" i="34"/>
  <c r="G52" i="34"/>
  <c r="F59" i="34"/>
  <c r="I55" i="34"/>
  <c r="H58" i="34"/>
  <c r="G160" i="34"/>
  <c r="F52" i="34"/>
  <c r="F160" i="34"/>
  <c r="F54" i="34"/>
  <c r="F56" i="34"/>
  <c r="I61" i="34"/>
  <c r="E61" i="34"/>
  <c r="G54" i="34"/>
  <c r="F55" i="34"/>
  <c r="F61" i="34"/>
  <c r="I60" i="34"/>
  <c r="I78" i="34"/>
  <c r="I52" i="34"/>
  <c r="E53" i="34"/>
  <c r="E58" i="34"/>
  <c r="H57" i="34"/>
  <c r="E353" i="24"/>
  <c r="G4" i="40"/>
  <c r="F53" i="34"/>
  <c r="I160" i="34"/>
  <c r="C254" i="24"/>
  <c r="C257" i="24"/>
  <c r="C259" i="24"/>
  <c r="C258" i="24"/>
  <c r="C255" i="24"/>
  <c r="C256" i="24"/>
  <c r="E60" i="34"/>
  <c r="E160" i="34"/>
  <c r="E51" i="34"/>
  <c r="E55" i="34"/>
  <c r="H160" i="34"/>
  <c r="H61" i="34"/>
  <c r="G59" i="34"/>
  <c r="G57" i="34"/>
  <c r="D353" i="24"/>
  <c r="F4" i="40"/>
  <c r="I54" i="34"/>
  <c r="G78" i="34"/>
  <c r="G50" i="34"/>
  <c r="G55" i="34"/>
  <c r="G56" i="34"/>
  <c r="F78" i="34"/>
  <c r="F50" i="34"/>
  <c r="I57" i="34"/>
  <c r="I59" i="34"/>
  <c r="E78" i="34"/>
  <c r="E50" i="34"/>
  <c r="E56" i="34"/>
  <c r="H78" i="34"/>
  <c r="H50" i="34"/>
  <c r="G58" i="34"/>
  <c r="E125" i="37" l="1"/>
  <c r="F23" i="37"/>
  <c r="F51" i="37" s="1"/>
  <c r="I57" i="37"/>
  <c r="F29" i="37"/>
  <c r="E115" i="37"/>
  <c r="E52" i="37"/>
  <c r="F53" i="37"/>
  <c r="I50" i="37"/>
  <c r="I72" i="37"/>
  <c r="I71" i="37"/>
  <c r="E132" i="37"/>
  <c r="F177" i="23"/>
  <c r="I53" i="37"/>
  <c r="D167" i="34"/>
  <c r="D17" i="34"/>
  <c r="D114" i="34" s="1"/>
  <c r="D77" i="34" s="1"/>
  <c r="D97" i="34" s="1"/>
  <c r="D160" i="34"/>
  <c r="E118" i="37"/>
  <c r="I120" i="37"/>
  <c r="I59" i="37"/>
  <c r="F191" i="23"/>
  <c r="I124" i="37"/>
  <c r="E23" i="37"/>
  <c r="E51" i="37" s="1"/>
  <c r="I117" i="37"/>
  <c r="I62" i="37"/>
  <c r="I61" i="37"/>
  <c r="I60" i="37"/>
  <c r="D27" i="37"/>
  <c r="D55" i="37" s="1"/>
  <c r="F57" i="37"/>
  <c r="D131" i="37"/>
  <c r="H51" i="37"/>
  <c r="E123" i="40"/>
  <c r="F166" i="34"/>
  <c r="H164" i="23" s="1"/>
  <c r="G166" i="34"/>
  <c r="I164" i="23" s="1"/>
  <c r="I122" i="37"/>
  <c r="I130" i="37"/>
  <c r="H166" i="34"/>
  <c r="J164" i="23" s="1"/>
  <c r="I166" i="34"/>
  <c r="K164" i="23" s="1"/>
  <c r="E166" i="34"/>
  <c r="G164" i="23" s="1"/>
  <c r="D122" i="37"/>
  <c r="D29" i="37"/>
  <c r="D57" i="37" s="1"/>
  <c r="D26" i="37"/>
  <c r="D54" i="37" s="1"/>
  <c r="D132" i="37"/>
  <c r="D121" i="37"/>
  <c r="D125" i="37"/>
  <c r="D123" i="37"/>
  <c r="D129" i="37"/>
  <c r="D127" i="37"/>
  <c r="D30" i="37"/>
  <c r="D58" i="37" s="1"/>
  <c r="D31" i="37"/>
  <c r="D59" i="37" s="1"/>
  <c r="D23" i="37"/>
  <c r="D51" i="37" s="1"/>
  <c r="E129" i="37"/>
  <c r="E128" i="37"/>
  <c r="D130" i="37"/>
  <c r="D128" i="37"/>
  <c r="D22" i="37"/>
  <c r="D50" i="37" s="1"/>
  <c r="D124" i="37"/>
  <c r="D32" i="37"/>
  <c r="D60" i="37" s="1"/>
  <c r="D119" i="37"/>
  <c r="D126" i="37"/>
  <c r="D115" i="37"/>
  <c r="D28" i="37"/>
  <c r="D56" i="37" s="1"/>
  <c r="D25" i="37"/>
  <c r="D53" i="37" s="1"/>
  <c r="D117" i="37"/>
  <c r="D24" i="37"/>
  <c r="D52" i="37" s="1"/>
  <c r="D116" i="37"/>
  <c r="D118" i="37"/>
  <c r="E115" i="40"/>
  <c r="E32" i="40"/>
  <c r="E60" i="40" s="1"/>
  <c r="E36" i="40"/>
  <c r="E64" i="40" s="1"/>
  <c r="E40" i="40"/>
  <c r="E68" i="40" s="1"/>
  <c r="E44" i="40"/>
  <c r="E72" i="40" s="1"/>
  <c r="E33" i="40"/>
  <c r="E61" i="40" s="1"/>
  <c r="E37" i="40"/>
  <c r="E65" i="40" s="1"/>
  <c r="E41" i="40"/>
  <c r="E69" i="40" s="1"/>
  <c r="E45" i="40"/>
  <c r="E73" i="40" s="1"/>
  <c r="E34" i="40"/>
  <c r="E62" i="40" s="1"/>
  <c r="E38" i="40"/>
  <c r="E66" i="40" s="1"/>
  <c r="E42" i="40"/>
  <c r="E70" i="40" s="1"/>
  <c r="E35" i="40"/>
  <c r="E63" i="40" s="1"/>
  <c r="E39" i="40"/>
  <c r="E67" i="40" s="1"/>
  <c r="E43" i="40"/>
  <c r="E71" i="40" s="1"/>
  <c r="E130" i="40"/>
  <c r="E127" i="37"/>
  <c r="E28" i="37"/>
  <c r="E56" i="37" s="1"/>
  <c r="I127" i="37"/>
  <c r="I123" i="37"/>
  <c r="I128" i="37"/>
  <c r="D36" i="37"/>
  <c r="D64" i="37" s="1"/>
  <c r="D40" i="37"/>
  <c r="D68" i="37" s="1"/>
  <c r="D44" i="37"/>
  <c r="D72" i="37" s="1"/>
  <c r="D35" i="37"/>
  <c r="D63" i="37" s="1"/>
  <c r="D33" i="37"/>
  <c r="D61" i="37" s="1"/>
  <c r="D37" i="37"/>
  <c r="D65" i="37" s="1"/>
  <c r="D41" i="37"/>
  <c r="D69" i="37" s="1"/>
  <c r="D45" i="37"/>
  <c r="D73" i="37" s="1"/>
  <c r="D43" i="37"/>
  <c r="D71" i="37" s="1"/>
  <c r="D34" i="37"/>
  <c r="D62" i="37" s="1"/>
  <c r="D38" i="37"/>
  <c r="D66" i="37" s="1"/>
  <c r="D42" i="37"/>
  <c r="D70" i="37" s="1"/>
  <c r="D39" i="37"/>
  <c r="D67" i="37" s="1"/>
  <c r="I63" i="37"/>
  <c r="I73" i="37"/>
  <c r="I64" i="37"/>
  <c r="E130" i="37"/>
  <c r="E35" i="37"/>
  <c r="E63" i="37" s="1"/>
  <c r="E39" i="37"/>
  <c r="E67" i="37" s="1"/>
  <c r="E43" i="37"/>
  <c r="E71" i="37" s="1"/>
  <c r="E34" i="37"/>
  <c r="E62" i="37" s="1"/>
  <c r="E36" i="37"/>
  <c r="E64" i="37" s="1"/>
  <c r="E40" i="37"/>
  <c r="E68" i="37" s="1"/>
  <c r="E44" i="37"/>
  <c r="E72" i="37" s="1"/>
  <c r="E42" i="37"/>
  <c r="E70" i="37" s="1"/>
  <c r="E33" i="37"/>
  <c r="E61" i="37" s="1"/>
  <c r="E37" i="37"/>
  <c r="E65" i="37" s="1"/>
  <c r="E41" i="37"/>
  <c r="E69" i="37" s="1"/>
  <c r="E45" i="37"/>
  <c r="E73" i="37" s="1"/>
  <c r="E38" i="37"/>
  <c r="E66" i="37" s="1"/>
  <c r="I66" i="37"/>
  <c r="I69" i="37"/>
  <c r="E26" i="37"/>
  <c r="E54" i="37" s="1"/>
  <c r="E122" i="37"/>
  <c r="E29" i="37"/>
  <c r="E57" i="37" s="1"/>
  <c r="E30" i="37"/>
  <c r="E58" i="37" s="1"/>
  <c r="H37" i="37"/>
  <c r="H65" i="37" s="1"/>
  <c r="H41" i="37"/>
  <c r="H69" i="37" s="1"/>
  <c r="H45" i="37"/>
  <c r="H73" i="37" s="1"/>
  <c r="H36" i="37"/>
  <c r="H64" i="37" s="1"/>
  <c r="H44" i="37"/>
  <c r="H72" i="37" s="1"/>
  <c r="H34" i="37"/>
  <c r="H62" i="37" s="1"/>
  <c r="H38" i="37"/>
  <c r="H66" i="37" s="1"/>
  <c r="H42" i="37"/>
  <c r="H70" i="37" s="1"/>
  <c r="H35" i="37"/>
  <c r="H63" i="37" s="1"/>
  <c r="H39" i="37"/>
  <c r="H67" i="37" s="1"/>
  <c r="H43" i="37"/>
  <c r="H71" i="37" s="1"/>
  <c r="H40" i="37"/>
  <c r="H68" i="37" s="1"/>
  <c r="F34" i="37"/>
  <c r="F62" i="37" s="1"/>
  <c r="F38" i="37"/>
  <c r="F66" i="37" s="1"/>
  <c r="F42" i="37"/>
  <c r="F70" i="37" s="1"/>
  <c r="F33" i="37"/>
  <c r="F61" i="37" s="1"/>
  <c r="F35" i="37"/>
  <c r="F63" i="37" s="1"/>
  <c r="F39" i="37"/>
  <c r="F67" i="37" s="1"/>
  <c r="F43" i="37"/>
  <c r="F71" i="37" s="1"/>
  <c r="F41" i="37"/>
  <c r="F69" i="37" s="1"/>
  <c r="F36" i="37"/>
  <c r="F64" i="37" s="1"/>
  <c r="F40" i="37"/>
  <c r="F68" i="37" s="1"/>
  <c r="F44" i="37"/>
  <c r="F72" i="37" s="1"/>
  <c r="F37" i="37"/>
  <c r="F65" i="37" s="1"/>
  <c r="F45" i="37"/>
  <c r="F73" i="37" s="1"/>
  <c r="I65" i="37"/>
  <c r="E24" i="40"/>
  <c r="E52" i="40" s="1"/>
  <c r="E121" i="40"/>
  <c r="E119" i="40"/>
  <c r="E127" i="40"/>
  <c r="E26" i="40"/>
  <c r="E54" i="40" s="1"/>
  <c r="E22" i="40"/>
  <c r="E50" i="40" s="1"/>
  <c r="F139" i="40"/>
  <c r="F143" i="40"/>
  <c r="F147" i="40"/>
  <c r="F151" i="40"/>
  <c r="F155" i="40"/>
  <c r="F159" i="40"/>
  <c r="F140" i="40"/>
  <c r="F144" i="40"/>
  <c r="F148" i="40"/>
  <c r="F152" i="40"/>
  <c r="F156" i="40"/>
  <c r="F160" i="40"/>
  <c r="F141" i="40"/>
  <c r="F145" i="40"/>
  <c r="F149" i="40"/>
  <c r="F153" i="40"/>
  <c r="F157" i="40"/>
  <c r="F161" i="40"/>
  <c r="F146" i="40"/>
  <c r="F138" i="40"/>
  <c r="F150" i="40"/>
  <c r="F154" i="40"/>
  <c r="F142" i="40"/>
  <c r="F158" i="40"/>
  <c r="G139" i="40"/>
  <c r="G143" i="40"/>
  <c r="G147" i="40"/>
  <c r="G151" i="40"/>
  <c r="G155" i="40"/>
  <c r="G159" i="40"/>
  <c r="G140" i="40"/>
  <c r="G144" i="40"/>
  <c r="G148" i="40"/>
  <c r="G152" i="40"/>
  <c r="G156" i="40"/>
  <c r="G160" i="40"/>
  <c r="G141" i="40"/>
  <c r="G145" i="40"/>
  <c r="G149" i="40"/>
  <c r="G153" i="40"/>
  <c r="G157" i="40"/>
  <c r="G161" i="40"/>
  <c r="G154" i="40"/>
  <c r="G142" i="40"/>
  <c r="G158" i="40"/>
  <c r="G146" i="40"/>
  <c r="G138" i="40"/>
  <c r="G150" i="40"/>
  <c r="E27" i="40"/>
  <c r="E55" i="40" s="1"/>
  <c r="E125" i="40"/>
  <c r="E117" i="40"/>
  <c r="E28" i="40"/>
  <c r="E56" i="40" s="1"/>
  <c r="E126" i="40"/>
  <c r="E122" i="40"/>
  <c r="E118" i="40"/>
  <c r="E29" i="40"/>
  <c r="E57" i="40" s="1"/>
  <c r="E25" i="40"/>
  <c r="E53" i="40" s="1"/>
  <c r="E30" i="40"/>
  <c r="E58" i="40" s="1"/>
  <c r="E129" i="40"/>
  <c r="E132" i="40"/>
  <c r="E124" i="40"/>
  <c r="E120" i="40"/>
  <c r="E116" i="40"/>
  <c r="E128" i="40"/>
  <c r="E31" i="40"/>
  <c r="E59" i="40" s="1"/>
  <c r="E131" i="40"/>
  <c r="E131" i="37"/>
  <c r="E124" i="37"/>
  <c r="E123" i="37"/>
  <c r="E22" i="37"/>
  <c r="E119" i="37"/>
  <c r="E121" i="37"/>
  <c r="I121" i="37"/>
  <c r="I115" i="37"/>
  <c r="I129" i="37"/>
  <c r="E126" i="37"/>
  <c r="E117" i="37"/>
  <c r="E120" i="37"/>
  <c r="E31" i="37"/>
  <c r="E59" i="37" s="1"/>
  <c r="E32" i="37"/>
  <c r="E60" i="37" s="1"/>
  <c r="E25" i="37"/>
  <c r="E53" i="37" s="1"/>
  <c r="E27" i="37"/>
  <c r="E55" i="37" s="1"/>
  <c r="I119" i="37"/>
  <c r="I118" i="37"/>
  <c r="I132" i="37"/>
  <c r="I126" i="37"/>
  <c r="I131" i="37"/>
  <c r="I125" i="37"/>
  <c r="F121" i="37"/>
  <c r="G165" i="37"/>
  <c r="G167" i="37" s="1"/>
  <c r="G139" i="37"/>
  <c r="G143" i="37"/>
  <c r="G147" i="37"/>
  <c r="G151" i="37"/>
  <c r="G155" i="37"/>
  <c r="G159" i="37"/>
  <c r="G140" i="37"/>
  <c r="G144" i="37"/>
  <c r="G148" i="37"/>
  <c r="G152" i="37"/>
  <c r="G156" i="37"/>
  <c r="G160" i="37"/>
  <c r="G141" i="37"/>
  <c r="G145" i="37"/>
  <c r="G149" i="37"/>
  <c r="G153" i="37"/>
  <c r="G157" i="37"/>
  <c r="G161" i="37"/>
  <c r="G150" i="37"/>
  <c r="G154" i="37"/>
  <c r="G142" i="37"/>
  <c r="G158" i="37"/>
  <c r="G146" i="37"/>
  <c r="G138" i="37"/>
  <c r="F32" i="37"/>
  <c r="F60" i="37" s="1"/>
  <c r="F24" i="37"/>
  <c r="F52" i="37" s="1"/>
  <c r="F129" i="37"/>
  <c r="H22" i="37"/>
  <c r="H123" i="37"/>
  <c r="F27" i="37"/>
  <c r="F55" i="37" s="1"/>
  <c r="F128" i="37"/>
  <c r="F122" i="37"/>
  <c r="F118" i="37"/>
  <c r="F31" i="37"/>
  <c r="F59" i="37" s="1"/>
  <c r="F119" i="37"/>
  <c r="H131" i="37"/>
  <c r="H25" i="37"/>
  <c r="H53" i="37" s="1"/>
  <c r="H126" i="37"/>
  <c r="H26" i="37"/>
  <c r="H54" i="37" s="1"/>
  <c r="H24" i="37"/>
  <c r="H52" i="37" s="1"/>
  <c r="H31" i="37"/>
  <c r="H59" i="37" s="1"/>
  <c r="H30" i="37"/>
  <c r="H58" i="37" s="1"/>
  <c r="H28" i="37"/>
  <c r="H56" i="37" s="1"/>
  <c r="F120" i="37"/>
  <c r="F123" i="37"/>
  <c r="F26" i="37"/>
  <c r="F54" i="37" s="1"/>
  <c r="F116" i="37"/>
  <c r="H117" i="37"/>
  <c r="H121" i="37"/>
  <c r="H32" i="37"/>
  <c r="H60" i="37" s="1"/>
  <c r="H116" i="37"/>
  <c r="H27" i="37"/>
  <c r="H55" i="37" s="1"/>
  <c r="F22" i="37"/>
  <c r="F125" i="37"/>
  <c r="F126" i="37"/>
  <c r="F30" i="37"/>
  <c r="F58" i="37" s="1"/>
  <c r="F28" i="37"/>
  <c r="F56" i="37" s="1"/>
  <c r="F132" i="37"/>
  <c r="F130" i="37"/>
  <c r="F117" i="37"/>
  <c r="H129" i="37"/>
  <c r="H118" i="37"/>
  <c r="H128" i="37"/>
  <c r="H120" i="37"/>
  <c r="H115" i="37"/>
  <c r="H122" i="37"/>
  <c r="H29" i="37"/>
  <c r="H57" i="37" s="1"/>
  <c r="D62" i="34"/>
  <c r="D65" i="34"/>
  <c r="D72" i="34"/>
  <c r="D63" i="34"/>
  <c r="D66" i="34"/>
  <c r="D68" i="34"/>
  <c r="D70" i="34"/>
  <c r="D73" i="34"/>
  <c r="D64" i="34"/>
  <c r="D71" i="34"/>
  <c r="D69" i="34"/>
  <c r="D67" i="34"/>
  <c r="G147" i="34"/>
  <c r="G148" i="34"/>
  <c r="G145" i="34"/>
  <c r="G142" i="34"/>
  <c r="G144" i="34"/>
  <c r="G149" i="34"/>
  <c r="G150" i="34"/>
  <c r="G141" i="34"/>
  <c r="G154" i="34"/>
  <c r="G146" i="34"/>
  <c r="G140" i="34"/>
  <c r="G143" i="34"/>
  <c r="G152" i="34"/>
  <c r="G139" i="34"/>
  <c r="G153" i="34"/>
  <c r="G151" i="34"/>
  <c r="E151" i="34"/>
  <c r="E143" i="34"/>
  <c r="E140" i="34"/>
  <c r="E150" i="34"/>
  <c r="E139" i="34"/>
  <c r="E144" i="34"/>
  <c r="E146" i="34"/>
  <c r="E153" i="34"/>
  <c r="E145" i="34"/>
  <c r="E149" i="34"/>
  <c r="E154" i="34"/>
  <c r="E148" i="34"/>
  <c r="E147" i="34"/>
  <c r="E152" i="34"/>
  <c r="E141" i="34"/>
  <c r="E142" i="34"/>
  <c r="H141" i="34"/>
  <c r="H152" i="34"/>
  <c r="H144" i="34"/>
  <c r="H149" i="34"/>
  <c r="H148" i="34"/>
  <c r="H145" i="34"/>
  <c r="H154" i="34"/>
  <c r="H151" i="34"/>
  <c r="H139" i="34"/>
  <c r="H150" i="34"/>
  <c r="H142" i="34"/>
  <c r="H147" i="34"/>
  <c r="H153" i="34"/>
  <c r="H140" i="34"/>
  <c r="H146" i="34"/>
  <c r="H143" i="34"/>
  <c r="I154" i="34"/>
  <c r="I144" i="34"/>
  <c r="I146" i="34"/>
  <c r="I153" i="34"/>
  <c r="I147" i="34"/>
  <c r="I148" i="34"/>
  <c r="I141" i="34"/>
  <c r="I152" i="34"/>
  <c r="I142" i="34"/>
  <c r="I143" i="34"/>
  <c r="I149" i="34"/>
  <c r="I151" i="34"/>
  <c r="I139" i="34"/>
  <c r="I140" i="34"/>
  <c r="I145" i="34"/>
  <c r="I150" i="34"/>
  <c r="F153" i="34"/>
  <c r="F145" i="34"/>
  <c r="F150" i="34"/>
  <c r="F139" i="34"/>
  <c r="F154" i="34"/>
  <c r="F140" i="34"/>
  <c r="F152" i="34"/>
  <c r="F144" i="34"/>
  <c r="F142" i="34"/>
  <c r="F141" i="34"/>
  <c r="F151" i="34"/>
  <c r="F143" i="34"/>
  <c r="F148" i="34"/>
  <c r="F149" i="34"/>
  <c r="F146" i="34"/>
  <c r="F147" i="34"/>
  <c r="F112" i="40"/>
  <c r="F23" i="40" s="1"/>
  <c r="F165" i="40"/>
  <c r="G112" i="40"/>
  <c r="G30" i="40" s="1"/>
  <c r="G165" i="40"/>
  <c r="G112" i="37"/>
  <c r="G117" i="37" s="1"/>
  <c r="C263" i="24"/>
  <c r="C266" i="24"/>
  <c r="C267" i="24"/>
  <c r="C264" i="24"/>
  <c r="C268" i="24"/>
  <c r="I79" i="37"/>
  <c r="I98" i="37"/>
  <c r="D61" i="34"/>
  <c r="D59" i="34"/>
  <c r="D56" i="34"/>
  <c r="D51" i="34"/>
  <c r="D54" i="34"/>
  <c r="D52" i="34"/>
  <c r="D53" i="34"/>
  <c r="F98" i="34"/>
  <c r="F79" i="34"/>
  <c r="D55" i="34"/>
  <c r="D60" i="34"/>
  <c r="E79" i="34"/>
  <c r="E98" i="34"/>
  <c r="D57" i="34"/>
  <c r="D58" i="34"/>
  <c r="H98" i="34"/>
  <c r="H79" i="34"/>
  <c r="E167" i="40"/>
  <c r="G98" i="34"/>
  <c r="G79" i="34"/>
  <c r="D50" i="34"/>
  <c r="I79" i="34"/>
  <c r="I98" i="34"/>
  <c r="D78" i="34" l="1"/>
  <c r="G27" i="40"/>
  <c r="F125" i="40"/>
  <c r="F29" i="40"/>
  <c r="F57" i="40" s="1"/>
  <c r="F24" i="40"/>
  <c r="F52" i="40" s="1"/>
  <c r="G115" i="37"/>
  <c r="F121" i="40"/>
  <c r="F130" i="40"/>
  <c r="F117" i="40"/>
  <c r="F127" i="40"/>
  <c r="G123" i="37"/>
  <c r="G122" i="40"/>
  <c r="F51" i="40"/>
  <c r="G121" i="37"/>
  <c r="D166" i="34"/>
  <c r="F164" i="23" s="1"/>
  <c r="I173" i="37"/>
  <c r="K229" i="23" s="1"/>
  <c r="D78" i="37"/>
  <c r="D98" i="37" s="1"/>
  <c r="G58" i="40"/>
  <c r="F124" i="40"/>
  <c r="F120" i="40"/>
  <c r="F116" i="40"/>
  <c r="F31" i="40"/>
  <c r="F59" i="40" s="1"/>
  <c r="F129" i="40"/>
  <c r="F131" i="40"/>
  <c r="F22" i="40"/>
  <c r="F50" i="40" s="1"/>
  <c r="G55" i="40"/>
  <c r="F123" i="40"/>
  <c r="F119" i="40"/>
  <c r="F115" i="40"/>
  <c r="F25" i="40"/>
  <c r="F53" i="40" s="1"/>
  <c r="F27" i="40"/>
  <c r="F55" i="40" s="1"/>
  <c r="F26" i="40"/>
  <c r="F54" i="40" s="1"/>
  <c r="G32" i="40"/>
  <c r="G60" i="40" s="1"/>
  <c r="G36" i="40"/>
  <c r="G64" i="40" s="1"/>
  <c r="G40" i="40"/>
  <c r="G68" i="40" s="1"/>
  <c r="G44" i="40"/>
  <c r="G72" i="40" s="1"/>
  <c r="G33" i="40"/>
  <c r="G61" i="40" s="1"/>
  <c r="G37" i="40"/>
  <c r="G65" i="40" s="1"/>
  <c r="G41" i="40"/>
  <c r="G69" i="40" s="1"/>
  <c r="G45" i="40"/>
  <c r="G73" i="40" s="1"/>
  <c r="G34" i="40"/>
  <c r="G62" i="40" s="1"/>
  <c r="G38" i="40"/>
  <c r="G42" i="40"/>
  <c r="G70" i="40" s="1"/>
  <c r="G35" i="40"/>
  <c r="G63" i="40" s="1"/>
  <c r="G39" i="40"/>
  <c r="G67" i="40" s="1"/>
  <c r="G43" i="40"/>
  <c r="G71" i="40" s="1"/>
  <c r="F34" i="40"/>
  <c r="F62" i="40" s="1"/>
  <c r="F38" i="40"/>
  <c r="F66" i="40" s="1"/>
  <c r="F42" i="40"/>
  <c r="F70" i="40" s="1"/>
  <c r="F35" i="40"/>
  <c r="F63" i="40" s="1"/>
  <c r="F39" i="40"/>
  <c r="F67" i="40" s="1"/>
  <c r="F43" i="40"/>
  <c r="F71" i="40" s="1"/>
  <c r="F32" i="40"/>
  <c r="F60" i="40" s="1"/>
  <c r="F36" i="40"/>
  <c r="F64" i="40" s="1"/>
  <c r="F40" i="40"/>
  <c r="F68" i="40" s="1"/>
  <c r="F44" i="40"/>
  <c r="F72" i="40" s="1"/>
  <c r="F33" i="40"/>
  <c r="F61" i="40" s="1"/>
  <c r="F37" i="40"/>
  <c r="F65" i="40" s="1"/>
  <c r="F41" i="40"/>
  <c r="F69" i="40" s="1"/>
  <c r="F45" i="40"/>
  <c r="F73" i="40" s="1"/>
  <c r="F126" i="40"/>
  <c r="F122" i="40"/>
  <c r="F118" i="40"/>
  <c r="F132" i="40"/>
  <c r="F30" i="40"/>
  <c r="F58" i="40" s="1"/>
  <c r="F128" i="40"/>
  <c r="F28" i="40"/>
  <c r="F56" i="40" s="1"/>
  <c r="G66" i="40"/>
  <c r="E174" i="40"/>
  <c r="E176" i="40" s="1"/>
  <c r="E78" i="40"/>
  <c r="E79" i="40" s="1"/>
  <c r="D173" i="37"/>
  <c r="F229" i="23" s="1"/>
  <c r="G33" i="37"/>
  <c r="G61" i="37" s="1"/>
  <c r="G37" i="37"/>
  <c r="G65" i="37" s="1"/>
  <c r="G41" i="37"/>
  <c r="G69" i="37" s="1"/>
  <c r="G45" i="37"/>
  <c r="G73" i="37" s="1"/>
  <c r="G36" i="37"/>
  <c r="G64" i="37" s="1"/>
  <c r="G34" i="37"/>
  <c r="G62" i="37" s="1"/>
  <c r="G38" i="37"/>
  <c r="G66" i="37" s="1"/>
  <c r="G42" i="37"/>
  <c r="G70" i="37" s="1"/>
  <c r="G44" i="37"/>
  <c r="G72" i="37" s="1"/>
  <c r="G35" i="37"/>
  <c r="G63" i="37" s="1"/>
  <c r="G39" i="37"/>
  <c r="G67" i="37" s="1"/>
  <c r="G43" i="37"/>
  <c r="G71" i="37" s="1"/>
  <c r="G40" i="37"/>
  <c r="G68" i="37" s="1"/>
  <c r="G132" i="40"/>
  <c r="G119" i="40"/>
  <c r="G127" i="40"/>
  <c r="G126" i="40"/>
  <c r="G118" i="40"/>
  <c r="G24" i="40"/>
  <c r="G52" i="40" s="1"/>
  <c r="G29" i="40"/>
  <c r="G57" i="40" s="1"/>
  <c r="G123" i="40"/>
  <c r="G115" i="40"/>
  <c r="G28" i="40"/>
  <c r="G56" i="40" s="1"/>
  <c r="G31" i="40"/>
  <c r="G59" i="40" s="1"/>
  <c r="G22" i="40"/>
  <c r="G50" i="40" s="1"/>
  <c r="G125" i="40"/>
  <c r="G117" i="40"/>
  <c r="G26" i="40"/>
  <c r="G54" i="40" s="1"/>
  <c r="G128" i="40"/>
  <c r="G121" i="40"/>
  <c r="G124" i="40"/>
  <c r="G120" i="40"/>
  <c r="G116" i="40"/>
  <c r="G25" i="40"/>
  <c r="G53" i="40" s="1"/>
  <c r="G131" i="40"/>
  <c r="G130" i="40"/>
  <c r="G129" i="40"/>
  <c r="G23" i="40"/>
  <c r="G51" i="40" s="1"/>
  <c r="H78" i="37"/>
  <c r="H98" i="37" s="1"/>
  <c r="H50" i="37"/>
  <c r="H173" i="37" s="1"/>
  <c r="E78" i="37"/>
  <c r="E50" i="37"/>
  <c r="E173" i="37" s="1"/>
  <c r="G229" i="23" s="1"/>
  <c r="F78" i="37"/>
  <c r="F98" i="37" s="1"/>
  <c r="F50" i="37"/>
  <c r="F173" i="37" s="1"/>
  <c r="H229" i="23" s="1"/>
  <c r="G30" i="37"/>
  <c r="G58" i="37" s="1"/>
  <c r="G32" i="37"/>
  <c r="G60" i="37" s="1"/>
  <c r="G129" i="37"/>
  <c r="G31" i="37"/>
  <c r="G59" i="37" s="1"/>
  <c r="G28" i="37"/>
  <c r="G56" i="37" s="1"/>
  <c r="G127" i="37"/>
  <c r="G120" i="37"/>
  <c r="G122" i="37"/>
  <c r="G118" i="37"/>
  <c r="G132" i="37"/>
  <c r="G25" i="37"/>
  <c r="G53" i="37" s="1"/>
  <c r="G119" i="37"/>
  <c r="G23" i="37"/>
  <c r="G51" i="37" s="1"/>
  <c r="G130" i="37"/>
  <c r="G26" i="37"/>
  <c r="G54" i="37" s="1"/>
  <c r="G22" i="37"/>
  <c r="G131" i="37"/>
  <c r="G27" i="37"/>
  <c r="G55" i="37" s="1"/>
  <c r="G124" i="37"/>
  <c r="G128" i="37"/>
  <c r="G29" i="37"/>
  <c r="G57" i="37" s="1"/>
  <c r="G24" i="37"/>
  <c r="G52" i="37" s="1"/>
  <c r="G125" i="37"/>
  <c r="G126" i="37"/>
  <c r="G116" i="37"/>
  <c r="D141" i="34"/>
  <c r="D139" i="34"/>
  <c r="D150" i="34"/>
  <c r="D142" i="34"/>
  <c r="D147" i="34"/>
  <c r="D154" i="34"/>
  <c r="D151" i="34"/>
  <c r="D144" i="34"/>
  <c r="D148" i="34"/>
  <c r="D153" i="34"/>
  <c r="D145" i="34"/>
  <c r="D140" i="34"/>
  <c r="D146" i="34"/>
  <c r="D143" i="34"/>
  <c r="D152" i="34"/>
  <c r="D149" i="34"/>
  <c r="I80" i="37"/>
  <c r="I99" i="37"/>
  <c r="I80" i="34"/>
  <c r="I99" i="34"/>
  <c r="G99" i="34"/>
  <c r="G80" i="34"/>
  <c r="H99" i="34"/>
  <c r="H80" i="34"/>
  <c r="E99" i="34"/>
  <c r="E80" i="34"/>
  <c r="F99" i="34"/>
  <c r="F80" i="34"/>
  <c r="G167" i="40"/>
  <c r="F167" i="40"/>
  <c r="D98" i="34" l="1"/>
  <c r="D79" i="34"/>
  <c r="F79" i="37"/>
  <c r="F80" i="37" s="1"/>
  <c r="F100" i="37" s="1"/>
  <c r="D79" i="37"/>
  <c r="D80" i="37" s="1"/>
  <c r="F78" i="40"/>
  <c r="F98" i="40" s="1"/>
  <c r="E98" i="40"/>
  <c r="F174" i="40"/>
  <c r="F176" i="40" s="1"/>
  <c r="G174" i="40"/>
  <c r="G176" i="40" s="1"/>
  <c r="G78" i="40"/>
  <c r="G79" i="40" s="1"/>
  <c r="E98" i="37"/>
  <c r="E79" i="37"/>
  <c r="H79" i="37"/>
  <c r="G78" i="37"/>
  <c r="G98" i="37" s="1"/>
  <c r="G50" i="37"/>
  <c r="G173" i="37" s="1"/>
  <c r="I229" i="23" s="1"/>
  <c r="J229" i="23"/>
  <c r="I297" i="23"/>
  <c r="I81" i="37"/>
  <c r="I100" i="37"/>
  <c r="E99" i="40"/>
  <c r="E80" i="40"/>
  <c r="G100" i="34"/>
  <c r="G81" i="34"/>
  <c r="H100" i="34"/>
  <c r="H81" i="34"/>
  <c r="E100" i="34"/>
  <c r="E81" i="34"/>
  <c r="F100" i="34"/>
  <c r="F81" i="34"/>
  <c r="I81" i="34"/>
  <c r="I100" i="34"/>
  <c r="D99" i="37" l="1"/>
  <c r="F81" i="37"/>
  <c r="F99" i="37"/>
  <c r="D99" i="34"/>
  <c r="D80" i="34"/>
  <c r="F79" i="40"/>
  <c r="F99" i="40" s="1"/>
  <c r="G98" i="40"/>
  <c r="G79" i="37"/>
  <c r="G80" i="37" s="1"/>
  <c r="H99" i="37"/>
  <c r="H80" i="37"/>
  <c r="E80" i="37"/>
  <c r="E99" i="37"/>
  <c r="J297" i="23"/>
  <c r="K297" i="23"/>
  <c r="F101" i="37"/>
  <c r="F82" i="37"/>
  <c r="I82" i="37"/>
  <c r="I101" i="37"/>
  <c r="D100" i="37"/>
  <c r="D81" i="37"/>
  <c r="G99" i="40"/>
  <c r="G80" i="40"/>
  <c r="H101" i="34"/>
  <c r="H82" i="34"/>
  <c r="G101" i="34"/>
  <c r="G82" i="34"/>
  <c r="I82" i="34"/>
  <c r="I101" i="34"/>
  <c r="F101" i="34"/>
  <c r="F82" i="34"/>
  <c r="E101" i="34"/>
  <c r="E82" i="34"/>
  <c r="E100" i="40"/>
  <c r="E81" i="40"/>
  <c r="F80" i="40" l="1"/>
  <c r="F81" i="40" s="1"/>
  <c r="D81" i="34"/>
  <c r="D100" i="34"/>
  <c r="G99" i="37"/>
  <c r="E100" i="37"/>
  <c r="E81" i="37"/>
  <c r="H100" i="37"/>
  <c r="H81" i="37"/>
  <c r="G81" i="37"/>
  <c r="G100" i="37"/>
  <c r="F102" i="37"/>
  <c r="F83" i="37"/>
  <c r="I83" i="37"/>
  <c r="I102" i="37"/>
  <c r="D82" i="37"/>
  <c r="D101" i="37"/>
  <c r="F100" i="40"/>
  <c r="I83" i="34"/>
  <c r="I102" i="34"/>
  <c r="E102" i="34"/>
  <c r="E83" i="34"/>
  <c r="F102" i="34"/>
  <c r="F83" i="34"/>
  <c r="H102" i="34"/>
  <c r="H83" i="34"/>
  <c r="E101" i="40"/>
  <c r="E82" i="40"/>
  <c r="G81" i="40"/>
  <c r="G100" i="40"/>
  <c r="G102" i="34"/>
  <c r="G83" i="34"/>
  <c r="D82" i="34" l="1"/>
  <c r="D101" i="34"/>
  <c r="H101" i="37"/>
  <c r="H82" i="37"/>
  <c r="E101" i="37"/>
  <c r="E82" i="37"/>
  <c r="G101" i="37"/>
  <c r="G82" i="37"/>
  <c r="I84" i="37"/>
  <c r="I103" i="37"/>
  <c r="F103" i="37"/>
  <c r="F84" i="37"/>
  <c r="D102" i="37"/>
  <c r="D83" i="37"/>
  <c r="G82" i="40"/>
  <c r="G101" i="40"/>
  <c r="E103" i="34"/>
  <c r="E84" i="34"/>
  <c r="H103" i="34"/>
  <c r="H84" i="34"/>
  <c r="F103" i="34"/>
  <c r="F84" i="34"/>
  <c r="I84" i="34"/>
  <c r="I103" i="34"/>
  <c r="G103" i="34"/>
  <c r="G84" i="34"/>
  <c r="E102" i="40"/>
  <c r="E83" i="40"/>
  <c r="F101" i="40"/>
  <c r="F82" i="40"/>
  <c r="D83" i="34" l="1"/>
  <c r="D102" i="34"/>
  <c r="E83" i="37"/>
  <c r="E102" i="37"/>
  <c r="H83" i="37"/>
  <c r="H102" i="37"/>
  <c r="G102" i="37"/>
  <c r="G83" i="37"/>
  <c r="D103" i="37"/>
  <c r="D84" i="37"/>
  <c r="I85" i="37"/>
  <c r="I104" i="37"/>
  <c r="F85" i="37"/>
  <c r="F104" i="37"/>
  <c r="G104" i="34"/>
  <c r="G85" i="34"/>
  <c r="G83" i="40"/>
  <c r="G102" i="40"/>
  <c r="E103" i="40"/>
  <c r="E84" i="40"/>
  <c r="F104" i="34"/>
  <c r="F85" i="34"/>
  <c r="I85" i="34"/>
  <c r="I104" i="34"/>
  <c r="E104" i="34"/>
  <c r="E85" i="34"/>
  <c r="F102" i="40"/>
  <c r="F83" i="40"/>
  <c r="H104" i="34"/>
  <c r="H85" i="34"/>
  <c r="D103" i="34" l="1"/>
  <c r="D84" i="34"/>
  <c r="H84" i="37"/>
  <c r="H103" i="37"/>
  <c r="E84" i="37"/>
  <c r="E103" i="37"/>
  <c r="G84" i="37"/>
  <c r="G103" i="37"/>
  <c r="D85" i="37"/>
  <c r="D104" i="37"/>
  <c r="F86" i="37"/>
  <c r="F105" i="37"/>
  <c r="I86" i="37"/>
  <c r="I105" i="37"/>
  <c r="I86" i="34"/>
  <c r="I105" i="34"/>
  <c r="F103" i="40"/>
  <c r="F84" i="40"/>
  <c r="F105" i="34"/>
  <c r="F86" i="34"/>
  <c r="G103" i="40"/>
  <c r="G84" i="40"/>
  <c r="E105" i="34"/>
  <c r="E86" i="34"/>
  <c r="G105" i="34"/>
  <c r="G86" i="34"/>
  <c r="H105" i="34"/>
  <c r="H86" i="34"/>
  <c r="E104" i="40"/>
  <c r="E85" i="40"/>
  <c r="D104" i="34" l="1"/>
  <c r="D85" i="34"/>
  <c r="E85" i="37"/>
  <c r="E104" i="37"/>
  <c r="H85" i="37"/>
  <c r="H104" i="37"/>
  <c r="G85" i="37"/>
  <c r="G104" i="37"/>
  <c r="F106" i="37"/>
  <c r="F87" i="37"/>
  <c r="I87" i="37"/>
  <c r="I106" i="37"/>
  <c r="D105" i="37"/>
  <c r="D86" i="37"/>
  <c r="G85" i="40"/>
  <c r="G104" i="40"/>
  <c r="G106" i="34"/>
  <c r="G87" i="34"/>
  <c r="F106" i="34"/>
  <c r="F87" i="34"/>
  <c r="I87" i="34"/>
  <c r="I106" i="34"/>
  <c r="E105" i="40"/>
  <c r="E86" i="40"/>
  <c r="H106" i="34"/>
  <c r="H87" i="34"/>
  <c r="E106" i="34"/>
  <c r="E87" i="34"/>
  <c r="F104" i="40"/>
  <c r="F85" i="40"/>
  <c r="D105" i="34" l="1"/>
  <c r="D86" i="34"/>
  <c r="H86" i="37"/>
  <c r="H105" i="37"/>
  <c r="E105" i="37"/>
  <c r="E86" i="37"/>
  <c r="G86" i="37"/>
  <c r="G105" i="37"/>
  <c r="F107" i="37"/>
  <c r="F88" i="37"/>
  <c r="D87" i="37"/>
  <c r="D106" i="37"/>
  <c r="I88" i="37"/>
  <c r="I107" i="37"/>
  <c r="F105" i="40"/>
  <c r="F86" i="40"/>
  <c r="E106" i="40"/>
  <c r="E87" i="40"/>
  <c r="F107" i="34"/>
  <c r="F88" i="34"/>
  <c r="H107" i="34"/>
  <c r="H88" i="34"/>
  <c r="G107" i="34"/>
  <c r="G88" i="34"/>
  <c r="E107" i="34"/>
  <c r="E88" i="34"/>
  <c r="I88" i="34"/>
  <c r="I107" i="34"/>
  <c r="G86" i="40"/>
  <c r="G105" i="40"/>
  <c r="D106" i="34" l="1"/>
  <c r="D87" i="34"/>
  <c r="E87" i="37"/>
  <c r="E106" i="37"/>
  <c r="H106" i="37"/>
  <c r="H87" i="37"/>
  <c r="G106" i="37"/>
  <c r="G87" i="37"/>
  <c r="I89" i="37"/>
  <c r="I90" i="37" s="1"/>
  <c r="I91" i="37" s="1"/>
  <c r="I92" i="37" s="1"/>
  <c r="I108" i="37"/>
  <c r="I110" i="37" s="1"/>
  <c r="I170" i="37" s="1"/>
  <c r="F108" i="37"/>
  <c r="F110" i="37" s="1"/>
  <c r="F170" i="37" s="1"/>
  <c r="F89" i="37"/>
  <c r="F90" i="37" s="1"/>
  <c r="F91" i="37" s="1"/>
  <c r="F92" i="37" s="1"/>
  <c r="D107" i="37"/>
  <c r="D88" i="37"/>
  <c r="E108" i="34"/>
  <c r="E110" i="34" s="1"/>
  <c r="E163" i="34" s="1"/>
  <c r="E89" i="34"/>
  <c r="E90" i="34" s="1"/>
  <c r="E91" i="34" s="1"/>
  <c r="E92" i="34" s="1"/>
  <c r="H108" i="34"/>
  <c r="H110" i="34" s="1"/>
  <c r="H163" i="34" s="1"/>
  <c r="H89" i="34"/>
  <c r="H90" i="34" s="1"/>
  <c r="H91" i="34" s="1"/>
  <c r="H92" i="34" s="1"/>
  <c r="F108" i="34"/>
  <c r="F110" i="34" s="1"/>
  <c r="F163" i="34" s="1"/>
  <c r="F89" i="34"/>
  <c r="F90" i="34" s="1"/>
  <c r="F91" i="34" s="1"/>
  <c r="F92" i="34" s="1"/>
  <c r="G87" i="40"/>
  <c r="G106" i="40"/>
  <c r="G108" i="34"/>
  <c r="G110" i="34" s="1"/>
  <c r="G163" i="34" s="1"/>
  <c r="G89" i="34"/>
  <c r="G90" i="34" s="1"/>
  <c r="G91" i="34" s="1"/>
  <c r="G92" i="34" s="1"/>
  <c r="E107" i="40"/>
  <c r="E88" i="40"/>
  <c r="F106" i="40"/>
  <c r="F87" i="40"/>
  <c r="I89" i="34"/>
  <c r="I90" i="34" s="1"/>
  <c r="I91" i="34" s="1"/>
  <c r="I92" i="34" s="1"/>
  <c r="I108" i="34"/>
  <c r="I110" i="34" s="1"/>
  <c r="I163" i="34" s="1"/>
  <c r="D107" i="34" l="1"/>
  <c r="D88" i="34"/>
  <c r="H107" i="37"/>
  <c r="H88" i="37"/>
  <c r="E107" i="37"/>
  <c r="E88" i="37"/>
  <c r="G107" i="37"/>
  <c r="G88" i="37"/>
  <c r="D89" i="37"/>
  <c r="D90" i="37" s="1"/>
  <c r="D91" i="37" s="1"/>
  <c r="D92" i="37" s="1"/>
  <c r="D108" i="37"/>
  <c r="D110" i="37" s="1"/>
  <c r="D170" i="37" s="1"/>
  <c r="I176" i="37"/>
  <c r="I201" i="37" s="1"/>
  <c r="I203" i="37" s="1"/>
  <c r="K228" i="23"/>
  <c r="K230" i="23" s="1"/>
  <c r="K261" i="23" s="1"/>
  <c r="F176" i="37"/>
  <c r="F201" i="37" s="1"/>
  <c r="F203" i="37" s="1"/>
  <c r="H228" i="23"/>
  <c r="H230" i="23" s="1"/>
  <c r="H261" i="23" s="1"/>
  <c r="I169" i="34"/>
  <c r="I193" i="34" s="1"/>
  <c r="K163" i="23"/>
  <c r="K165" i="23" s="1"/>
  <c r="K196" i="23" s="1"/>
  <c r="H169" i="34"/>
  <c r="H193" i="34" s="1"/>
  <c r="H195" i="34" s="1"/>
  <c r="J140" i="23" s="1"/>
  <c r="J163" i="23"/>
  <c r="J165" i="23" s="1"/>
  <c r="J196" i="23" s="1"/>
  <c r="G169" i="34"/>
  <c r="G193" i="34" s="1"/>
  <c r="G195" i="34" s="1"/>
  <c r="I140" i="23" s="1"/>
  <c r="I163" i="23"/>
  <c r="I165" i="23" s="1"/>
  <c r="I196" i="23" s="1"/>
  <c r="F169" i="34"/>
  <c r="F193" i="34" s="1"/>
  <c r="F195" i="34" s="1"/>
  <c r="F201" i="34" s="1"/>
  <c r="H142" i="23" s="1"/>
  <c r="H163" i="23"/>
  <c r="H165" i="23" s="1"/>
  <c r="H196" i="23" s="1"/>
  <c r="E169" i="34"/>
  <c r="E193" i="34" s="1"/>
  <c r="E195" i="34" s="1"/>
  <c r="G140" i="23" s="1"/>
  <c r="G163" i="23"/>
  <c r="G165" i="23" s="1"/>
  <c r="G196" i="23" s="1"/>
  <c r="E108" i="40"/>
  <c r="E110" i="40" s="1"/>
  <c r="E170" i="40" s="1"/>
  <c r="E177" i="40" s="1"/>
  <c r="E89" i="40"/>
  <c r="E90" i="40" s="1"/>
  <c r="E91" i="40" s="1"/>
  <c r="E92" i="40" s="1"/>
  <c r="F107" i="40"/>
  <c r="F88" i="40"/>
  <c r="G107" i="40"/>
  <c r="G88" i="40"/>
  <c r="D89" i="34" l="1"/>
  <c r="D90" i="34" s="1"/>
  <c r="D91" i="34" s="1"/>
  <c r="D92" i="34" s="1"/>
  <c r="D108" i="34"/>
  <c r="D110" i="34" s="1"/>
  <c r="D163" i="34" s="1"/>
  <c r="E108" i="37"/>
  <c r="E110" i="37" s="1"/>
  <c r="E170" i="37" s="1"/>
  <c r="E89" i="37"/>
  <c r="E90" i="37" s="1"/>
  <c r="E91" i="37" s="1"/>
  <c r="E92" i="37" s="1"/>
  <c r="H108" i="37"/>
  <c r="H110" i="37" s="1"/>
  <c r="H170" i="37" s="1"/>
  <c r="H89" i="37"/>
  <c r="H90" i="37" s="1"/>
  <c r="H91" i="37" s="1"/>
  <c r="H92" i="37" s="1"/>
  <c r="G108" i="37"/>
  <c r="G110" i="37" s="1"/>
  <c r="G170" i="37" s="1"/>
  <c r="G89" i="37"/>
  <c r="G90" i="37" s="1"/>
  <c r="G91" i="37" s="1"/>
  <c r="G92" i="37" s="1"/>
  <c r="K205" i="23"/>
  <c r="I209" i="37"/>
  <c r="K207" i="23" s="1"/>
  <c r="I207" i="37"/>
  <c r="D176" i="37"/>
  <c r="D201" i="37" s="1"/>
  <c r="F228" i="23"/>
  <c r="F230" i="23" s="1"/>
  <c r="F261" i="23" s="1"/>
  <c r="F209" i="37"/>
  <c r="H207" i="23" s="1"/>
  <c r="H205" i="23"/>
  <c r="F207" i="37"/>
  <c r="F199" i="34"/>
  <c r="F202" i="34" s="1"/>
  <c r="H143" i="23" s="1"/>
  <c r="H197" i="23" s="1"/>
  <c r="H199" i="34"/>
  <c r="H202" i="34" s="1"/>
  <c r="J143" i="23" s="1"/>
  <c r="J197" i="23" s="1"/>
  <c r="H201" i="34"/>
  <c r="J142" i="23" s="1"/>
  <c r="H140" i="23"/>
  <c r="G199" i="34"/>
  <c r="I141" i="23" s="1"/>
  <c r="G201" i="34"/>
  <c r="I142" i="23" s="1"/>
  <c r="I195" i="34"/>
  <c r="K140" i="23" s="1"/>
  <c r="E199" i="34"/>
  <c r="G141" i="23" s="1"/>
  <c r="E201" i="34"/>
  <c r="G142" i="23" s="1"/>
  <c r="E202" i="40"/>
  <c r="I296" i="23"/>
  <c r="I298" i="23" s="1"/>
  <c r="I329" i="23" s="1"/>
  <c r="G89" i="40"/>
  <c r="G90" i="40" s="1"/>
  <c r="G91" i="40" s="1"/>
  <c r="G92" i="40" s="1"/>
  <c r="G108" i="40"/>
  <c r="G110" i="40" s="1"/>
  <c r="G170" i="40" s="1"/>
  <c r="G177" i="40" s="1"/>
  <c r="F108" i="40"/>
  <c r="F110" i="40" s="1"/>
  <c r="F170" i="40" s="1"/>
  <c r="F177" i="40" s="1"/>
  <c r="F89" i="40"/>
  <c r="F90" i="40" s="1"/>
  <c r="F91" i="40" s="1"/>
  <c r="F92" i="40" s="1"/>
  <c r="D169" i="34" l="1"/>
  <c r="D193" i="34" s="1"/>
  <c r="F163" i="23"/>
  <c r="F165" i="23" s="1"/>
  <c r="F196" i="23" s="1"/>
  <c r="H176" i="37"/>
  <c r="H201" i="37" s="1"/>
  <c r="H203" i="37" s="1"/>
  <c r="J228" i="23"/>
  <c r="J230" i="23" s="1"/>
  <c r="J261" i="23" s="1"/>
  <c r="E176" i="37"/>
  <c r="E201" i="37" s="1"/>
  <c r="E203" i="37" s="1"/>
  <c r="G228" i="23"/>
  <c r="G230" i="23" s="1"/>
  <c r="G261" i="23" s="1"/>
  <c r="E204" i="40"/>
  <c r="I272" i="23" s="1"/>
  <c r="G176" i="37"/>
  <c r="G201" i="37" s="1"/>
  <c r="G203" i="37" s="1"/>
  <c r="I228" i="23"/>
  <c r="I230" i="23" s="1"/>
  <c r="I261" i="23" s="1"/>
  <c r="D335" i="37"/>
  <c r="D333" i="37"/>
  <c r="D334" i="37" s="1"/>
  <c r="E334" i="37" s="1"/>
  <c r="D342" i="37"/>
  <c r="D203" i="37"/>
  <c r="H206" i="23"/>
  <c r="F210" i="37"/>
  <c r="H208" i="23" s="1"/>
  <c r="H262" i="23" s="1"/>
  <c r="K206" i="23"/>
  <c r="I210" i="37"/>
  <c r="K208" i="23" s="1"/>
  <c r="K262" i="23" s="1"/>
  <c r="H141" i="23"/>
  <c r="J141" i="23"/>
  <c r="G202" i="34"/>
  <c r="I143" i="23" s="1"/>
  <c r="I197" i="23" s="1"/>
  <c r="E202" i="34"/>
  <c r="G143" i="23" s="1"/>
  <c r="G197" i="23" s="1"/>
  <c r="I199" i="34"/>
  <c r="K141" i="23" s="1"/>
  <c r="I201" i="34"/>
  <c r="K142" i="23" s="1"/>
  <c r="J296" i="23"/>
  <c r="J298" i="23" s="1"/>
  <c r="J329" i="23" s="1"/>
  <c r="K296" i="23"/>
  <c r="K298" i="23" s="1"/>
  <c r="K329" i="23" s="1"/>
  <c r="D195" i="34" l="1"/>
  <c r="D334" i="34"/>
  <c r="D327" i="34"/>
  <c r="D325" i="34"/>
  <c r="D326" i="34" s="1"/>
  <c r="E326" i="34" s="1"/>
  <c r="E207" i="37"/>
  <c r="G205" i="23"/>
  <c r="E209" i="37"/>
  <c r="G207" i="23" s="1"/>
  <c r="H207" i="37"/>
  <c r="J205" i="23"/>
  <c r="H209" i="37"/>
  <c r="J207" i="23" s="1"/>
  <c r="E208" i="40"/>
  <c r="I273" i="23" s="1"/>
  <c r="E210" i="40"/>
  <c r="I274" i="23" s="1"/>
  <c r="F202" i="40"/>
  <c r="F204" i="40" s="1"/>
  <c r="J272" i="23" s="1"/>
  <c r="G202" i="40"/>
  <c r="G204" i="40" s="1"/>
  <c r="G208" i="40" s="1"/>
  <c r="K273" i="23" s="1"/>
  <c r="G209" i="37"/>
  <c r="I207" i="23" s="1"/>
  <c r="I205" i="23"/>
  <c r="G207" i="37"/>
  <c r="D209" i="37"/>
  <c r="F207" i="23" s="1"/>
  <c r="D207" i="37"/>
  <c r="F205" i="23"/>
  <c r="I202" i="34"/>
  <c r="K143" i="23" s="1"/>
  <c r="K197" i="23" s="1"/>
  <c r="D201" i="34" l="1"/>
  <c r="F142" i="23" s="1"/>
  <c r="F140" i="23"/>
  <c r="D199" i="34"/>
  <c r="J206" i="23"/>
  <c r="H210" i="37"/>
  <c r="J208" i="23" s="1"/>
  <c r="J262" i="23" s="1"/>
  <c r="E210" i="37"/>
  <c r="G208" i="23" s="1"/>
  <c r="G262" i="23" s="1"/>
  <c r="G206" i="23"/>
  <c r="E211" i="40"/>
  <c r="I275" i="23" s="1"/>
  <c r="I330" i="23" s="1"/>
  <c r="F210" i="40"/>
  <c r="J274" i="23" s="1"/>
  <c r="G211" i="40"/>
  <c r="K275" i="23" s="1"/>
  <c r="K330" i="23" s="1"/>
  <c r="G210" i="40"/>
  <c r="K274" i="23" s="1"/>
  <c r="K272" i="23"/>
  <c r="F208" i="40"/>
  <c r="F211" i="40" s="1"/>
  <c r="J275" i="23" s="1"/>
  <c r="J330" i="23" s="1"/>
  <c r="I206" i="23"/>
  <c r="G210" i="37"/>
  <c r="I208" i="23" s="1"/>
  <c r="I262" i="23" s="1"/>
  <c r="D210" i="37"/>
  <c r="F208" i="23" s="1"/>
  <c r="F262" i="23" s="1"/>
  <c r="F206" i="23"/>
  <c r="D377" i="24"/>
  <c r="C377" i="24"/>
  <c r="C367" i="24" s="1"/>
  <c r="I348" i="23" s="1"/>
  <c r="E377" i="24"/>
  <c r="B377" i="24"/>
  <c r="D202" i="34" l="1"/>
  <c r="F143" i="23" s="1"/>
  <c r="F197" i="23" s="1"/>
  <c r="F141" i="23"/>
  <c r="E4" i="41"/>
  <c r="J273" i="23"/>
  <c r="D370" i="24"/>
  <c r="D367" i="24"/>
  <c r="J348" i="23" s="1"/>
  <c r="B370" i="24"/>
  <c r="B367" i="24"/>
  <c r="E378" i="24"/>
  <c r="E379" i="24" s="1"/>
  <c r="E367" i="24"/>
  <c r="D378" i="24"/>
  <c r="D379" i="24" s="1"/>
  <c r="C369" i="24"/>
  <c r="C378" i="24"/>
  <c r="C379" i="24" s="1"/>
  <c r="C370" i="24"/>
  <c r="B378" i="24"/>
  <c r="B379" i="24" s="1"/>
  <c r="E370" i="24"/>
  <c r="E165" i="41" l="1"/>
  <c r="E139" i="41"/>
  <c r="E143" i="41"/>
  <c r="E147" i="41"/>
  <c r="E151" i="41"/>
  <c r="E155" i="41"/>
  <c r="E159" i="41"/>
  <c r="E140" i="41"/>
  <c r="E144" i="41"/>
  <c r="E148" i="41"/>
  <c r="E152" i="41"/>
  <c r="E156" i="41"/>
  <c r="E160" i="41"/>
  <c r="E141" i="41"/>
  <c r="E145" i="41"/>
  <c r="E149" i="41"/>
  <c r="E153" i="41"/>
  <c r="E157" i="41"/>
  <c r="E161" i="41"/>
  <c r="E154" i="41"/>
  <c r="E142" i="41"/>
  <c r="E158" i="41"/>
  <c r="E146" i="41"/>
  <c r="E138" i="41"/>
  <c r="E150" i="41"/>
  <c r="E112" i="41"/>
  <c r="E26" i="41" s="1"/>
  <c r="F4" i="41"/>
  <c r="K348" i="23"/>
  <c r="H348" i="23"/>
  <c r="B369" i="24"/>
  <c r="D369" i="24"/>
  <c r="E369" i="24"/>
  <c r="E115" i="41"/>
  <c r="E121" i="41" l="1"/>
  <c r="E31" i="41"/>
  <c r="E54" i="41"/>
  <c r="E123" i="41"/>
  <c r="E23" i="41"/>
  <c r="E51" i="41" s="1"/>
  <c r="E22" i="41"/>
  <c r="E78" i="41" s="1"/>
  <c r="E98" i="41" s="1"/>
  <c r="E25" i="41"/>
  <c r="E53" i="41" s="1"/>
  <c r="E125" i="41"/>
  <c r="E117" i="41"/>
  <c r="E24" i="41"/>
  <c r="E52" i="41" s="1"/>
  <c r="E35" i="41"/>
  <c r="E39" i="41"/>
  <c r="E43" i="41"/>
  <c r="E71" i="41" s="1"/>
  <c r="E34" i="41"/>
  <c r="E62" i="41" s="1"/>
  <c r="E42" i="41"/>
  <c r="E70" i="41" s="1"/>
  <c r="E36" i="41"/>
  <c r="E64" i="41" s="1"/>
  <c r="E40" i="41"/>
  <c r="E68" i="41" s="1"/>
  <c r="E44" i="41"/>
  <c r="E72" i="41" s="1"/>
  <c r="E33" i="41"/>
  <c r="E61" i="41" s="1"/>
  <c r="E37" i="41"/>
  <c r="E65" i="41" s="1"/>
  <c r="E41" i="41"/>
  <c r="E69" i="41" s="1"/>
  <c r="E45" i="41"/>
  <c r="E73" i="41" s="1"/>
  <c r="E38" i="41"/>
  <c r="E66" i="41" s="1"/>
  <c r="E67" i="41"/>
  <c r="E119" i="41"/>
  <c r="E128" i="41"/>
  <c r="E63" i="41"/>
  <c r="E59" i="41"/>
  <c r="E27" i="41"/>
  <c r="E55" i="41" s="1"/>
  <c r="E130" i="41"/>
  <c r="F165" i="41"/>
  <c r="F139" i="41"/>
  <c r="F143" i="41"/>
  <c r="F147" i="41"/>
  <c r="F151" i="41"/>
  <c r="F155" i="41"/>
  <c r="F159" i="41"/>
  <c r="F140" i="41"/>
  <c r="F144" i="41"/>
  <c r="F148" i="41"/>
  <c r="F152" i="41"/>
  <c r="F156" i="41"/>
  <c r="F160" i="41"/>
  <c r="F141" i="41"/>
  <c r="F145" i="41"/>
  <c r="F149" i="41"/>
  <c r="F153" i="41"/>
  <c r="F157" i="41"/>
  <c r="F161" i="41"/>
  <c r="F146" i="41"/>
  <c r="F138" i="41"/>
  <c r="F150" i="41"/>
  <c r="F154" i="41"/>
  <c r="F142" i="41"/>
  <c r="F158" i="41"/>
  <c r="F112" i="41"/>
  <c r="F30" i="41" s="1"/>
  <c r="E126" i="41"/>
  <c r="E122" i="41"/>
  <c r="E118" i="41"/>
  <c r="E32" i="41"/>
  <c r="E60" i="41" s="1"/>
  <c r="E28" i="41"/>
  <c r="E56" i="41" s="1"/>
  <c r="E127" i="41"/>
  <c r="E131" i="41"/>
  <c r="E30" i="41"/>
  <c r="E58" i="41" s="1"/>
  <c r="E124" i="41"/>
  <c r="E120" i="41"/>
  <c r="E116" i="41"/>
  <c r="E132" i="41"/>
  <c r="E129" i="41"/>
  <c r="E29" i="41"/>
  <c r="E57" i="41" s="1"/>
  <c r="D4" i="41"/>
  <c r="G4" i="41"/>
  <c r="E167" i="41"/>
  <c r="F122" i="41" l="1"/>
  <c r="F58" i="41"/>
  <c r="E50" i="41"/>
  <c r="F131" i="41"/>
  <c r="F129" i="41"/>
  <c r="F127" i="41"/>
  <c r="F118" i="41"/>
  <c r="F32" i="41"/>
  <c r="F60" i="41" s="1"/>
  <c r="E79" i="41"/>
  <c r="E80" i="41" s="1"/>
  <c r="F132" i="41"/>
  <c r="F34" i="41"/>
  <c r="F62" i="41" s="1"/>
  <c r="F38" i="41"/>
  <c r="F66" i="41" s="1"/>
  <c r="F42" i="41"/>
  <c r="F70" i="41" s="1"/>
  <c r="F41" i="41"/>
  <c r="F69" i="41" s="1"/>
  <c r="F45" i="41"/>
  <c r="F73" i="41" s="1"/>
  <c r="F35" i="41"/>
  <c r="F63" i="41" s="1"/>
  <c r="F39" i="41"/>
  <c r="F67" i="41" s="1"/>
  <c r="F43" i="41"/>
  <c r="F71" i="41" s="1"/>
  <c r="F33" i="41"/>
  <c r="F61" i="41" s="1"/>
  <c r="F36" i="41"/>
  <c r="F64" i="41" s="1"/>
  <c r="F40" i="41"/>
  <c r="F68" i="41" s="1"/>
  <c r="F44" i="41"/>
  <c r="F72" i="41" s="1"/>
  <c r="F37" i="41"/>
  <c r="F65" i="41" s="1"/>
  <c r="F120" i="41"/>
  <c r="F27" i="41"/>
  <c r="F55" i="41" s="1"/>
  <c r="F29" i="41"/>
  <c r="F57" i="41" s="1"/>
  <c r="F26" i="41"/>
  <c r="F54" i="41" s="1"/>
  <c r="F126" i="41"/>
  <c r="F124" i="41"/>
  <c r="F116" i="41"/>
  <c r="F23" i="41"/>
  <c r="F51" i="41" s="1"/>
  <c r="F25" i="41"/>
  <c r="F53" i="41" s="1"/>
  <c r="E173" i="41"/>
  <c r="F123" i="41"/>
  <c r="F119" i="41"/>
  <c r="F115" i="41"/>
  <c r="F31" i="41"/>
  <c r="F59" i="41" s="1"/>
  <c r="F28" i="41"/>
  <c r="F56" i="41" s="1"/>
  <c r="F125" i="41"/>
  <c r="F121" i="41"/>
  <c r="F117" i="41"/>
  <c r="F130" i="41"/>
  <c r="F128" i="41"/>
  <c r="F22" i="41"/>
  <c r="F24" i="41"/>
  <c r="F52" i="41" s="1"/>
  <c r="D139" i="41"/>
  <c r="D143" i="41"/>
  <c r="D147" i="41"/>
  <c r="D151" i="41"/>
  <c r="D155" i="41"/>
  <c r="D159" i="41"/>
  <c r="D140" i="41"/>
  <c r="D144" i="41"/>
  <c r="D148" i="41"/>
  <c r="D152" i="41"/>
  <c r="D156" i="41"/>
  <c r="D160" i="41"/>
  <c r="D141" i="41"/>
  <c r="D145" i="41"/>
  <c r="D149" i="41"/>
  <c r="D153" i="41"/>
  <c r="D157" i="41"/>
  <c r="D161" i="41"/>
  <c r="D142" i="41"/>
  <c r="D146" i="41"/>
  <c r="D150" i="41"/>
  <c r="D154" i="41"/>
  <c r="D158" i="41"/>
  <c r="D138" i="41"/>
  <c r="G139" i="41"/>
  <c r="G143" i="41"/>
  <c r="G147" i="41"/>
  <c r="G151" i="41"/>
  <c r="G155" i="41"/>
  <c r="G159" i="41"/>
  <c r="G140" i="41"/>
  <c r="G144" i="41"/>
  <c r="G148" i="41"/>
  <c r="G152" i="41"/>
  <c r="G156" i="41"/>
  <c r="G160" i="41"/>
  <c r="G141" i="41"/>
  <c r="G145" i="41"/>
  <c r="G149" i="41"/>
  <c r="G153" i="41"/>
  <c r="G157" i="41"/>
  <c r="G161" i="41"/>
  <c r="G154" i="41"/>
  <c r="G142" i="41"/>
  <c r="G158" i="41"/>
  <c r="G146" i="41"/>
  <c r="G138" i="41"/>
  <c r="G150" i="41"/>
  <c r="G112" i="41"/>
  <c r="G116" i="41" s="1"/>
  <c r="G165" i="41"/>
  <c r="G167" i="41" s="1"/>
  <c r="D112" i="41"/>
  <c r="D165" i="41"/>
  <c r="D167" i="41" s="1"/>
  <c r="F167" i="41"/>
  <c r="E99" i="41" l="1"/>
  <c r="D32" i="41"/>
  <c r="D36" i="41"/>
  <c r="D64" i="41" s="1"/>
  <c r="D40" i="41"/>
  <c r="D68" i="41" s="1"/>
  <c r="D44" i="41"/>
  <c r="D72" i="41" s="1"/>
  <c r="D35" i="41"/>
  <c r="D63" i="41" s="1"/>
  <c r="D33" i="41"/>
  <c r="D61" i="41" s="1"/>
  <c r="D37" i="41"/>
  <c r="D65" i="41" s="1"/>
  <c r="D41" i="41"/>
  <c r="D69" i="41" s="1"/>
  <c r="D45" i="41"/>
  <c r="D73" i="41" s="1"/>
  <c r="D39" i="41"/>
  <c r="D67" i="41" s="1"/>
  <c r="D30" i="41"/>
  <c r="D58" i="41" s="1"/>
  <c r="D34" i="41"/>
  <c r="D62" i="41" s="1"/>
  <c r="D38" i="41"/>
  <c r="D42" i="41"/>
  <c r="D70" i="41" s="1"/>
  <c r="D31" i="41"/>
  <c r="D59" i="41" s="1"/>
  <c r="D43" i="41"/>
  <c r="D71" i="41" s="1"/>
  <c r="G33" i="41"/>
  <c r="G61" i="41" s="1"/>
  <c r="G37" i="41"/>
  <c r="G65" i="41" s="1"/>
  <c r="G41" i="41"/>
  <c r="G69" i="41" s="1"/>
  <c r="G45" i="41"/>
  <c r="G73" i="41" s="1"/>
  <c r="G44" i="41"/>
  <c r="G72" i="41" s="1"/>
  <c r="G34" i="41"/>
  <c r="G62" i="41" s="1"/>
  <c r="G38" i="41"/>
  <c r="G66" i="41" s="1"/>
  <c r="G42" i="41"/>
  <c r="G70" i="41" s="1"/>
  <c r="G36" i="41"/>
  <c r="G64" i="41" s="1"/>
  <c r="G35" i="41"/>
  <c r="G63" i="41" s="1"/>
  <c r="G39" i="41"/>
  <c r="G67" i="41" s="1"/>
  <c r="G43" i="41"/>
  <c r="G71" i="41" s="1"/>
  <c r="G40" i="41"/>
  <c r="G68" i="41" s="1"/>
  <c r="D60" i="41"/>
  <c r="D66" i="41"/>
  <c r="F78" i="41"/>
  <c r="F50" i="41"/>
  <c r="F173" i="41" s="1"/>
  <c r="G32" i="41"/>
  <c r="G60" i="41" s="1"/>
  <c r="G130" i="41"/>
  <c r="G117" i="41"/>
  <c r="G28" i="41"/>
  <c r="G56" i="41" s="1"/>
  <c r="G29" i="41"/>
  <c r="G57" i="41" s="1"/>
  <c r="G22" i="41"/>
  <c r="G24" i="41"/>
  <c r="G52" i="41" s="1"/>
  <c r="G31" i="41"/>
  <c r="G59" i="41" s="1"/>
  <c r="G27" i="41"/>
  <c r="G55" i="41" s="1"/>
  <c r="G131" i="41"/>
  <c r="D129" i="41"/>
  <c r="D131" i="41"/>
  <c r="D132" i="41"/>
  <c r="D117" i="41"/>
  <c r="D121" i="41"/>
  <c r="D125" i="41"/>
  <c r="D22" i="41"/>
  <c r="D50" i="41" s="1"/>
  <c r="D124" i="41"/>
  <c r="D27" i="41"/>
  <c r="D55" i="41" s="1"/>
  <c r="D26" i="41"/>
  <c r="D54" i="41" s="1"/>
  <c r="D28" i="41"/>
  <c r="D56" i="41" s="1"/>
  <c r="D29" i="41"/>
  <c r="D57" i="41" s="1"/>
  <c r="D130" i="41"/>
  <c r="D118" i="41"/>
  <c r="D122" i="41"/>
  <c r="D126" i="41"/>
  <c r="D25" i="41"/>
  <c r="D53" i="41" s="1"/>
  <c r="D116" i="41"/>
  <c r="D127" i="41"/>
  <c r="D128" i="41"/>
  <c r="D115" i="41"/>
  <c r="D119" i="41"/>
  <c r="D123" i="41"/>
  <c r="D23" i="41"/>
  <c r="D51" i="41" s="1"/>
  <c r="D24" i="41"/>
  <c r="D52" i="41" s="1"/>
  <c r="D120" i="41"/>
  <c r="G26" i="41"/>
  <c r="G54" i="41" s="1"/>
  <c r="G25" i="41"/>
  <c r="G53" i="41" s="1"/>
  <c r="G120" i="41"/>
  <c r="G124" i="41"/>
  <c r="G129" i="41"/>
  <c r="G127" i="41"/>
  <c r="G132" i="41"/>
  <c r="G115" i="41"/>
  <c r="G121" i="41"/>
  <c r="G125" i="41"/>
  <c r="G128" i="41"/>
  <c r="G23" i="41"/>
  <c r="G51" i="41" s="1"/>
  <c r="G123" i="41"/>
  <c r="G30" i="41"/>
  <c r="G58" i="41" s="1"/>
  <c r="G118" i="41"/>
  <c r="G122" i="41"/>
  <c r="G126" i="41"/>
  <c r="G119" i="41"/>
  <c r="I363" i="23"/>
  <c r="I428" i="23"/>
  <c r="E100" i="41"/>
  <c r="E81" i="41"/>
  <c r="D173" i="41" l="1"/>
  <c r="G78" i="41"/>
  <c r="G98" i="41" s="1"/>
  <c r="G50" i="41"/>
  <c r="G173" i="41" s="1"/>
  <c r="F79" i="41"/>
  <c r="F98" i="41"/>
  <c r="G79" i="41"/>
  <c r="D78" i="41"/>
  <c r="J363" i="23"/>
  <c r="J428" i="23"/>
  <c r="E82" i="41"/>
  <c r="E101" i="41"/>
  <c r="F99" i="41" l="1"/>
  <c r="F80" i="41"/>
  <c r="D98" i="41"/>
  <c r="D79" i="41"/>
  <c r="G80" i="41"/>
  <c r="G99" i="41"/>
  <c r="E83" i="41"/>
  <c r="E102" i="41"/>
  <c r="F100" i="41" l="1"/>
  <c r="F81" i="41"/>
  <c r="G81" i="41"/>
  <c r="G100" i="41"/>
  <c r="K363" i="23"/>
  <c r="K428" i="23"/>
  <c r="D80" i="41"/>
  <c r="D99" i="41"/>
  <c r="H363" i="23"/>
  <c r="H428" i="23"/>
  <c r="E103" i="41"/>
  <c r="E84" i="41"/>
  <c r="F101" i="41" l="1"/>
  <c r="F82" i="41"/>
  <c r="D81" i="41"/>
  <c r="D100" i="41"/>
  <c r="G101" i="41"/>
  <c r="G82" i="41"/>
  <c r="E104" i="41"/>
  <c r="E85" i="41"/>
  <c r="F102" i="41" l="1"/>
  <c r="F83" i="41"/>
  <c r="G83" i="41"/>
  <c r="G102" i="41"/>
  <c r="D101" i="41"/>
  <c r="D82" i="41"/>
  <c r="E105" i="41"/>
  <c r="E86" i="41"/>
  <c r="F103" i="41" l="1"/>
  <c r="F84" i="41"/>
  <c r="D102" i="41"/>
  <c r="D83" i="41"/>
  <c r="G84" i="41"/>
  <c r="G103" i="41"/>
  <c r="E87" i="41"/>
  <c r="E106" i="41"/>
  <c r="F104" i="41" l="1"/>
  <c r="F85" i="41"/>
  <c r="G104" i="41"/>
  <c r="G85" i="41"/>
  <c r="D103" i="41"/>
  <c r="D84" i="41"/>
  <c r="E107" i="41"/>
  <c r="E88" i="41"/>
  <c r="F105" i="41" l="1"/>
  <c r="F86" i="41"/>
  <c r="D104" i="41"/>
  <c r="D85" i="41"/>
  <c r="G105" i="41"/>
  <c r="G86" i="41"/>
  <c r="E108" i="41"/>
  <c r="E110" i="41" s="1"/>
  <c r="E170" i="41" s="1"/>
  <c r="I427" i="23" s="1"/>
  <c r="I429" i="23" s="1"/>
  <c r="I460" i="23" s="1"/>
  <c r="E89" i="41"/>
  <c r="E90" i="41" s="1"/>
  <c r="E91" i="41" s="1"/>
  <c r="E92" i="41" s="1"/>
  <c r="F106" i="41" l="1"/>
  <c r="F87" i="41"/>
  <c r="G106" i="41"/>
  <c r="G87" i="41"/>
  <c r="D105" i="41"/>
  <c r="D86" i="41"/>
  <c r="E176" i="41"/>
  <c r="E202" i="41" s="1"/>
  <c r="E204" i="41" s="1"/>
  <c r="I404" i="23" s="1"/>
  <c r="I362" i="23"/>
  <c r="I364" i="23" s="1"/>
  <c r="I395" i="23" s="1"/>
  <c r="F107" i="41" l="1"/>
  <c r="F88" i="41"/>
  <c r="G88" i="41"/>
  <c r="G107" i="41"/>
  <c r="D87" i="41"/>
  <c r="D106" i="41"/>
  <c r="E208" i="41"/>
  <c r="E210" i="41"/>
  <c r="I339" i="23"/>
  <c r="F108" i="41" l="1"/>
  <c r="F110" i="41" s="1"/>
  <c r="F170" i="41" s="1"/>
  <c r="F89" i="41"/>
  <c r="F90" i="41" s="1"/>
  <c r="F91" i="41" s="1"/>
  <c r="F92" i="41" s="1"/>
  <c r="D107" i="41"/>
  <c r="D88" i="41"/>
  <c r="G89" i="41"/>
  <c r="G90" i="41" s="1"/>
  <c r="G91" i="41" s="1"/>
  <c r="G92" i="41" s="1"/>
  <c r="G108" i="41"/>
  <c r="G110" i="41" s="1"/>
  <c r="G170" i="41" s="1"/>
  <c r="E211" i="41"/>
  <c r="I405" i="23"/>
  <c r="I341" i="23"/>
  <c r="I406" i="23"/>
  <c r="I340" i="23"/>
  <c r="J427" i="23" l="1"/>
  <c r="J429" i="23" s="1"/>
  <c r="J460" i="23" s="1"/>
  <c r="F176" i="41"/>
  <c r="F202" i="41" s="1"/>
  <c r="F204" i="41" s="1"/>
  <c r="J362" i="23"/>
  <c r="J364" i="23" s="1"/>
  <c r="J395" i="23" s="1"/>
  <c r="K427" i="23"/>
  <c r="K429" i="23" s="1"/>
  <c r="K460" i="23" s="1"/>
  <c r="G176" i="41"/>
  <c r="G202" i="41" s="1"/>
  <c r="G204" i="41" s="1"/>
  <c r="K362" i="23"/>
  <c r="K364" i="23" s="1"/>
  <c r="K395" i="23" s="1"/>
  <c r="D89" i="41"/>
  <c r="D90" i="41" s="1"/>
  <c r="D91" i="41" s="1"/>
  <c r="D92" i="41" s="1"/>
  <c r="D108" i="41"/>
  <c r="D110" i="41" s="1"/>
  <c r="D170" i="41" s="1"/>
  <c r="I342" i="23"/>
  <c r="I396" i="23" s="1"/>
  <c r="I407" i="23"/>
  <c r="I461" i="23" s="1"/>
  <c r="J404" i="23" l="1"/>
  <c r="F208" i="41"/>
  <c r="F210" i="41"/>
  <c r="J339" i="23"/>
  <c r="K404" i="23"/>
  <c r="K339" i="23"/>
  <c r="G210" i="41"/>
  <c r="G208" i="41"/>
  <c r="H427" i="23"/>
  <c r="H429" i="23" s="1"/>
  <c r="H460" i="23" s="1"/>
  <c r="D176" i="41"/>
  <c r="D202" i="41" s="1"/>
  <c r="D204" i="41" s="1"/>
  <c r="H362" i="23"/>
  <c r="H364" i="23" s="1"/>
  <c r="H395" i="23" s="1"/>
  <c r="D5" i="40"/>
  <c r="B356" i="24"/>
  <c r="B361" i="24" s="1"/>
  <c r="J341" i="23" l="1"/>
  <c r="J406" i="23"/>
  <c r="F211" i="41"/>
  <c r="J340" i="23"/>
  <c r="J405" i="23"/>
  <c r="K405" i="23"/>
  <c r="K340" i="23"/>
  <c r="G211" i="41"/>
  <c r="K341" i="23"/>
  <c r="K406" i="23"/>
  <c r="H404" i="23"/>
  <c r="D208" i="41"/>
  <c r="H339" i="23"/>
  <c r="D210" i="41"/>
  <c r="B354" i="24"/>
  <c r="B351" i="24"/>
  <c r="B362" i="24"/>
  <c r="B363" i="24" s="1"/>
  <c r="J407" i="23" l="1"/>
  <c r="J461" i="23" s="1"/>
  <c r="J342" i="23"/>
  <c r="J396" i="23" s="1"/>
  <c r="H405" i="23"/>
  <c r="D211" i="41"/>
  <c r="H340" i="23"/>
  <c r="K407" i="23"/>
  <c r="K461" i="23" s="1"/>
  <c r="K342" i="23"/>
  <c r="K396" i="23" s="1"/>
  <c r="H341" i="23"/>
  <c r="H406" i="23"/>
  <c r="B353" i="24"/>
  <c r="H282" i="23"/>
  <c r="D4" i="40" s="1"/>
  <c r="D139" i="40" l="1"/>
  <c r="D143" i="40"/>
  <c r="D147" i="40"/>
  <c r="D151" i="40"/>
  <c r="D155" i="40"/>
  <c r="D159" i="40"/>
  <c r="D140" i="40"/>
  <c r="D144" i="40"/>
  <c r="D148" i="40"/>
  <c r="D152" i="40"/>
  <c r="D156" i="40"/>
  <c r="D160" i="40"/>
  <c r="D141" i="40"/>
  <c r="D145" i="40"/>
  <c r="D149" i="40"/>
  <c r="D153" i="40"/>
  <c r="D157" i="40"/>
  <c r="D161" i="40"/>
  <c r="D142" i="40"/>
  <c r="D146" i="40"/>
  <c r="D150" i="40"/>
  <c r="D154" i="40"/>
  <c r="D158" i="40"/>
  <c r="D138" i="40"/>
  <c r="H407" i="23"/>
  <c r="H461" i="23" s="1"/>
  <c r="H342" i="23"/>
  <c r="H396" i="23" s="1"/>
  <c r="D112" i="40"/>
  <c r="D116" i="40" s="1"/>
  <c r="D165" i="40"/>
  <c r="D122" i="40" l="1"/>
  <c r="D132" i="40"/>
  <c r="D128" i="40"/>
  <c r="D126" i="40"/>
  <c r="D125" i="40"/>
  <c r="D120" i="40"/>
  <c r="D117" i="40"/>
  <c r="D25" i="40"/>
  <c r="D53" i="40" s="1"/>
  <c r="D29" i="40"/>
  <c r="D57" i="40" s="1"/>
  <c r="D33" i="40"/>
  <c r="D61" i="40" s="1"/>
  <c r="D37" i="40"/>
  <c r="D65" i="40" s="1"/>
  <c r="D41" i="40"/>
  <c r="D69" i="40" s="1"/>
  <c r="D45" i="40"/>
  <c r="D73" i="40" s="1"/>
  <c r="D26" i="40"/>
  <c r="D54" i="40" s="1"/>
  <c r="D30" i="40"/>
  <c r="D58" i="40" s="1"/>
  <c r="D34" i="40"/>
  <c r="D62" i="40" s="1"/>
  <c r="D38" i="40"/>
  <c r="D42" i="40"/>
  <c r="D70" i="40" s="1"/>
  <c r="D23" i="40"/>
  <c r="D51" i="40" s="1"/>
  <c r="D27" i="40"/>
  <c r="D55" i="40" s="1"/>
  <c r="D31" i="40"/>
  <c r="D35" i="40"/>
  <c r="D39" i="40"/>
  <c r="D67" i="40" s="1"/>
  <c r="D43" i="40"/>
  <c r="D71" i="40" s="1"/>
  <c r="D24" i="40"/>
  <c r="D52" i="40" s="1"/>
  <c r="D28" i="40"/>
  <c r="D56" i="40" s="1"/>
  <c r="D32" i="40"/>
  <c r="D60" i="40" s="1"/>
  <c r="D36" i="40"/>
  <c r="D64" i="40" s="1"/>
  <c r="D40" i="40"/>
  <c r="D68" i="40" s="1"/>
  <c r="D44" i="40"/>
  <c r="D72" i="40" s="1"/>
  <c r="D59" i="40"/>
  <c r="D63" i="40"/>
  <c r="D66" i="40"/>
  <c r="D118" i="40"/>
  <c r="D130" i="40"/>
  <c r="D119" i="40"/>
  <c r="D22" i="40"/>
  <c r="D50" i="40" s="1"/>
  <c r="D115" i="40"/>
  <c r="D121" i="40"/>
  <c r="D124" i="40"/>
  <c r="D127" i="40"/>
  <c r="D131" i="40"/>
  <c r="D123" i="40"/>
  <c r="D129" i="40"/>
  <c r="D167" i="40"/>
  <c r="D174" i="40" l="1"/>
  <c r="D78" i="40"/>
  <c r="D79" i="40" s="1"/>
  <c r="D98" i="40" l="1"/>
  <c r="H297" i="23"/>
  <c r="D176" i="40"/>
  <c r="D99" i="40"/>
  <c r="D80" i="40"/>
  <c r="D81" i="40" l="1"/>
  <c r="D100" i="40"/>
  <c r="D101" i="40" l="1"/>
  <c r="D82" i="40"/>
  <c r="D102" i="40" l="1"/>
  <c r="D83" i="40"/>
  <c r="D103" i="40" l="1"/>
  <c r="D84" i="40"/>
  <c r="D104" i="40" l="1"/>
  <c r="D85" i="40"/>
  <c r="D105" i="40" l="1"/>
  <c r="D86" i="40"/>
  <c r="D106" i="40" l="1"/>
  <c r="D87" i="40"/>
  <c r="D88" i="40" l="1"/>
  <c r="D107" i="40"/>
  <c r="D108" i="40" l="1"/>
  <c r="D110" i="40" s="1"/>
  <c r="D170" i="40" s="1"/>
  <c r="D177" i="40" s="1"/>
  <c r="D89" i="40"/>
  <c r="D90" i="40" s="1"/>
  <c r="D91" i="40" s="1"/>
  <c r="D92" i="40" s="1"/>
  <c r="D202" i="40" l="1"/>
  <c r="D204" i="40" s="1"/>
  <c r="H296" i="23"/>
  <c r="H298" i="23" s="1"/>
  <c r="H329" i="23" s="1"/>
  <c r="H272" i="23" l="1"/>
  <c r="D208" i="40"/>
  <c r="D210" i="40"/>
  <c r="H274" i="23" s="1"/>
  <c r="D211" i="40" l="1"/>
  <c r="H275" i="23" s="1"/>
  <c r="H273" i="23"/>
  <c r="H330" i="2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B124" authorId="0" shapeId="0" xr:uid="{84000CD7-4D3F-4DA4-97CE-B08A326BBC2D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24" authorId="0" shapeId="0" xr:uid="{B8CC8B97-D6CA-41B7-A032-8B7E3F9498E7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24" authorId="0" shapeId="0" xr:uid="{02476B4D-947F-4003-A984-5BE0A8557143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24" authorId="0" shapeId="0" xr:uid="{64E038B9-6478-4817-8E52-6F9877A5B45B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H124" authorId="0" shapeId="0" xr:uid="{53E1558D-901E-41DA-8452-08CBDABCBA4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J124" authorId="0" shapeId="0" xr:uid="{A8F10255-72A6-4658-A780-1CDC6C98CC1E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B156" authorId="1" shapeId="0" xr:uid="{A1AED499-FCEE-4940-B937-680D845F6AC9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B308" authorId="0" shapeId="0" xr:uid="{71BB6411-4032-46B2-9141-AB0F39B4EDA9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24" authorId="0" shapeId="0" xr:uid="{5E81783F-E82D-4EE4-B0C6-EE39AAA7C7E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24" authorId="0" shapeId="0" xr:uid="{1832B408-0C6E-4194-B5EA-DA488AB1E157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24" authorId="0" shapeId="0" xr:uid="{2B63D99D-EC1A-4F97-BDE9-83F94465523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G124" authorId="0" shapeId="0" xr:uid="{1C2BAC4A-4CB6-4CD0-98C7-B59BB4352C5D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I124" authorId="0" shapeId="0" xr:uid="{8EFDF550-ED7A-4402-9CFC-D129088AFEEE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K124" authorId="0" shapeId="0" xr:uid="{5F009979-121C-4F8D-86C4-10DC5D489E8D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L124" authorId="0" shapeId="0" xr:uid="{20848770-9DCF-4279-88A1-69BBCBC4C9AA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N124" authorId="0" shapeId="0" xr:uid="{0A179513-584E-452A-B6E4-F5DD6F355DC4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P124" authorId="0" shapeId="0" xr:uid="{C9A64811-19DF-4910-BA64-FFE3615CE81F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58" authorId="1" shapeId="0" xr:uid="{5A9D2369-AEB4-4A88-BF18-66B2973BB01A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10" authorId="0" shapeId="0" xr:uid="{F20F396A-2ED6-4A73-B9F5-6270B3EC35CC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50" authorId="0" shapeId="0" xr:uid="{CA0D0E34-9118-438B-A3DC-DA0419FC2197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50" authorId="0" shapeId="0" xr:uid="{690009A2-2FF1-4F67-B083-33441EE9CA0D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50" authorId="0" shapeId="0" xr:uid="{48741754-3B1D-43C3-9F45-115BEA5DFC86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50" authorId="0" shapeId="0" xr:uid="{303D16EC-1D01-4C17-8996-ACED2067C87A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G150" authorId="0" shapeId="0" xr:uid="{58BD0CD2-0E70-4B75-9864-4B975F72289F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H150" authorId="0" shapeId="0" xr:uid="{583195DC-0AA7-424F-8A98-CD128C2F2142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84" authorId="1" shapeId="0" xr:uid="{DBA1B4B4-7CF5-4B11-82B3-4ED5E4EE69C9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35" authorId="0" shapeId="0" xr:uid="{7D79AA41-D8F8-4823-91CD-63204C6155AA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Jamiu Alade</author>
    <author>Adeyinka Pampam</author>
  </authors>
  <commentList>
    <comment ref="C167" authorId="0" shapeId="0" xr:uid="{769860EA-9CE2-4715-8265-7B224371ACB4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16" authorId="1" shapeId="0" xr:uid="{B174254F-E12D-41C0-BF8F-4437CEDBDB09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35" authorId="0" shapeId="0" xr:uid="{60BE9A22-ED2A-403B-9907-C370D20B1C69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35" authorId="0" shapeId="0" xr:uid="{040CE85A-9F29-41B2-94CD-BED0140635F9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35" authorId="0" shapeId="0" xr:uid="{F27EE3DE-33CF-4BAD-A603-7639A2F54A1C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35" authorId="0" shapeId="0" xr:uid="{930998A2-FBE3-431B-9B3A-EF2A77D8BD33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G135" authorId="0" shapeId="0" xr:uid="{7BB57FAF-F116-4E89-90DC-2E53BA82D5C7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H135" authorId="0" shapeId="0" xr:uid="{DB1B8160-72EF-482B-8C2B-5D4676EC9FE1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74" authorId="1" shapeId="0" xr:uid="{FC662D9C-AB56-475E-B1F4-738741183579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24" authorId="0" shapeId="0" xr:uid="{1C159AEA-4B63-4F87-BEED-D66752395D38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35" authorId="0" shapeId="0" xr:uid="{DC556CB7-B707-4735-B4C2-F5AE898FEAEC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35" authorId="0" shapeId="0" xr:uid="{2A93E377-945F-43CF-BB56-F3532FC08FEE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35" authorId="0" shapeId="0" xr:uid="{0B0979EB-E847-41AF-86CA-7E6B2F41240B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35" authorId="0" shapeId="0" xr:uid="{66B6BDBB-A4DD-4359-8E66-167CCAB23EC1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75" authorId="1" shapeId="0" xr:uid="{B7ACCB36-0B7D-4961-88C6-B12234367A14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25" authorId="0" shapeId="0" xr:uid="{134F7CE5-C772-4EAA-99BD-E52D1EB9F0A6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35" authorId="0" shapeId="0" xr:uid="{D0491302-0E57-44CD-8778-D21B37520ED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35" authorId="0" shapeId="0" xr:uid="{3B1F9198-8BE7-44A3-B4C7-FF5D8088A46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35" authorId="0" shapeId="0" xr:uid="{94AE18BD-9863-4BB9-9DD7-9D1675F45509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35" authorId="0" shapeId="0" xr:uid="{E43F288D-2FC4-4134-8922-9BA57AB08ECB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74" authorId="1" shapeId="0" xr:uid="{DED8AE75-4C16-4EBA-AA3A-AB83FA5404EA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25" authorId="0" shapeId="0" xr:uid="{FF4260F6-4753-458E-93D1-236632DB5EF3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Adeyinka Pampam</author>
    <author>Jamiu Alade</author>
  </authors>
  <commentList>
    <comment ref="C135" authorId="0" shapeId="0" xr:uid="{EE5E2E55-3870-4D5D-9834-2A10D511A26E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D135" authorId="0" shapeId="0" xr:uid="{93842CF4-21F6-4047-9640-1B4F732F0C16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E135" authorId="0" shapeId="0" xr:uid="{9AE7EACB-A7F3-4436-A820-078F30314885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F135" authorId="0" shapeId="0" xr:uid="{68C84E5E-4D9C-4284-A1A2-F003AE994620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Based on weighted average between Jan-May 2018</t>
        </r>
      </text>
    </comment>
    <comment ref="C174" authorId="1" shapeId="0" xr:uid="{6DF30A2F-E5BA-458B-A6FB-D495865D2A55}">
      <text>
        <r>
          <rPr>
            <b/>
            <sz val="9"/>
            <color indexed="81"/>
            <rFont val="Tahoma"/>
            <family val="2"/>
          </rPr>
          <t>Jamiu Alade:</t>
        </r>
        <r>
          <rPr>
            <sz val="9"/>
            <color indexed="81"/>
            <rFont val="Tahoma"/>
            <family val="2"/>
          </rPr>
          <t xml:space="preserve">
plus VAT at 5%</t>
        </r>
      </text>
    </comment>
    <comment ref="C325" authorId="0" shapeId="0" xr:uid="{1284D802-394F-4B64-A607-F373F77F2D4D}">
      <text>
        <r>
          <rPr>
            <b/>
            <sz val="9"/>
            <color indexed="81"/>
            <rFont val="Tahoma"/>
            <family val="2"/>
          </rPr>
          <t>Adeyinka Pampam:</t>
        </r>
        <r>
          <rPr>
            <sz val="9"/>
            <color indexed="81"/>
            <rFont val="Tahoma"/>
            <family val="2"/>
          </rPr>
          <t xml:space="preserve">
Number of loans in October</t>
        </r>
      </text>
    </comment>
  </commentList>
</comments>
</file>

<file path=xl/sharedStrings.xml><?xml version="1.0" encoding="utf-8"?>
<sst xmlns="http://schemas.openxmlformats.org/spreadsheetml/2006/main" count="2749" uniqueCount="538">
  <si>
    <t>Jamiu</t>
  </si>
  <si>
    <t>Assumptions</t>
  </si>
  <si>
    <t>Salaried - NTB</t>
  </si>
  <si>
    <t>Salaried - Renewal</t>
  </si>
  <si>
    <t>Salaried - Top-Up</t>
  </si>
  <si>
    <t>MBL -NTB</t>
  </si>
  <si>
    <t>MBL - XSELL</t>
  </si>
  <si>
    <t>Combined</t>
  </si>
  <si>
    <t>Interest rate</t>
  </si>
  <si>
    <t>Flat rate</t>
  </si>
  <si>
    <t>Avg. Actual Tenor (months)</t>
  </si>
  <si>
    <t>Cost of funds</t>
  </si>
  <si>
    <t>Loan loss impairment</t>
  </si>
  <si>
    <t>Number of loans</t>
  </si>
  <si>
    <t>Avg loan size</t>
  </si>
  <si>
    <t>Disbursements</t>
  </si>
  <si>
    <t>Loan approval rate</t>
  </si>
  <si>
    <t>Number of loan Applications</t>
  </si>
  <si>
    <t>Fee income (%)</t>
  </si>
  <si>
    <t>Fee income</t>
  </si>
  <si>
    <t>NTB Principal repayments</t>
  </si>
  <si>
    <t>Year 1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</si>
  <si>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</si>
  <si>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</si>
  <si>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</si>
  <si>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</si>
  <si>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</si>
  <si>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</si>
  <si>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</si>
  <si>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</si>
  <si>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</si>
  <si>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</si>
  <si>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</t>
  </si>
  <si>
    <t>January</t>
  </si>
  <si>
    <t>February</t>
  </si>
  <si>
    <t>NTB Total payments</t>
  </si>
  <si>
    <t>Opening Balances</t>
  </si>
  <si>
    <t>Interest expense</t>
  </si>
  <si>
    <t>COF/month</t>
  </si>
  <si>
    <t>Interest income</t>
  </si>
  <si>
    <t>Tenure (months)</t>
  </si>
  <si>
    <t>PV (origination and fee capitalized)</t>
  </si>
  <si>
    <t>Interest income - Xsell</t>
  </si>
  <si>
    <t>Xsell</t>
  </si>
  <si>
    <t>Total Lending income</t>
  </si>
  <si>
    <t>Total income from loan sale</t>
  </si>
  <si>
    <t>Total Lending Income</t>
  </si>
  <si>
    <t>Funding and Bank Charges</t>
  </si>
  <si>
    <t>Auto disbursement</t>
  </si>
  <si>
    <t>Account Maintenance Charge</t>
  </si>
  <si>
    <t>Total Funding and Bank Charges</t>
  </si>
  <si>
    <t>Attributable salaries and Other staff cost</t>
  </si>
  <si>
    <t>Branch</t>
  </si>
  <si>
    <t>Direct Sales</t>
  </si>
  <si>
    <t>Contact Centre</t>
  </si>
  <si>
    <t>Collections and Recovery</t>
  </si>
  <si>
    <t>Agent Incentives per Loan</t>
  </si>
  <si>
    <t>Team Lead Incentives per Loan</t>
  </si>
  <si>
    <t>Channel Manager Incentives per Loan</t>
  </si>
  <si>
    <t>Underwriting cost per loan</t>
  </si>
  <si>
    <t xml:space="preserve">HMO </t>
  </si>
  <si>
    <t>Pension</t>
  </si>
  <si>
    <t>NSITF</t>
  </si>
  <si>
    <t>Bonus for underwriting</t>
  </si>
  <si>
    <t>Total Salaries and Staff Cost</t>
  </si>
  <si>
    <t>IT Cost</t>
  </si>
  <si>
    <t>Zenoo</t>
  </si>
  <si>
    <t>Mambu</t>
  </si>
  <si>
    <t>GDS</t>
  </si>
  <si>
    <t xml:space="preserve">Total IT Costs </t>
  </si>
  <si>
    <t>Operational Costs</t>
  </si>
  <si>
    <t>KYC costs</t>
  </si>
  <si>
    <t xml:space="preserve">Smile </t>
  </si>
  <si>
    <t>Credit Bureau</t>
  </si>
  <si>
    <t>BVN</t>
  </si>
  <si>
    <t>MBS Transaction cost</t>
  </si>
  <si>
    <t>Marketing costs- Direct</t>
  </si>
  <si>
    <t>Other attributable overheads</t>
  </si>
  <si>
    <t>Total Operational Cost</t>
  </si>
  <si>
    <t>Total Attributale before overheads Costs</t>
  </si>
  <si>
    <t>Contribution Before Overheads</t>
  </si>
  <si>
    <t>Office overheads</t>
  </si>
  <si>
    <t>Contribution After Overheads</t>
  </si>
  <si>
    <t>Contribution per ticket</t>
  </si>
  <si>
    <t>Contribution per ticket(after overhead)</t>
  </si>
  <si>
    <t>Using April 2019 Budget as a reference</t>
  </si>
  <si>
    <t>Opex per loan (excludes interest expense and direct selling costs)</t>
  </si>
  <si>
    <t xml:space="preserve">Number of loans </t>
  </si>
  <si>
    <t>Total expected variable opex</t>
  </si>
  <si>
    <t>Total Opex (for April 2019)</t>
  </si>
  <si>
    <t>Total Expected Fixed Opex (using April 2019)</t>
  </si>
  <si>
    <t>Fixed O/H per Loan</t>
  </si>
  <si>
    <t>Reconciliation of overheads using May 2018 data and October 2018 Test</t>
  </si>
  <si>
    <t>Notes:</t>
  </si>
  <si>
    <t>Incentive scheme</t>
  </si>
  <si>
    <t>NTB</t>
  </si>
  <si>
    <t>X-sell</t>
  </si>
  <si>
    <t>CAPEX/initial investments</t>
  </si>
  <si>
    <t>Building</t>
  </si>
  <si>
    <t>Ipad</t>
  </si>
  <si>
    <t>Training</t>
  </si>
  <si>
    <t>Recruitment</t>
  </si>
  <si>
    <t xml:space="preserve">Cost not captured </t>
  </si>
  <si>
    <t>Bank charges on repayments</t>
  </si>
  <si>
    <t>Actual overheads for May 2018 (excl. marketing)</t>
  </si>
  <si>
    <t>Fixed overheads</t>
  </si>
  <si>
    <t>Fixed overhead per loan for May 2018</t>
  </si>
  <si>
    <t>Test against October 2018</t>
  </si>
  <si>
    <t>Actual overheads for October</t>
  </si>
  <si>
    <t>Variable</t>
  </si>
  <si>
    <t>Fixed</t>
  </si>
  <si>
    <t>Adjustments</t>
  </si>
  <si>
    <t>Total cost per model</t>
  </si>
  <si>
    <t>Actual cost for October (Forecast)</t>
  </si>
  <si>
    <t>Personal Loan Product (NTB)</t>
  </si>
  <si>
    <t>50k-129k</t>
  </si>
  <si>
    <t>130k-199k</t>
  </si>
  <si>
    <t>200k-319k</t>
  </si>
  <si>
    <t>320k-679k</t>
  </si>
  <si>
    <t>680k-1.999m</t>
  </si>
  <si>
    <t>Above 2m</t>
  </si>
  <si>
    <t>Repayment charges (Paystack)</t>
  </si>
  <si>
    <t>KYC costs:</t>
  </si>
  <si>
    <t>Marketing costs</t>
  </si>
  <si>
    <t>Other Office overheads</t>
  </si>
  <si>
    <t>Contribution per ticket size</t>
  </si>
  <si>
    <t>Personal Loan Product (Renewal)</t>
  </si>
  <si>
    <t>Personal Loan Product (Top-Up)</t>
  </si>
  <si>
    <t>Micro Business Loan Product (NTB)</t>
  </si>
  <si>
    <t>100k - 199k</t>
  </si>
  <si>
    <t>200k - 499k</t>
  </si>
  <si>
    <t>500k - 799k</t>
  </si>
  <si>
    <t>800k and above</t>
  </si>
  <si>
    <t>Q1 total loans sold (actual)</t>
  </si>
  <si>
    <t>Q3 total loans sold (projections)</t>
  </si>
  <si>
    <t>Q4 total loans sold (projections)</t>
  </si>
  <si>
    <t>Number of loans sold FY 2020 forecast</t>
  </si>
  <si>
    <t>Cost per loan</t>
  </si>
  <si>
    <t>Exchange Rate</t>
  </si>
  <si>
    <t>as @ 30-3-2020</t>
  </si>
  <si>
    <t>https://abokifx.com/</t>
  </si>
  <si>
    <t>Mambu Cost per unit</t>
  </si>
  <si>
    <t>Annual license cost (USD)</t>
  </si>
  <si>
    <t>NGN per USD</t>
  </si>
  <si>
    <t>Total cost (NGN)</t>
  </si>
  <si>
    <t>Number of loans (FY 2020 Full Year Forecast)</t>
  </si>
  <si>
    <t xml:space="preserve">Average cost Per Loan </t>
  </si>
  <si>
    <t>GDS Cost per unit</t>
  </si>
  <si>
    <t>Cost per application</t>
  </si>
  <si>
    <t>30k applications/month.</t>
  </si>
  <si>
    <t>Average cost per loan application</t>
  </si>
  <si>
    <t>Marketing Costs attributable to Loan sales (2020 Budget)</t>
  </si>
  <si>
    <t>Applications Volume (2020 Budget)</t>
  </si>
  <si>
    <t>Marketing unit Cost</t>
  </si>
  <si>
    <t>No. of calls</t>
  </si>
  <si>
    <t>Cost Per Call</t>
  </si>
  <si>
    <t>Application</t>
  </si>
  <si>
    <t>Grand Total</t>
  </si>
  <si>
    <t>Initial Acceptance</t>
  </si>
  <si>
    <t>% to Initial Application</t>
  </si>
  <si>
    <t>Jun</t>
  </si>
  <si>
    <t>Jul</t>
  </si>
  <si>
    <t>Aug</t>
  </si>
  <si>
    <t>Average % of Initial Acceptance to initial application</t>
  </si>
  <si>
    <t>Credit Bureau costs</t>
  </si>
  <si>
    <t>Institution</t>
  </si>
  <si>
    <t>Cost Per Spool</t>
  </si>
  <si>
    <t>Weight</t>
  </si>
  <si>
    <t>CRC</t>
  </si>
  <si>
    <t>CR Services</t>
  </si>
  <si>
    <t>Weighted Average Costs per Application</t>
  </si>
  <si>
    <t>Cost per page of bank statement</t>
  </si>
  <si>
    <t>Number pages</t>
  </si>
  <si>
    <t>Cost Per Application</t>
  </si>
  <si>
    <t>Personal Loan</t>
  </si>
  <si>
    <t>Micro Business Loan</t>
  </si>
  <si>
    <t>Weighted Average Fee Income</t>
  </si>
  <si>
    <t>Fee Income (%)</t>
  </si>
  <si>
    <t>Fee Income</t>
  </si>
  <si>
    <t>Attrition assumptions</t>
  </si>
  <si>
    <t>% of liquidations</t>
  </si>
  <si>
    <t>Cumm. Liquidations</t>
  </si>
  <si>
    <t>Sales Agent Incentive Per Loan</t>
  </si>
  <si>
    <t>Month of Sales</t>
  </si>
  <si>
    <t>Renewal</t>
  </si>
  <si>
    <t>Top Ups</t>
  </si>
  <si>
    <t>Total</t>
  </si>
  <si>
    <t>Micro Business</t>
  </si>
  <si>
    <t>Incentives Per Loans Sales Value (%)</t>
  </si>
  <si>
    <t>COLLECTION COSTS</t>
  </si>
  <si>
    <t>By Product</t>
  </si>
  <si>
    <t>Cost per unit</t>
  </si>
  <si>
    <t>Loan loss rate</t>
  </si>
  <si>
    <t>Top Up</t>
  </si>
  <si>
    <t>50-129k</t>
  </si>
  <si>
    <t>680k-1.9m</t>
  </si>
  <si>
    <t>2m+</t>
  </si>
  <si>
    <t>XSELL</t>
  </si>
  <si>
    <t>100k-199k</t>
  </si>
  <si>
    <t>200k-499k</t>
  </si>
  <si>
    <t>500k-799k</t>
  </si>
  <si>
    <t>800k+</t>
  </si>
  <si>
    <t>Approval Rate</t>
  </si>
  <si>
    <t>Rejection rate</t>
  </si>
  <si>
    <t>MBL - New</t>
  </si>
  <si>
    <t>MBL - Renewal</t>
  </si>
  <si>
    <t>By Loan Band</t>
  </si>
  <si>
    <t>Personal Loan Underwriting cost</t>
  </si>
  <si>
    <t>Fixed Cost Per Loan</t>
  </si>
  <si>
    <t>Total fixed costs (Calculated below)</t>
  </si>
  <si>
    <t>Split of Loans Sold</t>
  </si>
  <si>
    <t>Personal Loans</t>
  </si>
  <si>
    <t>Microbusiness Loans</t>
  </si>
  <si>
    <t>Fixed Overhead</t>
  </si>
  <si>
    <t>Compensation</t>
  </si>
  <si>
    <t>Back office bonus</t>
  </si>
  <si>
    <t>Marketing - Advertisement and promotions</t>
  </si>
  <si>
    <t>IT and communication</t>
  </si>
  <si>
    <t>Property &amp; office costs</t>
  </si>
  <si>
    <t>Legal &amp; professional costs</t>
  </si>
  <si>
    <t>Bank charges - Business related</t>
  </si>
  <si>
    <t>Insurance</t>
  </si>
  <si>
    <t>TSA fees</t>
  </si>
  <si>
    <t>Travelling and transportation expenses</t>
  </si>
  <si>
    <t>Service Contracts</t>
  </si>
  <si>
    <t>Miscellaneous expenses</t>
  </si>
  <si>
    <t>FX Loss on Currency Opex</t>
  </si>
  <si>
    <t>Depreciation &amp; amortization - IS</t>
  </si>
  <si>
    <t>Adjustment for expenses that have been classified separately:</t>
  </si>
  <si>
    <t>Direct sales agent staff salary (Total Salary)</t>
  </si>
  <si>
    <t>Other DSE Cost:</t>
  </si>
  <si>
    <t>ITF</t>
  </si>
  <si>
    <t>Bank and payments system charges</t>
  </si>
  <si>
    <t xml:space="preserve">GDS </t>
  </si>
  <si>
    <t>DSEs' Tel Expenses</t>
  </si>
  <si>
    <t>Insurance - Operational</t>
  </si>
  <si>
    <t>Direct marketing cost</t>
  </si>
  <si>
    <t>Total fixed costs to be absorbed</t>
  </si>
  <si>
    <t>Number of applications</t>
  </si>
  <si>
    <t>2020 Budget</t>
  </si>
  <si>
    <t>Interest Rate Asumption</t>
  </si>
  <si>
    <t>Employed NTB</t>
  </si>
  <si>
    <t>Min</t>
  </si>
  <si>
    <t>Max</t>
  </si>
  <si>
    <t>Reducing</t>
  </si>
  <si>
    <t>+</t>
  </si>
  <si>
    <t>Employed RENEWAL</t>
  </si>
  <si>
    <t>Employed Top Up</t>
  </si>
  <si>
    <t>50k</t>
  </si>
  <si>
    <t>124k</t>
  </si>
  <si>
    <t>125k</t>
  </si>
  <si>
    <t>199k</t>
  </si>
  <si>
    <t>200k</t>
  </si>
  <si>
    <t>499k</t>
  </si>
  <si>
    <t>500k</t>
  </si>
  <si>
    <t>799k</t>
  </si>
  <si>
    <t>800k</t>
  </si>
  <si>
    <t>Flat Interest Rate</t>
  </si>
  <si>
    <t>Employed - Renewal</t>
  </si>
  <si>
    <t>MBL-NTB</t>
  </si>
  <si>
    <t>MBL-Xsell</t>
  </si>
  <si>
    <t>Reducing Bal</t>
  </si>
  <si>
    <t>Fee</t>
  </si>
  <si>
    <t>APR (Int Only)</t>
  </si>
  <si>
    <t>APR (+Fees)</t>
  </si>
  <si>
    <t>Flat Rate (Monthly)</t>
  </si>
  <si>
    <t>Loan Amt</t>
  </si>
  <si>
    <t>Loan Amt + Fees</t>
  </si>
  <si>
    <t>Term</t>
  </si>
  <si>
    <t>Payment</t>
  </si>
  <si>
    <t>Total Payable</t>
  </si>
  <si>
    <t>Interest + Fees</t>
  </si>
  <si>
    <t>Personal Loan (NTB)</t>
  </si>
  <si>
    <t>Personal Loan (Renewal)</t>
  </si>
  <si>
    <t>Personal Loan (Top-Up)</t>
  </si>
  <si>
    <t>Micro-business Loan NTB</t>
  </si>
  <si>
    <t>Average Contractual Tenor as at April 2019</t>
  </si>
  <si>
    <t>Months</t>
  </si>
  <si>
    <t>Employed Renewal</t>
  </si>
  <si>
    <t>Employed Top-up</t>
  </si>
  <si>
    <t>Micro-business loan</t>
  </si>
  <si>
    <t>Loan Band</t>
  </si>
  <si>
    <t>Top UP</t>
  </si>
  <si>
    <t>Less than 125k</t>
  </si>
  <si>
    <t>Below 300k</t>
  </si>
  <si>
    <t>125k - 199k</t>
  </si>
  <si>
    <t>300K-1.1 million</t>
  </si>
  <si>
    <t>Above 1.1 million</t>
  </si>
  <si>
    <t>Above 800k</t>
  </si>
  <si>
    <t>Average Loan Ticket Size as at Oct 2019</t>
  </si>
  <si>
    <t>Ticket Size</t>
  </si>
  <si>
    <t>MBL NTB</t>
  </si>
  <si>
    <t>MBL Xsell</t>
  </si>
  <si>
    <t>Micro Business - NTB</t>
  </si>
  <si>
    <t>Micro Business - Xsell</t>
  </si>
  <si>
    <t>Actual Sales Origination (YTD Summarized) Data</t>
  </si>
  <si>
    <t>Average Loan Size</t>
  </si>
  <si>
    <t>Product Type</t>
  </si>
  <si>
    <t>Loan Type</t>
  </si>
  <si>
    <t>Loan band</t>
  </si>
  <si>
    <t>Jan</t>
  </si>
  <si>
    <t>Feb</t>
  </si>
  <si>
    <t>Mar</t>
  </si>
  <si>
    <t>Apr</t>
  </si>
  <si>
    <t>Sep</t>
  </si>
  <si>
    <t>Oct</t>
  </si>
  <si>
    <t>Grand Average</t>
  </si>
  <si>
    <t>Business Loan</t>
  </si>
  <si>
    <t>Business</t>
  </si>
  <si>
    <t>Business Total</t>
  </si>
  <si>
    <t>New</t>
  </si>
  <si>
    <t>125k-199k</t>
  </si>
  <si>
    <t>Below 125k</t>
  </si>
  <si>
    <t>New Total</t>
  </si>
  <si>
    <t>Renewal Total</t>
  </si>
  <si>
    <t>Top up</t>
  </si>
  <si>
    <t>Top up Total</t>
  </si>
  <si>
    <t>Personal Total</t>
  </si>
  <si>
    <t>Combined Average Ticket</t>
  </si>
  <si>
    <t>Sales Figure</t>
  </si>
  <si>
    <t>Combined Total Sales</t>
  </si>
  <si>
    <t>Sales Volume</t>
  </si>
  <si>
    <t>Combined Total No. of Loans</t>
  </si>
  <si>
    <t>Actual Approval Rate (YTD Summarized) Data</t>
  </si>
  <si>
    <t>No of Applications Received</t>
  </si>
  <si>
    <t>Combined No. of Applications</t>
  </si>
  <si>
    <t>Combined Application Rate</t>
  </si>
  <si>
    <t>Colour Code</t>
  </si>
  <si>
    <t>Input Cell</t>
  </si>
  <si>
    <t>Cost per loan analysis</t>
  </si>
  <si>
    <t>Result Cell</t>
  </si>
  <si>
    <t>Summary output</t>
  </si>
  <si>
    <t>Contribution Before Overheads (N)</t>
  </si>
  <si>
    <t>Contribution After Overheads (N)</t>
  </si>
  <si>
    <t>Contribution per ticket (before overhead)</t>
  </si>
  <si>
    <t>Contribution per ticket (after overhead)</t>
  </si>
  <si>
    <t>Approval rate</t>
  </si>
  <si>
    <t>Interest rate (Reducing)</t>
  </si>
  <si>
    <t>Interest rate (Flat)</t>
  </si>
  <si>
    <t>COST ANALYSIS</t>
  </si>
  <si>
    <t>Total Attributalable Costs (as a % of Average Ticket Value)</t>
  </si>
  <si>
    <t>Bank Charges</t>
  </si>
  <si>
    <t>Total Costs as % of Average Ticket Value</t>
  </si>
  <si>
    <t>Attributable Salaries and Other Staff Cost</t>
  </si>
  <si>
    <t>Other Staff Costs</t>
  </si>
  <si>
    <t>IT Costs</t>
  </si>
  <si>
    <t>Total IT Costs as % of Average Ticket Value</t>
  </si>
  <si>
    <t>KYC costs per application</t>
  </si>
  <si>
    <t>Credit Bureau cost per application</t>
  </si>
  <si>
    <t>Bank Verification Number (BVN) cost per application</t>
  </si>
  <si>
    <t>My Bank Statement (MBS) Transaction cost</t>
  </si>
  <si>
    <t>Direct Marketing costs</t>
  </si>
  <si>
    <t>Total Operational Costs as % of Average Ticket Value</t>
  </si>
  <si>
    <t>Office Overhead (as a % of Average Ticket Value)</t>
  </si>
  <si>
    <t>check</t>
  </si>
  <si>
    <t>UNIT COSTING BY LOAN BAND</t>
  </si>
  <si>
    <t>Contribution per sale value (before overheads)</t>
  </si>
  <si>
    <t>Contribution per sale value (after overheads)</t>
  </si>
  <si>
    <t>Acceptance rate</t>
  </si>
  <si>
    <t>Old acceptance rate</t>
  </si>
  <si>
    <t>Recommended Interest rate (Reducing)</t>
  </si>
  <si>
    <t>Recommended Interest rate (Flat)</t>
  </si>
  <si>
    <t>New Loan loss impairment</t>
  </si>
  <si>
    <t>Old loss rate</t>
  </si>
  <si>
    <t>Recommended Flat rate</t>
  </si>
  <si>
    <t>MICRO BUSINESS LOAN</t>
  </si>
  <si>
    <t>MICRO BUSINESS LOAN (NTB)</t>
  </si>
  <si>
    <t>Recommened Interest rate</t>
  </si>
  <si>
    <t>Former May budget</t>
  </si>
  <si>
    <t>New May budget</t>
  </si>
  <si>
    <t xml:space="preserve"> -   </t>
  </si>
  <si>
    <t>Difference</t>
  </si>
  <si>
    <t>Former vs Current Cost Analysis</t>
  </si>
  <si>
    <t>Total Fixed Cost</t>
  </si>
  <si>
    <t>Recommended RB rate</t>
  </si>
  <si>
    <t>MBL</t>
  </si>
  <si>
    <t>PL</t>
  </si>
  <si>
    <t>Cost Category</t>
  </si>
  <si>
    <t xml:space="preserve">MBL </t>
  </si>
  <si>
    <t>*</t>
  </si>
  <si>
    <t>UNIT COSTING BY PRODUCT - EXISTING BOOK</t>
  </si>
  <si>
    <t>BY PRODUCT TYPE (NEW BUSINESS)</t>
  </si>
  <si>
    <t>BY PRODUCT TYPE (EXISTING BOOK)</t>
  </si>
  <si>
    <t>*actual as at April</t>
  </si>
  <si>
    <t>Number of active loans in portfolio as @May 1st</t>
  </si>
  <si>
    <t>Total Loan book</t>
  </si>
  <si>
    <t>UNIT COSTING BY PRODUCT - NEW LOANS</t>
  </si>
  <si>
    <t xml:space="preserve">PL </t>
  </si>
  <si>
    <t>RISK COSTS BY PRODUCT</t>
  </si>
  <si>
    <t>Q1 total applications (actual)</t>
  </si>
  <si>
    <t xml:space="preserve">May - Dec sales projections </t>
  </si>
  <si>
    <t>Q2 total loans sold (based on Apr actual)</t>
  </si>
  <si>
    <t>Q2 total applications (based on Apr actual)</t>
  </si>
  <si>
    <t>Q3 total applications (projections)</t>
  </si>
  <si>
    <t>Number of applictions FY 2020 forecast</t>
  </si>
  <si>
    <t>May - Dec application forecast</t>
  </si>
  <si>
    <t>Average sales</t>
  </si>
  <si>
    <t>Average application</t>
  </si>
  <si>
    <t>Number of loans sold (May - Dec Average)</t>
  </si>
  <si>
    <t>Number of applications (May - Dec Average)</t>
  </si>
  <si>
    <t>Sales Incentives</t>
  </si>
  <si>
    <t>Total Sales Incentives</t>
  </si>
  <si>
    <t>Sales Agents Incentives</t>
  </si>
  <si>
    <t>$0.50 per call</t>
  </si>
  <si>
    <t>as @ 23-5-2020</t>
  </si>
  <si>
    <t>Sales Agents Incentive</t>
  </si>
  <si>
    <t>Total Sales agents incentive</t>
  </si>
  <si>
    <t>Stamp Duty Charge</t>
  </si>
  <si>
    <t>Stamp Duty</t>
  </si>
  <si>
    <t>*dependent on approval rate</t>
  </si>
  <si>
    <t xml:space="preserve">Repayment charges </t>
  </si>
  <si>
    <t>Total Bank Charges</t>
  </si>
  <si>
    <t>Total Sales Incentives Cost</t>
  </si>
  <si>
    <t>Cost of Funds</t>
  </si>
  <si>
    <t>Total Bank charges</t>
  </si>
  <si>
    <t>Value</t>
  </si>
  <si>
    <t>No. of Customer -
Dec 2019</t>
  </si>
  <si>
    <t>MBL Total</t>
  </si>
  <si>
    <t>PL Total</t>
  </si>
  <si>
    <t>No. of customer Dec 2020</t>
  </si>
  <si>
    <t>Average loan book as at December 31st 2020</t>
  </si>
  <si>
    <t>PL - NTB</t>
  </si>
  <si>
    <t>PL- Renewal</t>
  </si>
  <si>
    <t>PL - Top-Up</t>
  </si>
  <si>
    <t>Overhead costs</t>
  </si>
  <si>
    <t>MAY - DEC BUDGET</t>
  </si>
  <si>
    <t xml:space="preserve">Adjustment for expenses that have been classified separately: </t>
  </si>
  <si>
    <t>APRIL</t>
  </si>
  <si>
    <t>JAN -MARCH  (Extrapolation)</t>
  </si>
  <si>
    <t>*derived from extrapolation</t>
  </si>
  <si>
    <t>*cost of funds *loan size</t>
  </si>
  <si>
    <t>*10 * no. of loan</t>
  </si>
  <si>
    <t>*50 *loan tenor - paid on deposits into our account</t>
  </si>
  <si>
    <t>0.376 per 1000 (inclusive of 7.5% vat) - paid on withdrawals</t>
  </si>
  <si>
    <t>*percentage of loan size</t>
  </si>
  <si>
    <t>183 per call dependent on approval rate</t>
  </si>
  <si>
    <t>118 per call dependent on approval rate</t>
  </si>
  <si>
    <t>50 per call dependent on approval rate</t>
  </si>
  <si>
    <t>77 * no of applications - dependent on approval rate</t>
  </si>
  <si>
    <t>Variable Cost</t>
  </si>
  <si>
    <t>Overhead</t>
  </si>
  <si>
    <t>Average Ticket size</t>
  </si>
  <si>
    <t>Average loan book (Volume)</t>
  </si>
  <si>
    <t>Average loan book (Value)</t>
  </si>
  <si>
    <t>Fixed overhead by volume</t>
  </si>
  <si>
    <t>% Fixed overhead by value</t>
  </si>
  <si>
    <t>Average ticket size</t>
  </si>
  <si>
    <t>Total Fixed Overhead</t>
  </si>
  <si>
    <t>Avg ticket for Existing Business</t>
  </si>
  <si>
    <t>Avg ticket forLoans sold in February 2020</t>
  </si>
  <si>
    <t>*pls change figures here to affect the tables &amp; model summary</t>
  </si>
  <si>
    <t>Using Overheads by Value</t>
  </si>
  <si>
    <t>% of total spend</t>
  </si>
  <si>
    <t>Direct marketing</t>
  </si>
  <si>
    <t xml:space="preserve">Brand </t>
  </si>
  <si>
    <t xml:space="preserve">Loan Book </t>
  </si>
  <si>
    <t>Loan Book - 
Dec 2019</t>
  </si>
  <si>
    <t>Write-Offs Balance Sheet</t>
  </si>
  <si>
    <t>Write-Offs Income Statement</t>
  </si>
  <si>
    <t>Total Gross Loan</t>
  </si>
  <si>
    <t>Grand Total Loan Book</t>
  </si>
  <si>
    <t>Direct Marketing Cost</t>
  </si>
  <si>
    <t>% Fixed overhead for PLs</t>
  </si>
  <si>
    <t>% Fixed overhead for MBLs</t>
  </si>
  <si>
    <t>MICRO BUSINESS LOAN (RENEWAL)</t>
  </si>
  <si>
    <t>MICRO BUSINESS LOAN (TOP-UP)</t>
  </si>
  <si>
    <t>Micro-business Loan Renewal</t>
  </si>
  <si>
    <t>Micro-business Loan Top-Up</t>
  </si>
  <si>
    <t>*same as NTB</t>
  </si>
  <si>
    <t>*15% off NTB rates</t>
  </si>
  <si>
    <t>Micro Business Loan Product (TopUp)</t>
  </si>
  <si>
    <t>Micro Business Loan Product (Renewal)</t>
  </si>
  <si>
    <t>Branch Sales Incentives</t>
  </si>
  <si>
    <t>Sales Incentives(Contact center)</t>
  </si>
  <si>
    <t>Branch sales incentives</t>
  </si>
  <si>
    <t>Sales Agents Incentives(Contact center)</t>
  </si>
  <si>
    <t>Initial Acceptance Rate - PL NTB</t>
  </si>
  <si>
    <t>Initial Accept</t>
  </si>
  <si>
    <t>Percentage</t>
  </si>
  <si>
    <t>Average %</t>
  </si>
  <si>
    <t>Standard PL acceptance rate</t>
  </si>
  <si>
    <t>Standard PL loss rate</t>
  </si>
  <si>
    <t>Nano Loans</t>
  </si>
  <si>
    <t xml:space="preserve">Min </t>
  </si>
  <si>
    <t>Min loan amount</t>
  </si>
  <si>
    <t>1 month</t>
  </si>
  <si>
    <t>Income Bands</t>
  </si>
  <si>
    <t>Test Income</t>
  </si>
  <si>
    <t>DTI/% of Salary</t>
  </si>
  <si>
    <t>Max Monthly Debt Repayment</t>
  </si>
  <si>
    <t>Max Term</t>
  </si>
  <si>
    <t>Max Debt Repayment</t>
  </si>
  <si>
    <t>RB Rates</t>
  </si>
  <si>
    <t>Loan Amount Offered</t>
  </si>
  <si>
    <t>Simple Calculator PL (1 - 3 Nano loans)</t>
  </si>
  <si>
    <t xml:space="preserve">Loan Amount </t>
  </si>
  <si>
    <t xml:space="preserve">Rates </t>
  </si>
  <si>
    <t>Total Repaynent</t>
  </si>
  <si>
    <t>Monthly Repayment</t>
  </si>
  <si>
    <t>No GDS for renewal</t>
  </si>
  <si>
    <t>Okra transaction cost</t>
  </si>
  <si>
    <t>Mono transaction cost</t>
  </si>
  <si>
    <t>Weighted average for okra and mono</t>
  </si>
  <si>
    <t>Terminal benefits</t>
  </si>
  <si>
    <t>$225,000 @ 420</t>
  </si>
  <si>
    <t>$75,000 @420</t>
  </si>
  <si>
    <t>Actual Loan Book - 
Dec 2020</t>
  </si>
  <si>
    <t>Actual 2020 figure</t>
  </si>
  <si>
    <t>Nano Overheads</t>
  </si>
  <si>
    <t>Per month</t>
  </si>
  <si>
    <t>Annual</t>
  </si>
  <si>
    <t>Transportation (2 agents)</t>
  </si>
  <si>
    <t>Contract staff salary (2 agents)</t>
  </si>
  <si>
    <t>% fixed overhead for Nano</t>
  </si>
  <si>
    <t xml:space="preserve">Recovery Incentives </t>
  </si>
  <si>
    <t>New annual overhead</t>
  </si>
  <si>
    <t>10k - 20k</t>
  </si>
  <si>
    <t>1 month only</t>
  </si>
  <si>
    <t>Weighted average (Mono)</t>
  </si>
  <si>
    <t>Weighted avg cost (Mono)</t>
  </si>
  <si>
    <t>2021 Budget</t>
  </si>
  <si>
    <t>Insurance (operational)</t>
  </si>
  <si>
    <t>Insurance (NDIC)</t>
  </si>
  <si>
    <t>N/A</t>
  </si>
  <si>
    <t>-</t>
  </si>
  <si>
    <t>LITE LOAN</t>
  </si>
  <si>
    <t>LOAN 2</t>
  </si>
  <si>
    <t>LOAN 3</t>
  </si>
  <si>
    <t>5000 - 9999</t>
  </si>
  <si>
    <t>20k - 50k</t>
  </si>
  <si>
    <t>5k - 29,999</t>
  </si>
  <si>
    <t>30k-100k</t>
  </si>
  <si>
    <t>5k - 19,999</t>
  </si>
  <si>
    <t>LOAN 1</t>
  </si>
  <si>
    <t>disbursed vs initial accept</t>
  </si>
  <si>
    <t>disbursed vs total applications</t>
  </si>
  <si>
    <t>no data on this yet</t>
  </si>
  <si>
    <t>*30% have bureau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</si>
</sst>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[$-809]d\ mmmm\ yyyy;@"/>
    <numFmt numFmtId="169" formatCode="0.0%"/>
    <numFmt numFmtId="170" formatCode="0.000%"/>
    <numFmt numFmtId="171" formatCode="0.00000000000"/>
    <numFmt numFmtId="172" formatCode="mmmm/yyyy"/>
    <numFmt numFmtId="173" formatCode="_(* #,##0.00_);_(* \(#,##0.00\);_(* \-??_);_(@_)"/>
    <numFmt numFmtId="174" formatCode="&quot; &quot;#,##0.00&quot; &quot;;&quot; (&quot;#,##0.00&quot;)&quot;;&quot; -&quot;00&quot; &quot;;&quot; &quot;@&quot; &quot;"/>
    <numFmt numFmtId="175" formatCode="#,##0.00&quot; &quot;;&quot;(&quot;#,##0.00&quot;)&quot;;&quot;-&quot;#&quot; &quot;;@&quot; &quot;"/>
    <numFmt numFmtId="176" formatCode="#,##0_ ;[Red]\-#,##0\ "/>
    <numFmt numFmtId="177" formatCode="0%;\(0\)%;\-"/>
    <numFmt numFmtId="178" formatCode="0.00%;\(0.00\)%;\-"/>
    <numFmt numFmtId="179" formatCode="0.0%;\(0.0\)%;\-"/>
    <numFmt numFmtId="180" formatCode="_(* #,##0.0_);_(* \(#,##0.0\);_(* &quot;-&quot;?_);_(@_)"/>
    <numFmt numFmtId="181" formatCode="_-* #,##0_-;\-* #,##0_-;_-* &quot;-&quot;??_-;_-@_-"/>
    <numFmt numFmtId="182" formatCode="_(* #,##0.0_);_(* \(#,##0.0\);_(* &quot;-&quot;??_);_(@_)"/>
  </numFmts>
  <fonts count="11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rgb="FF000000"/>
      <name val="Liberation Sans1"/>
    </font>
    <font>
      <b/>
      <u/>
      <sz val="10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u/>
      <sz val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i/>
      <sz val="9"/>
      <color rgb="FF00206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sz val="8"/>
      <color rgb="FFFF0000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CB9C"/>
        <bgColor indexed="64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2060"/>
      </left>
      <right style="dotted">
        <color rgb="FF002060"/>
      </right>
      <top/>
      <bottom/>
      <diagonal/>
    </border>
    <border>
      <left style="dotted">
        <color rgb="FF002060"/>
      </left>
      <right style="dotted">
        <color rgb="FF002060"/>
      </right>
      <top/>
      <bottom style="dotted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theme="3"/>
      </top>
      <bottom style="mediumDashed">
        <color theme="3"/>
      </bottom>
      <diagonal/>
    </border>
    <border>
      <left style="medium">
        <color indexed="64"/>
      </left>
      <right/>
      <top style="mediumDashed">
        <color theme="3"/>
      </top>
      <bottom style="mediumDashed">
        <color theme="3"/>
      </bottom>
      <diagonal/>
    </border>
    <border>
      <left/>
      <right style="medium">
        <color indexed="64"/>
      </right>
      <top style="mediumDashed">
        <color theme="3"/>
      </top>
      <bottom style="mediumDashed">
        <color theme="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Dashed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Dashed">
        <color theme="3"/>
      </bottom>
      <diagonal/>
    </border>
    <border>
      <left/>
      <right style="medium">
        <color indexed="64"/>
      </right>
      <top/>
      <bottom style="mediumDashed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59">
    <xf numFmtId="0" fontId="0" fillId="0" borderId="0"/>
    <xf numFmtId="16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7" fillId="0" borderId="0"/>
    <xf numFmtId="166" fontId="27" fillId="0" borderId="0" applyFont="0" applyFill="0" applyBorder="0" applyAlignment="0" applyProtection="0"/>
    <xf numFmtId="168" fontId="26" fillId="0" borderId="0"/>
    <xf numFmtId="0" fontId="25" fillId="0" borderId="0"/>
    <xf numFmtId="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24" fillId="0" borderId="0"/>
    <xf numFmtId="0" fontId="45" fillId="0" borderId="0" applyNumberForma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0" applyNumberFormat="0" applyFill="0" applyBorder="0" applyAlignment="0" applyProtection="0"/>
    <xf numFmtId="0" fontId="52" fillId="10" borderId="0" applyNumberFormat="0" applyBorder="0" applyAlignment="0" applyProtection="0"/>
    <xf numFmtId="0" fontId="53" fillId="11" borderId="0" applyNumberFormat="0" applyBorder="0" applyAlignment="0" applyProtection="0"/>
    <xf numFmtId="0" fontId="54" fillId="13" borderId="28" applyNumberFormat="0" applyAlignment="0" applyProtection="0"/>
    <xf numFmtId="0" fontId="55" fillId="14" borderId="29" applyNumberFormat="0" applyAlignment="0" applyProtection="0"/>
    <xf numFmtId="0" fontId="56" fillId="14" borderId="28" applyNumberFormat="0" applyAlignment="0" applyProtection="0"/>
    <xf numFmtId="0" fontId="57" fillId="0" borderId="30" applyNumberFormat="0" applyFill="0" applyAlignment="0" applyProtection="0"/>
    <xf numFmtId="0" fontId="31" fillId="15" borderId="31" applyNumberFormat="0" applyAlignment="0" applyProtection="0"/>
    <xf numFmtId="0" fontId="3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33" applyNumberFormat="0" applyFill="0" applyAlignment="0" applyProtection="0"/>
    <xf numFmtId="0" fontId="5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5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5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5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59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59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0" borderId="0"/>
    <xf numFmtId="166" fontId="23" fillId="0" borderId="0" applyFont="0" applyFill="0" applyBorder="0" applyAlignment="0" applyProtection="0"/>
    <xf numFmtId="0" fontId="60" fillId="0" borderId="0"/>
    <xf numFmtId="173" fontId="60" fillId="0" borderId="0" applyBorder="0" applyProtection="0"/>
    <xf numFmtId="9" fontId="60" fillId="0" borderId="0" applyBorder="0" applyProtection="0"/>
    <xf numFmtId="0" fontId="61" fillId="0" borderId="0"/>
    <xf numFmtId="43" fontId="23" fillId="0" borderId="0" applyFont="0" applyFill="0" applyBorder="0" applyAlignment="0" applyProtection="0"/>
    <xf numFmtId="0" fontId="62" fillId="0" borderId="0"/>
    <xf numFmtId="174" fontId="6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63" fillId="12" borderId="0" applyNumberFormat="0" applyBorder="0" applyAlignment="0" applyProtection="0"/>
    <xf numFmtId="0" fontId="23" fillId="16" borderId="32" applyNumberFormat="0" applyFont="0" applyAlignment="0" applyProtection="0"/>
    <xf numFmtId="0" fontId="59" fillId="20" borderId="0" applyNumberFormat="0" applyBorder="0" applyAlignment="0" applyProtection="0"/>
    <xf numFmtId="0" fontId="59" fillId="24" borderId="0" applyNumberFormat="0" applyBorder="0" applyAlignment="0" applyProtection="0"/>
    <xf numFmtId="0" fontId="59" fillId="28" borderId="0" applyNumberFormat="0" applyBorder="0" applyAlignment="0" applyProtection="0"/>
    <xf numFmtId="0" fontId="59" fillId="32" borderId="0" applyNumberFormat="0" applyBorder="0" applyAlignment="0" applyProtection="0"/>
    <xf numFmtId="0" fontId="59" fillId="36" borderId="0" applyNumberFormat="0" applyBorder="0" applyAlignment="0" applyProtection="0"/>
    <xf numFmtId="0" fontId="59" fillId="40" borderId="0" applyNumberFormat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175" fontId="64" fillId="0" borderId="0" applyFont="0" applyBorder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1" fillId="0" borderId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13" fillId="0" borderId="0"/>
    <xf numFmtId="0" fontId="13" fillId="0" borderId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8" borderId="0" applyNumberFormat="0" applyBorder="0" applyAlignment="0" applyProtection="0"/>
    <xf numFmtId="0" fontId="13" fillId="39" borderId="0" applyNumberFormat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16" borderId="32" applyNumberFormat="0" applyFont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8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6" borderId="32" applyNumberFormat="0" applyFont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66">
    <xf numFmtId="0" fontId="0" fillId="0" borderId="0" xfId="0"/>
    <xf numFmtId="0" fontId="30" fillId="0" borderId="0" xfId="0" applyFont="1"/>
    <xf numFmtId="0" fontId="33" fillId="0" borderId="0" xfId="0" applyFont="1"/>
    <xf numFmtId="17" fontId="33" fillId="0" borderId="4" xfId="0" applyNumberFormat="1" applyFont="1" applyBorder="1"/>
    <xf numFmtId="0" fontId="35" fillId="0" borderId="0" xfId="0" applyFont="1"/>
    <xf numFmtId="167" fontId="33" fillId="0" borderId="6" xfId="1" applyNumberFormat="1" applyFont="1" applyBorder="1"/>
    <xf numFmtId="0" fontId="34" fillId="0" borderId="0" xfId="0" applyFont="1" applyAlignment="1">
      <alignment horizontal="left"/>
    </xf>
    <xf numFmtId="0" fontId="37" fillId="0" borderId="0" xfId="0" applyFont="1" applyAlignment="1">
      <alignment horizontal="right"/>
    </xf>
    <xf numFmtId="0" fontId="33" fillId="0" borderId="0" xfId="0" applyFont="1" applyFill="1"/>
    <xf numFmtId="0" fontId="38" fillId="0" borderId="0" xfId="0" applyFont="1" applyAlignment="1">
      <alignment horizontal="left"/>
    </xf>
    <xf numFmtId="0" fontId="39" fillId="0" borderId="0" xfId="0" applyFont="1"/>
    <xf numFmtId="165" fontId="33" fillId="0" borderId="5" xfId="0" applyNumberFormat="1" applyFont="1" applyFill="1" applyBorder="1"/>
    <xf numFmtId="165" fontId="33" fillId="0" borderId="0" xfId="0" applyNumberFormat="1" applyFont="1" applyFill="1" applyBorder="1"/>
    <xf numFmtId="0" fontId="33" fillId="4" borderId="6" xfId="0" applyFont="1" applyFill="1" applyBorder="1"/>
    <xf numFmtId="0" fontId="32" fillId="0" borderId="0" xfId="0" applyFont="1"/>
    <xf numFmtId="0" fontId="40" fillId="0" borderId="0" xfId="0" applyFont="1" applyFill="1"/>
    <xf numFmtId="0" fontId="41" fillId="0" borderId="0" xfId="0" applyFont="1" applyFill="1"/>
    <xf numFmtId="10" fontId="42" fillId="3" borderId="2" xfId="2" applyNumberFormat="1" applyFont="1" applyFill="1" applyBorder="1" applyProtection="1"/>
    <xf numFmtId="167" fontId="42" fillId="3" borderId="2" xfId="1" applyNumberFormat="1" applyFont="1" applyFill="1" applyBorder="1" applyProtection="1"/>
    <xf numFmtId="167" fontId="33" fillId="0" borderId="6" xfId="0" applyNumberFormat="1" applyFont="1" applyFill="1" applyBorder="1"/>
    <xf numFmtId="165" fontId="33" fillId="0" borderId="5" xfId="0" applyNumberFormat="1" applyFont="1" applyBorder="1"/>
    <xf numFmtId="165" fontId="33" fillId="0" borderId="0" xfId="0" applyNumberFormat="1" applyFont="1" applyBorder="1"/>
    <xf numFmtId="167" fontId="33" fillId="4" borderId="6" xfId="1" applyNumberFormat="1" applyFont="1" applyFill="1" applyBorder="1"/>
    <xf numFmtId="0" fontId="33" fillId="0" borderId="5" xfId="0" applyFont="1" applyBorder="1"/>
    <xf numFmtId="0" fontId="31" fillId="7" borderId="0" xfId="0" applyFont="1" applyFill="1" applyAlignment="1">
      <alignment vertical="center" wrapText="1"/>
    </xf>
    <xf numFmtId="167" fontId="33" fillId="0" borderId="7" xfId="0" applyNumberFormat="1" applyFont="1" applyBorder="1"/>
    <xf numFmtId="0" fontId="36" fillId="0" borderId="0" xfId="0" applyFont="1" applyFill="1" applyAlignment="1">
      <alignment horizontal="right"/>
    </xf>
    <xf numFmtId="10" fontId="42" fillId="3" borderId="2" xfId="2" applyNumberFormat="1" applyFont="1" applyFill="1" applyBorder="1" applyAlignment="1" applyProtection="1">
      <alignment vertical="center"/>
    </xf>
    <xf numFmtId="0" fontId="31" fillId="7" borderId="0" xfId="0" applyFont="1" applyFill="1" applyBorder="1" applyAlignment="1">
      <alignment vertical="center" wrapText="1"/>
    </xf>
    <xf numFmtId="167" fontId="33" fillId="0" borderId="0" xfId="1" applyNumberFormat="1" applyFont="1" applyBorder="1"/>
    <xf numFmtId="165" fontId="33" fillId="0" borderId="1" xfId="0" applyNumberFormat="1" applyFont="1" applyBorder="1"/>
    <xf numFmtId="0" fontId="36" fillId="0" borderId="0" xfId="0" applyFont="1" applyBorder="1" applyAlignment="1">
      <alignment horizontal="center"/>
    </xf>
    <xf numFmtId="0" fontId="31" fillId="7" borderId="0" xfId="0" applyFont="1" applyFill="1" applyBorder="1" applyAlignment="1">
      <alignment horizontal="right" vertical="center" wrapText="1"/>
    </xf>
    <xf numFmtId="9" fontId="33" fillId="0" borderId="0" xfId="2" applyFont="1" applyBorder="1"/>
    <xf numFmtId="0" fontId="47" fillId="0" borderId="0" xfId="0" applyFont="1" applyFill="1" applyAlignment="1">
      <alignment horizontal="center"/>
    </xf>
    <xf numFmtId="166" fontId="20" fillId="0" borderId="0" xfId="1" applyFont="1"/>
    <xf numFmtId="166" fontId="33" fillId="0" borderId="4" xfId="1" applyFont="1" applyBorder="1"/>
    <xf numFmtId="166" fontId="33" fillId="6" borderId="7" xfId="1" applyFont="1" applyFill="1" applyBorder="1"/>
    <xf numFmtId="166" fontId="33" fillId="43" borderId="4" xfId="1" applyFont="1" applyFill="1" applyBorder="1"/>
    <xf numFmtId="166" fontId="33" fillId="43" borderId="4" xfId="1" applyFont="1" applyFill="1" applyBorder="1" applyAlignment="1">
      <alignment horizontal="right"/>
    </xf>
    <xf numFmtId="166" fontId="33" fillId="5" borderId="7" xfId="1" applyFont="1" applyFill="1" applyBorder="1"/>
    <xf numFmtId="167" fontId="33" fillId="6" borderId="7" xfId="1" applyNumberFormat="1" applyFont="1" applyFill="1" applyBorder="1" applyAlignment="1">
      <alignment horizontal="right"/>
    </xf>
    <xf numFmtId="167" fontId="33" fillId="5" borderId="7" xfId="1" applyNumberFormat="1" applyFont="1" applyFill="1" applyBorder="1" applyAlignment="1">
      <alignment horizontal="right"/>
    </xf>
    <xf numFmtId="166" fontId="33" fillId="0" borderId="6" xfId="1" applyFont="1" applyBorder="1"/>
    <xf numFmtId="167" fontId="33" fillId="0" borderId="6" xfId="1" applyNumberFormat="1" applyFont="1" applyBorder="1" applyAlignment="1">
      <alignment horizontal="right"/>
    </xf>
    <xf numFmtId="166" fontId="33" fillId="0" borderId="5" xfId="1" applyFont="1" applyFill="1" applyBorder="1"/>
    <xf numFmtId="167" fontId="33" fillId="0" borderId="5" xfId="1" applyNumberFormat="1" applyFont="1" applyFill="1" applyBorder="1" applyAlignment="1">
      <alignment horizontal="right"/>
    </xf>
    <xf numFmtId="0" fontId="47" fillId="0" borderId="0" xfId="0" applyFont="1" applyFill="1" applyAlignment="1"/>
    <xf numFmtId="0" fontId="31" fillId="7" borderId="0" xfId="0" applyFont="1" applyFill="1" applyAlignment="1">
      <alignment horizontal="right" vertical="center" wrapText="1"/>
    </xf>
    <xf numFmtId="10" fontId="42" fillId="3" borderId="2" xfId="2" applyNumberFormat="1" applyFont="1" applyFill="1" applyBorder="1" applyAlignment="1" applyProtection="1">
      <alignment horizontal="right"/>
    </xf>
    <xf numFmtId="167" fontId="42" fillId="3" borderId="2" xfId="1" applyNumberFormat="1" applyFont="1" applyFill="1" applyBorder="1" applyAlignment="1" applyProtection="1">
      <alignment horizontal="right"/>
    </xf>
    <xf numFmtId="10" fontId="42" fillId="3" borderId="2" xfId="2" applyNumberFormat="1" applyFont="1" applyFill="1" applyBorder="1" applyAlignment="1" applyProtection="1">
      <alignment horizontal="right" vertical="center"/>
    </xf>
    <xf numFmtId="0" fontId="33" fillId="0" borderId="0" xfId="0" applyFont="1" applyAlignment="1">
      <alignment horizontal="right"/>
    </xf>
    <xf numFmtId="167" fontId="33" fillId="0" borderId="6" xfId="0" applyNumberFormat="1" applyFont="1" applyFill="1" applyBorder="1" applyAlignment="1">
      <alignment horizontal="right"/>
    </xf>
    <xf numFmtId="167" fontId="33" fillId="0" borderId="7" xfId="0" applyNumberFormat="1" applyFont="1" applyBorder="1" applyAlignment="1">
      <alignment horizontal="right"/>
    </xf>
    <xf numFmtId="165" fontId="33" fillId="0" borderId="5" xfId="0" applyNumberFormat="1" applyFont="1" applyBorder="1" applyAlignment="1">
      <alignment horizontal="right"/>
    </xf>
    <xf numFmtId="165" fontId="33" fillId="0" borderId="0" xfId="0" applyNumberFormat="1" applyFont="1" applyBorder="1" applyAlignment="1">
      <alignment horizontal="right"/>
    </xf>
    <xf numFmtId="165" fontId="33" fillId="0" borderId="5" xfId="0" applyNumberFormat="1" applyFont="1" applyFill="1" applyBorder="1" applyAlignment="1">
      <alignment horizontal="right"/>
    </xf>
    <xf numFmtId="165" fontId="33" fillId="0" borderId="0" xfId="0" applyNumberFormat="1" applyFont="1" applyFill="1" applyBorder="1" applyAlignment="1">
      <alignment horizontal="right"/>
    </xf>
    <xf numFmtId="167" fontId="33" fillId="4" borderId="6" xfId="1" applyNumberFormat="1" applyFont="1" applyFill="1" applyBorder="1" applyAlignment="1">
      <alignment horizontal="right"/>
    </xf>
    <xf numFmtId="0" fontId="19" fillId="0" borderId="0" xfId="0" applyFont="1"/>
    <xf numFmtId="0" fontId="35" fillId="0" borderId="0" xfId="0" applyFont="1" applyFill="1" applyBorder="1"/>
    <xf numFmtId="0" fontId="19" fillId="0" borderId="0" xfId="0" applyFont="1" applyFill="1"/>
    <xf numFmtId="0" fontId="65" fillId="7" borderId="0" xfId="0" applyFont="1" applyFill="1" applyAlignment="1">
      <alignment vertical="center" wrapText="1"/>
    </xf>
    <xf numFmtId="0" fontId="34" fillId="0" borderId="0" xfId="0" applyFont="1" applyAlignment="1">
      <alignment wrapText="1"/>
    </xf>
    <xf numFmtId="9" fontId="42" fillId="0" borderId="2" xfId="2" applyNumberFormat="1" applyFont="1" applyFill="1" applyBorder="1" applyProtection="1"/>
    <xf numFmtId="166" fontId="42" fillId="3" borderId="2" xfId="1" applyNumberFormat="1" applyFont="1" applyFill="1" applyBorder="1" applyProtection="1"/>
    <xf numFmtId="170" fontId="42" fillId="3" borderId="2" xfId="2" applyNumberFormat="1" applyFont="1" applyFill="1" applyBorder="1" applyProtection="1"/>
    <xf numFmtId="9" fontId="42" fillId="3" borderId="2" xfId="2" applyNumberFormat="1" applyFont="1" applyFill="1" applyBorder="1" applyProtection="1"/>
    <xf numFmtId="0" fontId="19" fillId="0" borderId="0" xfId="0" applyFont="1" applyAlignment="1">
      <alignment horizontal="right"/>
    </xf>
    <xf numFmtId="9" fontId="42" fillId="3" borderId="2" xfId="2" applyNumberFormat="1" applyFont="1" applyFill="1" applyBorder="1" applyAlignment="1" applyProtection="1">
      <alignment horizontal="right"/>
    </xf>
    <xf numFmtId="0" fontId="33" fillId="0" borderId="4" xfId="0" applyFont="1" applyBorder="1" applyAlignment="1">
      <alignment horizontal="right"/>
    </xf>
    <xf numFmtId="166" fontId="33" fillId="0" borderId="0" xfId="1" applyFont="1" applyBorder="1"/>
    <xf numFmtId="0" fontId="33" fillId="0" borderId="4" xfId="0" applyFont="1" applyBorder="1"/>
    <xf numFmtId="167" fontId="43" fillId="0" borderId="0" xfId="1" applyNumberFormat="1" applyFont="1" applyBorder="1"/>
    <xf numFmtId="167" fontId="39" fillId="0" borderId="0" xfId="1" applyNumberFormat="1" applyFont="1" applyBorder="1"/>
    <xf numFmtId="167" fontId="33" fillId="0" borderId="0" xfId="0" applyNumberFormat="1" applyFont="1" applyBorder="1"/>
    <xf numFmtId="0" fontId="67" fillId="0" borderId="0" xfId="11" applyFont="1"/>
    <xf numFmtId="0" fontId="68" fillId="0" borderId="0" xfId="0" applyFont="1"/>
    <xf numFmtId="167" fontId="42" fillId="9" borderId="14" xfId="1" applyNumberFormat="1" applyFont="1" applyFill="1" applyBorder="1" applyProtection="1"/>
    <xf numFmtId="167" fontId="39" fillId="0" borderId="23" xfId="1" applyNumberFormat="1" applyFont="1" applyBorder="1"/>
    <xf numFmtId="0" fontId="33" fillId="0" borderId="35" xfId="0" applyFont="1" applyBorder="1" applyAlignment="1">
      <alignment horizontal="right"/>
    </xf>
    <xf numFmtId="0" fontId="33" fillId="0" borderId="11" xfId="0" applyFont="1" applyBorder="1" applyAlignment="1">
      <alignment horizontal="right"/>
    </xf>
    <xf numFmtId="167" fontId="43" fillId="0" borderId="6" xfId="1" applyNumberFormat="1" applyFont="1" applyBorder="1"/>
    <xf numFmtId="167" fontId="43" fillId="0" borderId="41" xfId="1" applyNumberFormat="1" applyFont="1" applyBorder="1"/>
    <xf numFmtId="10" fontId="43" fillId="0" borderId="0" xfId="2" applyNumberFormat="1" applyFont="1" applyBorder="1"/>
    <xf numFmtId="0" fontId="33" fillId="0" borderId="23" xfId="0" applyFont="1" applyBorder="1"/>
    <xf numFmtId="0" fontId="33" fillId="0" borderId="40" xfId="0" applyFont="1" applyBorder="1"/>
    <xf numFmtId="167" fontId="33" fillId="0" borderId="4" xfId="0" applyNumberFormat="1" applyFont="1" applyBorder="1"/>
    <xf numFmtId="0" fontId="33" fillId="0" borderId="4" xfId="0" applyFont="1" applyBorder="1" applyAlignment="1"/>
    <xf numFmtId="0" fontId="36" fillId="0" borderId="0" xfId="0" applyFont="1" applyBorder="1" applyAlignment="1">
      <alignment horizontal="right"/>
    </xf>
    <xf numFmtId="0" fontId="36" fillId="0" borderId="38" xfId="0" applyFont="1" applyBorder="1" applyAlignment="1">
      <alignment horizontal="right"/>
    </xf>
    <xf numFmtId="167" fontId="33" fillId="0" borderId="35" xfId="0" applyNumberFormat="1" applyFont="1" applyBorder="1"/>
    <xf numFmtId="167" fontId="33" fillId="0" borderId="3" xfId="0" applyNumberFormat="1" applyFont="1" applyBorder="1" applyAlignment="1">
      <alignment horizontal="right"/>
    </xf>
    <xf numFmtId="167" fontId="33" fillId="0" borderId="4" xfId="0" applyNumberFormat="1" applyFont="1" applyBorder="1" applyAlignment="1">
      <alignment horizontal="right"/>
    </xf>
    <xf numFmtId="167" fontId="33" fillId="0" borderId="35" xfId="0" applyNumberFormat="1" applyFont="1" applyBorder="1" applyAlignment="1">
      <alignment horizontal="right"/>
    </xf>
    <xf numFmtId="0" fontId="70" fillId="0" borderId="0" xfId="0" applyFont="1" applyBorder="1" applyAlignment="1">
      <alignment horizontal="center" vertical="center"/>
    </xf>
    <xf numFmtId="10" fontId="70" fillId="0" borderId="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right"/>
    </xf>
    <xf numFmtId="0" fontId="33" fillId="0" borderId="40" xfId="0" applyFont="1" applyBorder="1" applyAlignment="1">
      <alignment horizontal="center"/>
    </xf>
    <xf numFmtId="0" fontId="33" fillId="0" borderId="35" xfId="0" applyFont="1" applyBorder="1" applyAlignment="1">
      <alignment horizontal="center"/>
    </xf>
    <xf numFmtId="167" fontId="36" fillId="0" borderId="0" xfId="1" applyNumberFormat="1" applyFont="1" applyBorder="1"/>
    <xf numFmtId="0" fontId="36" fillId="0" borderId="0" xfId="0" applyFont="1" applyBorder="1" applyAlignment="1"/>
    <xf numFmtId="9" fontId="33" fillId="6" borderId="7" xfId="2" applyFont="1" applyFill="1" applyBorder="1" applyAlignment="1">
      <alignment horizontal="right"/>
    </xf>
    <xf numFmtId="9" fontId="33" fillId="5" borderId="7" xfId="2" applyFont="1" applyFill="1" applyBorder="1" applyAlignment="1">
      <alignment horizontal="right"/>
    </xf>
    <xf numFmtId="9" fontId="33" fillId="0" borderId="5" xfId="2" applyFont="1" applyFill="1" applyBorder="1" applyAlignment="1">
      <alignment horizontal="right"/>
    </xf>
    <xf numFmtId="9" fontId="33" fillId="0" borderId="6" xfId="2" applyFont="1" applyBorder="1" applyAlignment="1">
      <alignment horizontal="right"/>
    </xf>
    <xf numFmtId="9" fontId="33" fillId="0" borderId="0" xfId="2" applyFont="1" applyBorder="1" applyAlignment="1">
      <alignment horizontal="right"/>
    </xf>
    <xf numFmtId="0" fontId="33" fillId="0" borderId="0" xfId="0" applyFont="1" applyBorder="1"/>
    <xf numFmtId="0" fontId="69" fillId="0" borderId="0" xfId="10" applyFont="1" applyFill="1" applyBorder="1"/>
    <xf numFmtId="0" fontId="18" fillId="0" borderId="0" xfId="0" applyFont="1"/>
    <xf numFmtId="17" fontId="35" fillId="0" borderId="0" xfId="0" applyNumberFormat="1" applyFont="1" applyAlignment="1">
      <alignment horizontal="left"/>
    </xf>
    <xf numFmtId="167" fontId="71" fillId="0" borderId="0" xfId="1" applyNumberFormat="1" applyFont="1" applyAlignment="1">
      <alignment horizontal="right"/>
    </xf>
    <xf numFmtId="0" fontId="71" fillId="0" borderId="0" xfId="0" applyFont="1" applyAlignment="1">
      <alignment horizontal="right"/>
    </xf>
    <xf numFmtId="17" fontId="36" fillId="0" borderId="0" xfId="0" applyNumberFormat="1" applyFont="1" applyAlignment="1">
      <alignment horizontal="left"/>
    </xf>
    <xf numFmtId="167" fontId="72" fillId="9" borderId="14" xfId="1" applyNumberFormat="1" applyFont="1" applyFill="1" applyBorder="1" applyProtection="1"/>
    <xf numFmtId="0" fontId="33" fillId="0" borderId="24" xfId="0" applyFont="1" applyBorder="1" applyAlignment="1">
      <alignment horizontal="center"/>
    </xf>
    <xf numFmtId="0" fontId="33" fillId="0" borderId="40" xfId="0" applyFont="1" applyBorder="1" applyAlignment="1">
      <alignment horizontal="left"/>
    </xf>
    <xf numFmtId="166" fontId="33" fillId="6" borderId="7" xfId="1" applyNumberFormat="1" applyFont="1" applyFill="1" applyBorder="1" applyAlignment="1">
      <alignment horizontal="right"/>
    </xf>
    <xf numFmtId="0" fontId="36" fillId="0" borderId="0" xfId="0" applyFont="1"/>
    <xf numFmtId="0" fontId="36" fillId="0" borderId="23" xfId="0" applyFont="1" applyBorder="1"/>
    <xf numFmtId="0" fontId="66" fillId="0" borderId="0" xfId="0" applyFont="1"/>
    <xf numFmtId="0" fontId="73" fillId="0" borderId="0" xfId="0" applyFont="1"/>
    <xf numFmtId="0" fontId="36" fillId="0" borderId="0" xfId="0" applyFont="1" applyBorder="1"/>
    <xf numFmtId="167" fontId="44" fillId="0" borderId="7" xfId="0" applyNumberFormat="1" applyFont="1" applyBorder="1" applyAlignment="1">
      <alignment horizontal="right"/>
    </xf>
    <xf numFmtId="166" fontId="44" fillId="43" borderId="4" xfId="1" applyFont="1" applyFill="1" applyBorder="1" applyAlignment="1">
      <alignment horizontal="right"/>
    </xf>
    <xf numFmtId="167" fontId="36" fillId="0" borderId="0" xfId="1" applyNumberFormat="1" applyFont="1" applyAlignment="1">
      <alignment horizontal="right"/>
    </xf>
    <xf numFmtId="167" fontId="44" fillId="6" borderId="7" xfId="1" applyNumberFormat="1" applyFont="1" applyFill="1" applyBorder="1" applyAlignment="1">
      <alignment horizontal="right"/>
    </xf>
    <xf numFmtId="167" fontId="44" fillId="0" borderId="5" xfId="1" applyNumberFormat="1" applyFont="1" applyFill="1" applyBorder="1" applyAlignment="1">
      <alignment horizontal="right"/>
    </xf>
    <xf numFmtId="166" fontId="36" fillId="0" borderId="0" xfId="1" applyFont="1" applyAlignment="1">
      <alignment horizontal="right"/>
    </xf>
    <xf numFmtId="9" fontId="44" fillId="0" borderId="0" xfId="2" applyFont="1" applyBorder="1" applyAlignment="1">
      <alignment horizontal="right"/>
    </xf>
    <xf numFmtId="9" fontId="36" fillId="0" borderId="0" xfId="2" applyFont="1" applyAlignment="1">
      <alignment horizontal="right"/>
    </xf>
    <xf numFmtId="9" fontId="44" fillId="6" borderId="7" xfId="2" applyFont="1" applyFill="1" applyBorder="1" applyAlignment="1">
      <alignment horizontal="right"/>
    </xf>
    <xf numFmtId="9" fontId="44" fillId="5" borderId="7" xfId="2" applyFont="1" applyFill="1" applyBorder="1" applyAlignment="1">
      <alignment horizontal="right"/>
    </xf>
    <xf numFmtId="9" fontId="44" fillId="0" borderId="5" xfId="2" applyFont="1" applyFill="1" applyBorder="1" applyAlignment="1">
      <alignment horizontal="right"/>
    </xf>
    <xf numFmtId="9" fontId="44" fillId="0" borderId="6" xfId="2" applyFont="1" applyBorder="1" applyAlignment="1">
      <alignment horizontal="right"/>
    </xf>
    <xf numFmtId="0" fontId="74" fillId="0" borderId="0" xfId="0" applyFont="1"/>
    <xf numFmtId="0" fontId="33" fillId="0" borderId="10" xfId="0" applyFont="1" applyBorder="1" applyAlignment="1">
      <alignment horizontal="right"/>
    </xf>
    <xf numFmtId="0" fontId="44" fillId="0" borderId="38" xfId="0" applyFont="1" applyBorder="1" applyAlignment="1">
      <alignment horizontal="right"/>
    </xf>
    <xf numFmtId="0" fontId="44" fillId="0" borderId="0" xfId="0" applyFont="1" applyBorder="1" applyAlignment="1">
      <alignment horizontal="right"/>
    </xf>
    <xf numFmtId="0" fontId="44" fillId="0" borderId="0" xfId="0" applyFont="1" applyAlignment="1">
      <alignment horizontal="right"/>
    </xf>
    <xf numFmtId="0" fontId="36" fillId="0" borderId="24" xfId="0" applyFont="1" applyBorder="1" applyAlignment="1">
      <alignment horizontal="right"/>
    </xf>
    <xf numFmtId="167" fontId="33" fillId="0" borderId="0" xfId="0" applyNumberFormat="1" applyFont="1" applyBorder="1" applyAlignment="1">
      <alignment horizontal="right"/>
    </xf>
    <xf numFmtId="0" fontId="44" fillId="0" borderId="3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36" fillId="0" borderId="37" xfId="0" applyFont="1" applyBorder="1" applyAlignment="1">
      <alignment horizontal="center"/>
    </xf>
    <xf numFmtId="167" fontId="33" fillId="0" borderId="37" xfId="0" applyNumberFormat="1" applyFont="1" applyBorder="1" applyAlignment="1">
      <alignment horizontal="right"/>
    </xf>
    <xf numFmtId="9" fontId="36" fillId="0" borderId="0" xfId="2" applyNumberFormat="1" applyFont="1" applyBorder="1"/>
    <xf numFmtId="9" fontId="36" fillId="0" borderId="4" xfId="2" applyNumberFormat="1" applyFont="1" applyBorder="1"/>
    <xf numFmtId="0" fontId="33" fillId="0" borderId="7" xfId="0" applyFont="1" applyBorder="1"/>
    <xf numFmtId="0" fontId="33" fillId="0" borderId="10" xfId="0" applyFont="1" applyBorder="1"/>
    <xf numFmtId="0" fontId="44" fillId="0" borderId="4" xfId="0" applyFont="1" applyBorder="1" applyAlignment="1">
      <alignment horizontal="right"/>
    </xf>
    <xf numFmtId="167" fontId="72" fillId="9" borderId="14" xfId="1" applyNumberFormat="1" applyFont="1" applyFill="1" applyBorder="1" applyAlignment="1" applyProtection="1">
      <alignment horizontal="right"/>
    </xf>
    <xf numFmtId="10" fontId="72" fillId="9" borderId="14" xfId="2" applyNumberFormat="1" applyFont="1" applyFill="1" applyBorder="1" applyAlignment="1" applyProtection="1">
      <alignment horizontal="right"/>
    </xf>
    <xf numFmtId="0" fontId="33" fillId="0" borderId="1" xfId="0" applyFont="1" applyBorder="1" applyAlignment="1">
      <alignment horizontal="right"/>
    </xf>
    <xf numFmtId="10" fontId="33" fillId="0" borderId="0" xfId="0" applyNumberFormat="1" applyFont="1" applyBorder="1"/>
    <xf numFmtId="0" fontId="75" fillId="42" borderId="0" xfId="0" applyFont="1" applyFill="1" applyBorder="1"/>
    <xf numFmtId="167" fontId="36" fillId="0" borderId="0" xfId="1" applyNumberFormat="1" applyFont="1"/>
    <xf numFmtId="10" fontId="33" fillId="3" borderId="0" xfId="133" applyNumberFormat="1" applyFont="1" applyFill="1" applyAlignment="1">
      <alignment vertical="center"/>
    </xf>
    <xf numFmtId="0" fontId="31" fillId="7" borderId="34" xfId="0" applyFont="1" applyFill="1" applyBorder="1" applyAlignment="1">
      <alignment horizontal="right" vertical="center" wrapText="1"/>
    </xf>
    <xf numFmtId="10" fontId="77" fillId="6" borderId="0" xfId="0" applyNumberFormat="1" applyFont="1" applyFill="1" applyBorder="1"/>
    <xf numFmtId="10" fontId="77" fillId="6" borderId="34" xfId="0" applyNumberFormat="1" applyFont="1" applyFill="1" applyBorder="1"/>
    <xf numFmtId="167" fontId="77" fillId="6" borderId="0" xfId="1" applyNumberFormat="1" applyFont="1" applyFill="1" applyBorder="1"/>
    <xf numFmtId="167" fontId="77" fillId="6" borderId="34" xfId="1" applyNumberFormat="1" applyFont="1" applyFill="1" applyBorder="1"/>
    <xf numFmtId="167" fontId="77" fillId="6" borderId="0" xfId="1" applyNumberFormat="1" applyFont="1" applyFill="1" applyBorder="1" applyAlignment="1" applyProtection="1">
      <alignment vertical="center"/>
    </xf>
    <xf numFmtId="167" fontId="77" fillId="6" borderId="34" xfId="1" applyNumberFormat="1" applyFont="1" applyFill="1" applyBorder="1" applyAlignment="1" applyProtection="1">
      <alignment vertical="center"/>
    </xf>
    <xf numFmtId="0" fontId="17" fillId="0" borderId="0" xfId="0" applyFont="1"/>
    <xf numFmtId="0" fontId="33" fillId="0" borderId="23" xfId="0" applyFont="1" applyBorder="1" applyAlignment="1">
      <alignment horizontal="right"/>
    </xf>
    <xf numFmtId="0" fontId="33" fillId="0" borderId="23" xfId="0" applyFont="1" applyBorder="1" applyAlignment="1">
      <alignment horizontal="left"/>
    </xf>
    <xf numFmtId="167" fontId="33" fillId="0" borderId="5" xfId="1" applyNumberFormat="1" applyFont="1" applyBorder="1"/>
    <xf numFmtId="0" fontId="78" fillId="0" borderId="0" xfId="0" applyFont="1" applyBorder="1"/>
    <xf numFmtId="0" fontId="33" fillId="0" borderId="2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80" fillId="0" borderId="23" xfId="0" applyFont="1" applyBorder="1"/>
    <xf numFmtId="0" fontId="33" fillId="0" borderId="0" xfId="0" applyFont="1" applyBorder="1" applyAlignment="1">
      <alignment horizontal="center"/>
    </xf>
    <xf numFmtId="0" fontId="81" fillId="0" borderId="0" xfId="0" applyFont="1" applyBorder="1"/>
    <xf numFmtId="178" fontId="78" fillId="0" borderId="0" xfId="0" applyNumberFormat="1" applyFont="1" applyBorder="1"/>
    <xf numFmtId="10" fontId="78" fillId="0" borderId="0" xfId="0" applyNumberFormat="1" applyFont="1" applyBorder="1"/>
    <xf numFmtId="0" fontId="33" fillId="0" borderId="44" xfId="0" applyFont="1" applyBorder="1"/>
    <xf numFmtId="0" fontId="83" fillId="0" borderId="0" xfId="0" applyFont="1" applyBorder="1"/>
    <xf numFmtId="0" fontId="84" fillId="0" borderId="0" xfId="0" applyFont="1" applyBorder="1"/>
    <xf numFmtId="0" fontId="51" fillId="0" borderId="0" xfId="0" applyFont="1" applyBorder="1"/>
    <xf numFmtId="0" fontId="51" fillId="0" borderId="4" xfId="0" applyFont="1" applyBorder="1"/>
    <xf numFmtId="0" fontId="33" fillId="42" borderId="0" xfId="0" applyFont="1" applyFill="1" applyBorder="1"/>
    <xf numFmtId="178" fontId="78" fillId="0" borderId="0" xfId="0" applyNumberFormat="1" applyFont="1" applyBorder="1" applyAlignment="1">
      <alignment vertical="center"/>
    </xf>
    <xf numFmtId="178" fontId="82" fillId="0" borderId="7" xfId="0" applyNumberFormat="1" applyFont="1" applyBorder="1"/>
    <xf numFmtId="178" fontId="82" fillId="0" borderId="4" xfId="0" applyNumberFormat="1" applyFont="1" applyBorder="1"/>
    <xf numFmtId="9" fontId="33" fillId="0" borderId="0" xfId="0" applyNumberFormat="1" applyFont="1" applyFill="1" applyBorder="1"/>
    <xf numFmtId="178" fontId="82" fillId="0" borderId="6" xfId="0" applyNumberFormat="1" applyFont="1" applyBorder="1"/>
    <xf numFmtId="178" fontId="81" fillId="0" borderId="4" xfId="0" applyNumberFormat="1" applyFont="1" applyBorder="1"/>
    <xf numFmtId="178" fontId="82" fillId="0" borderId="0" xfId="0" applyNumberFormat="1" applyFont="1" applyBorder="1"/>
    <xf numFmtId="0" fontId="33" fillId="42" borderId="5" xfId="0" applyFont="1" applyFill="1" applyBorder="1"/>
    <xf numFmtId="0" fontId="33" fillId="0" borderId="24" xfId="0" applyFont="1" applyBorder="1"/>
    <xf numFmtId="0" fontId="74" fillId="0" borderId="24" xfId="0" applyFont="1" applyBorder="1"/>
    <xf numFmtId="0" fontId="33" fillId="0" borderId="22" xfId="0" applyFont="1" applyBorder="1"/>
    <xf numFmtId="0" fontId="74" fillId="0" borderId="18" xfId="0" applyFont="1" applyBorder="1"/>
    <xf numFmtId="0" fontId="33" fillId="0" borderId="16" xfId="0" applyFont="1" applyBorder="1"/>
    <xf numFmtId="0" fontId="74" fillId="0" borderId="0" xfId="0" applyFont="1" applyBorder="1"/>
    <xf numFmtId="0" fontId="74" fillId="0" borderId="17" xfId="0" applyFont="1" applyBorder="1"/>
    <xf numFmtId="0" fontId="33" fillId="0" borderId="45" xfId="0" applyFont="1" applyBorder="1"/>
    <xf numFmtId="0" fontId="74" fillId="0" borderId="21" xfId="0" applyFont="1" applyBorder="1"/>
    <xf numFmtId="178" fontId="78" fillId="0" borderId="17" xfId="0" applyNumberFormat="1" applyFont="1" applyBorder="1"/>
    <xf numFmtId="178" fontId="82" fillId="0" borderId="23" xfId="0" applyNumberFormat="1" applyFont="1" applyBorder="1"/>
    <xf numFmtId="178" fontId="78" fillId="0" borderId="21" xfId="0" applyNumberFormat="1" applyFont="1" applyBorder="1"/>
    <xf numFmtId="0" fontId="31" fillId="44" borderId="0" xfId="0" applyFont="1" applyFill="1"/>
    <xf numFmtId="0" fontId="59" fillId="44" borderId="0" xfId="0" applyFont="1" applyFill="1"/>
    <xf numFmtId="0" fontId="85" fillId="44" borderId="0" xfId="0" applyFont="1" applyFill="1"/>
    <xf numFmtId="0" fontId="59" fillId="44" borderId="0" xfId="0" applyFont="1" applyFill="1" applyBorder="1"/>
    <xf numFmtId="0" fontId="31" fillId="44" borderId="0" xfId="0" applyFont="1" applyFill="1" applyBorder="1" applyAlignment="1">
      <alignment horizontal="center"/>
    </xf>
    <xf numFmtId="0" fontId="17" fillId="42" borderId="0" xfId="0" applyFont="1" applyFill="1"/>
    <xf numFmtId="0" fontId="74" fillId="42" borderId="0" xfId="0" applyFont="1" applyFill="1"/>
    <xf numFmtId="0" fontId="33" fillId="42" borderId="24" xfId="0" applyFont="1" applyFill="1" applyBorder="1"/>
    <xf numFmtId="0" fontId="86" fillId="42" borderId="0" xfId="0" applyFont="1" applyFill="1" applyBorder="1" applyAlignment="1">
      <alignment horizontal="center"/>
    </xf>
    <xf numFmtId="178" fontId="87" fillId="0" borderId="0" xfId="0" applyNumberFormat="1" applyFont="1" applyBorder="1"/>
    <xf numFmtId="178" fontId="88" fillId="0" borderId="0" xfId="0" applyNumberFormat="1" applyFont="1" applyBorder="1"/>
    <xf numFmtId="166" fontId="87" fillId="0" borderId="0" xfId="1" applyFont="1" applyBorder="1"/>
    <xf numFmtId="166" fontId="66" fillId="0" borderId="0" xfId="1" applyFont="1" applyBorder="1"/>
    <xf numFmtId="178" fontId="66" fillId="0" borderId="0" xfId="0" applyNumberFormat="1" applyFont="1" applyBorder="1"/>
    <xf numFmtId="167" fontId="33" fillId="0" borderId="6" xfId="0" applyNumberFormat="1" applyFont="1" applyBorder="1"/>
    <xf numFmtId="9" fontId="76" fillId="6" borderId="42" xfId="2" applyNumberFormat="1" applyFont="1" applyFill="1" applyBorder="1" applyAlignment="1" applyProtection="1">
      <alignment vertical="center"/>
    </xf>
    <xf numFmtId="167" fontId="33" fillId="0" borderId="40" xfId="1" applyNumberFormat="1" applyFont="1" applyBorder="1" applyAlignment="1">
      <alignment horizontal="right"/>
    </xf>
    <xf numFmtId="10" fontId="33" fillId="4" borderId="14" xfId="2" applyNumberFormat="1" applyFont="1" applyFill="1" applyBorder="1"/>
    <xf numFmtId="0" fontId="36" fillId="0" borderId="0" xfId="0" applyFont="1" applyAlignment="1">
      <alignment horizontal="left" indent="1"/>
    </xf>
    <xf numFmtId="10" fontId="33" fillId="4" borderId="0" xfId="133" applyNumberFormat="1" applyFont="1" applyFill="1" applyAlignment="1">
      <alignment vertical="center"/>
    </xf>
    <xf numFmtId="167" fontId="39" fillId="0" borderId="0" xfId="1" applyNumberFormat="1" applyFont="1"/>
    <xf numFmtId="0" fontId="69" fillId="3" borderId="0" xfId="0" applyFont="1" applyFill="1"/>
    <xf numFmtId="0" fontId="33" fillId="3" borderId="3" xfId="0" applyFont="1" applyFill="1" applyBorder="1" applyAlignment="1">
      <alignment horizontal="right"/>
    </xf>
    <xf numFmtId="0" fontId="33" fillId="3" borderId="7" xfId="0" applyFont="1" applyFill="1" applyBorder="1" applyAlignment="1">
      <alignment horizontal="right"/>
    </xf>
    <xf numFmtId="0" fontId="33" fillId="3" borderId="10" xfId="0" applyFont="1" applyFill="1" applyBorder="1" applyAlignment="1">
      <alignment horizontal="right"/>
    </xf>
    <xf numFmtId="10" fontId="72" fillId="3" borderId="14" xfId="2" applyNumberFormat="1" applyFont="1" applyFill="1" applyBorder="1" applyAlignment="1" applyProtection="1">
      <alignment horizontal="right"/>
    </xf>
    <xf numFmtId="0" fontId="35" fillId="3" borderId="0" xfId="0" applyFont="1" applyFill="1"/>
    <xf numFmtId="0" fontId="70" fillId="3" borderId="14" xfId="0" applyFont="1" applyFill="1" applyBorder="1" applyAlignment="1">
      <alignment horizontal="center" vertical="center"/>
    </xf>
    <xf numFmtId="0" fontId="70" fillId="3" borderId="15" xfId="0" applyFont="1" applyFill="1" applyBorder="1" applyAlignment="1">
      <alignment horizontal="center" vertical="center"/>
    </xf>
    <xf numFmtId="0" fontId="70" fillId="3" borderId="19" xfId="0" applyFont="1" applyFill="1" applyBorder="1" applyAlignment="1">
      <alignment horizontal="center" vertical="center"/>
    </xf>
    <xf numFmtId="0" fontId="70" fillId="3" borderId="21" xfId="0" applyFont="1" applyFill="1" applyBorder="1" applyAlignment="1">
      <alignment horizontal="center" vertical="center"/>
    </xf>
    <xf numFmtId="10" fontId="70" fillId="3" borderId="21" xfId="0" applyNumberFormat="1" applyFont="1" applyFill="1" applyBorder="1" applyAlignment="1">
      <alignment horizontal="center" vertical="center"/>
    </xf>
    <xf numFmtId="0" fontId="70" fillId="3" borderId="0" xfId="0" applyFont="1" applyFill="1" applyBorder="1" applyAlignment="1">
      <alignment horizontal="center" vertical="center"/>
    </xf>
    <xf numFmtId="10" fontId="70" fillId="3" borderId="0" xfId="0" applyNumberFormat="1" applyFont="1" applyFill="1" applyBorder="1" applyAlignment="1">
      <alignment horizontal="center" vertical="center"/>
    </xf>
    <xf numFmtId="9" fontId="39" fillId="0" borderId="38" xfId="2" applyNumberFormat="1" applyFont="1" applyBorder="1"/>
    <xf numFmtId="9" fontId="39" fillId="0" borderId="37" xfId="2" applyNumberFormat="1" applyFont="1" applyBorder="1"/>
    <xf numFmtId="9" fontId="89" fillId="6" borderId="0" xfId="2" applyFont="1" applyFill="1" applyBorder="1" applyAlignment="1" applyProtection="1">
      <alignment vertical="center"/>
    </xf>
    <xf numFmtId="9" fontId="89" fillId="6" borderId="34" xfId="2" applyFont="1" applyFill="1" applyBorder="1" applyAlignment="1" applyProtection="1">
      <alignment vertical="center"/>
    </xf>
    <xf numFmtId="10" fontId="87" fillId="6" borderId="0" xfId="0" applyNumberFormat="1" applyFont="1" applyFill="1" applyBorder="1"/>
    <xf numFmtId="10" fontId="87" fillId="6" borderId="34" xfId="0" applyNumberFormat="1" applyFont="1" applyFill="1" applyBorder="1"/>
    <xf numFmtId="167" fontId="43" fillId="0" borderId="0" xfId="1" applyNumberFormat="1" applyFont="1"/>
    <xf numFmtId="167" fontId="36" fillId="0" borderId="0" xfId="0" applyNumberFormat="1" applyFont="1"/>
    <xf numFmtId="167" fontId="33" fillId="0" borderId="0" xfId="1" applyNumberFormat="1" applyFont="1" applyAlignment="1"/>
    <xf numFmtId="167" fontId="33" fillId="0" borderId="4" xfId="1" applyNumberFormat="1" applyFont="1" applyFill="1" applyBorder="1" applyAlignment="1">
      <alignment horizontal="left"/>
    </xf>
    <xf numFmtId="167" fontId="33" fillId="0" borderId="4" xfId="1" applyNumberFormat="1" applyFont="1" applyFill="1" applyBorder="1" applyAlignment="1">
      <alignment horizontal="right"/>
    </xf>
    <xf numFmtId="17" fontId="33" fillId="0" borderId="47" xfId="0" applyNumberFormat="1" applyFont="1" applyFill="1" applyBorder="1" applyAlignment="1">
      <alignment horizontal="left"/>
    </xf>
    <xf numFmtId="167" fontId="33" fillId="0" borderId="47" xfId="1" applyNumberFormat="1" applyFont="1" applyFill="1" applyBorder="1"/>
    <xf numFmtId="10" fontId="33" fillId="0" borderId="47" xfId="2" applyNumberFormat="1" applyFont="1" applyFill="1" applyBorder="1"/>
    <xf numFmtId="9" fontId="89" fillId="46" borderId="0" xfId="2" applyFont="1" applyFill="1" applyBorder="1" applyAlignment="1" applyProtection="1">
      <alignment vertical="center"/>
    </xf>
    <xf numFmtId="9" fontId="89" fillId="46" borderId="34" xfId="2" applyFont="1" applyFill="1" applyBorder="1" applyAlignment="1" applyProtection="1">
      <alignment vertical="center"/>
    </xf>
    <xf numFmtId="10" fontId="87" fillId="46" borderId="0" xfId="0" applyNumberFormat="1" applyFont="1" applyFill="1" applyBorder="1"/>
    <xf numFmtId="10" fontId="87" fillId="46" borderId="34" xfId="0" applyNumberFormat="1" applyFont="1" applyFill="1" applyBorder="1"/>
    <xf numFmtId="10" fontId="77" fillId="46" borderId="0" xfId="0" applyNumberFormat="1" applyFont="1" applyFill="1" applyBorder="1"/>
    <xf numFmtId="0" fontId="33" fillId="0" borderId="4" xfId="0" applyFont="1" applyBorder="1" applyAlignment="1">
      <alignment horizontal="left"/>
    </xf>
    <xf numFmtId="0" fontId="33" fillId="0" borderId="35" xfId="0" applyFont="1" applyBorder="1" applyAlignment="1">
      <alignment horizontal="left"/>
    </xf>
    <xf numFmtId="0" fontId="16" fillId="0" borderId="0" xfId="0" applyFont="1"/>
    <xf numFmtId="9" fontId="74" fillId="0" borderId="17" xfId="0" applyNumberFormat="1" applyFont="1" applyBorder="1"/>
    <xf numFmtId="0" fontId="16" fillId="3" borderId="0" xfId="0" applyFont="1" applyFill="1"/>
    <xf numFmtId="167" fontId="72" fillId="0" borderId="0" xfId="1" applyNumberFormat="1" applyFont="1" applyFill="1" applyBorder="1" applyAlignment="1" applyProtection="1">
      <alignment horizontal="right"/>
    </xf>
    <xf numFmtId="167" fontId="33" fillId="0" borderId="1" xfId="1" applyNumberFormat="1" applyFont="1" applyFill="1" applyBorder="1" applyAlignment="1" applyProtection="1">
      <alignment horizontal="right"/>
    </xf>
    <xf numFmtId="0" fontId="33" fillId="0" borderId="1" xfId="0" applyFont="1" applyBorder="1"/>
    <xf numFmtId="0" fontId="16" fillId="0" borderId="1" xfId="0" applyFont="1" applyBorder="1"/>
    <xf numFmtId="10" fontId="16" fillId="46" borderId="0" xfId="0" applyNumberFormat="1" applyFont="1" applyFill="1" applyBorder="1"/>
    <xf numFmtId="10" fontId="16" fillId="46" borderId="34" xfId="0" applyNumberFormat="1" applyFont="1" applyFill="1" applyBorder="1"/>
    <xf numFmtId="10" fontId="77" fillId="46" borderId="34" xfId="0" applyNumberFormat="1" applyFont="1" applyFill="1" applyBorder="1"/>
    <xf numFmtId="0" fontId="33" fillId="0" borderId="37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16" fillId="0" borderId="0" xfId="0" applyFont="1" applyFill="1"/>
    <xf numFmtId="0" fontId="16" fillId="0" borderId="0" xfId="0" applyFont="1" applyAlignment="1">
      <alignment vertical="center"/>
    </xf>
    <xf numFmtId="166" fontId="16" fillId="0" borderId="0" xfId="1" applyFont="1"/>
    <xf numFmtId="167" fontId="16" fillId="0" borderId="0" xfId="1" applyNumberFormat="1" applyFont="1"/>
    <xf numFmtId="167" fontId="16" fillId="6" borderId="8" xfId="0" applyNumberFormat="1" applyFont="1" applyFill="1" applyBorder="1"/>
    <xf numFmtId="10" fontId="16" fillId="6" borderId="8" xfId="2" applyNumberFormat="1" applyFont="1" applyFill="1" applyBorder="1"/>
    <xf numFmtId="165" fontId="16" fillId="5" borderId="1" xfId="0" applyNumberFormat="1" applyFont="1" applyFill="1" applyBorder="1"/>
    <xf numFmtId="166" fontId="16" fillId="0" borderId="0" xfId="0" applyNumberFormat="1" applyFont="1"/>
    <xf numFmtId="167" fontId="16" fillId="5" borderId="1" xfId="0" applyNumberFormat="1" applyFont="1" applyFill="1" applyBorder="1"/>
    <xf numFmtId="10" fontId="16" fillId="0" borderId="0" xfId="0" applyNumberFormat="1" applyFont="1"/>
    <xf numFmtId="166" fontId="16" fillId="5" borderId="1" xfId="0" applyNumberFormat="1" applyFont="1" applyFill="1" applyBorder="1"/>
    <xf numFmtId="167" fontId="16" fillId="6" borderId="9" xfId="1" applyNumberFormat="1" applyFont="1" applyFill="1" applyBorder="1" applyAlignment="1">
      <alignment horizontal="center"/>
    </xf>
    <xf numFmtId="167" fontId="16" fillId="0" borderId="7" xfId="0" applyNumberFormat="1" applyFont="1" applyBorder="1"/>
    <xf numFmtId="165" fontId="16" fillId="2" borderId="0" xfId="0" applyNumberFormat="1" applyFont="1" applyFill="1"/>
    <xf numFmtId="167" fontId="16" fillId="0" borderId="0" xfId="0" applyNumberFormat="1" applyFont="1"/>
    <xf numFmtId="0" fontId="16" fillId="8" borderId="0" xfId="0" applyFont="1" applyFill="1"/>
    <xf numFmtId="9" fontId="16" fillId="0" borderId="0" xfId="2" applyFont="1" applyFill="1"/>
    <xf numFmtId="167" fontId="16" fillId="0" borderId="8" xfId="0" applyNumberFormat="1" applyFont="1" applyFill="1" applyBorder="1"/>
    <xf numFmtId="165" fontId="16" fillId="0" borderId="0" xfId="0" applyNumberFormat="1" applyFont="1" applyBorder="1"/>
    <xf numFmtId="10" fontId="16" fillId="0" borderId="0" xfId="0" applyNumberFormat="1" applyFont="1" applyBorder="1"/>
    <xf numFmtId="165" fontId="16" fillId="0" borderId="5" xfId="0" applyNumberFormat="1" applyFont="1" applyFill="1" applyBorder="1"/>
    <xf numFmtId="167" fontId="16" fillId="0" borderId="0" xfId="1" applyNumberFormat="1" applyFont="1" applyFill="1"/>
    <xf numFmtId="170" fontId="16" fillId="0" borderId="0" xfId="2" applyNumberFormat="1" applyFont="1"/>
    <xf numFmtId="0" fontId="16" fillId="4" borderId="6" xfId="0" applyFont="1" applyFill="1" applyBorder="1"/>
    <xf numFmtId="9" fontId="16" fillId="0" borderId="0" xfId="0" applyNumberFormat="1" applyFont="1"/>
    <xf numFmtId="9" fontId="16" fillId="0" borderId="0" xfId="2" applyFont="1"/>
    <xf numFmtId="177" fontId="16" fillId="0" borderId="0" xfId="0" applyNumberFormat="1" applyFont="1"/>
    <xf numFmtId="179" fontId="16" fillId="0" borderId="0" xfId="2" applyNumberFormat="1" applyFont="1"/>
    <xf numFmtId="165" fontId="16" fillId="0" borderId="0" xfId="0" applyNumberFormat="1" applyFont="1"/>
    <xf numFmtId="165" fontId="16" fillId="0" borderId="1" xfId="0" applyNumberFormat="1" applyFont="1" applyBorder="1"/>
    <xf numFmtId="0" fontId="16" fillId="0" borderId="0" xfId="0" applyFont="1" applyBorder="1"/>
    <xf numFmtId="167" fontId="16" fillId="0" borderId="0" xfId="1" applyNumberFormat="1" applyFont="1" applyBorder="1"/>
    <xf numFmtId="0" fontId="16" fillId="0" borderId="4" xfId="0" applyFont="1" applyBorder="1"/>
    <xf numFmtId="167" fontId="16" fillId="0" borderId="4" xfId="1" applyNumberFormat="1" applyFont="1" applyBorder="1"/>
    <xf numFmtId="179" fontId="16" fillId="0" borderId="0" xfId="0" applyNumberFormat="1" applyFont="1"/>
    <xf numFmtId="169" fontId="16" fillId="0" borderId="0" xfId="2" applyNumberFormat="1" applyFont="1"/>
    <xf numFmtId="10" fontId="16" fillId="0" borderId="0" xfId="2" applyNumberFormat="1" applyFont="1"/>
    <xf numFmtId="0" fontId="16" fillId="0" borderId="0" xfId="0" applyFont="1" applyAlignment="1">
      <alignment horizontal="right"/>
    </xf>
    <xf numFmtId="167" fontId="16" fillId="0" borderId="0" xfId="1" applyNumberFormat="1" applyFont="1" applyAlignment="1">
      <alignment horizontal="right"/>
    </xf>
    <xf numFmtId="167" fontId="16" fillId="6" borderId="8" xfId="0" applyNumberFormat="1" applyFont="1" applyFill="1" applyBorder="1" applyAlignment="1">
      <alignment horizontal="right"/>
    </xf>
    <xf numFmtId="10" fontId="16" fillId="6" borderId="8" xfId="2" applyNumberFormat="1" applyFont="1" applyFill="1" applyBorder="1" applyAlignment="1">
      <alignment horizontal="right"/>
    </xf>
    <xf numFmtId="165" fontId="16" fillId="5" borderId="1" xfId="0" applyNumberFormat="1" applyFont="1" applyFill="1" applyBorder="1" applyAlignment="1">
      <alignment horizontal="right"/>
    </xf>
    <xf numFmtId="166" fontId="16" fillId="0" borderId="0" xfId="0" applyNumberFormat="1" applyFont="1" applyAlignment="1">
      <alignment horizontal="right"/>
    </xf>
    <xf numFmtId="167" fontId="16" fillId="5" borderId="1" xfId="0" applyNumberFormat="1" applyFont="1" applyFill="1" applyBorder="1" applyAlignment="1">
      <alignment horizontal="right"/>
    </xf>
    <xf numFmtId="10" fontId="16" fillId="0" borderId="0" xfId="0" applyNumberFormat="1" applyFont="1" applyAlignment="1">
      <alignment horizontal="right"/>
    </xf>
    <xf numFmtId="166" fontId="16" fillId="5" borderId="1" xfId="0" applyNumberFormat="1" applyFont="1" applyFill="1" applyBorder="1" applyAlignment="1">
      <alignment horizontal="right"/>
    </xf>
    <xf numFmtId="167" fontId="16" fillId="6" borderId="9" xfId="1" applyNumberFormat="1" applyFont="1" applyFill="1" applyBorder="1" applyAlignment="1">
      <alignment horizontal="right"/>
    </xf>
    <xf numFmtId="167" fontId="16" fillId="0" borderId="7" xfId="0" applyNumberFormat="1" applyFont="1" applyBorder="1" applyAlignment="1">
      <alignment horizontal="right"/>
    </xf>
    <xf numFmtId="165" fontId="16" fillId="2" borderId="0" xfId="0" applyNumberFormat="1" applyFont="1" applyFill="1" applyAlignment="1">
      <alignment horizontal="right"/>
    </xf>
    <xf numFmtId="167" fontId="16" fillId="0" borderId="0" xfId="0" applyNumberFormat="1" applyFont="1" applyAlignment="1">
      <alignment horizontal="right"/>
    </xf>
    <xf numFmtId="0" fontId="16" fillId="8" borderId="0" xfId="0" applyFont="1" applyFill="1" applyAlignment="1">
      <alignment horizontal="right"/>
    </xf>
    <xf numFmtId="167" fontId="16" fillId="0" borderId="8" xfId="0" applyNumberFormat="1" applyFont="1" applyFill="1" applyBorder="1" applyAlignment="1">
      <alignment horizontal="right"/>
    </xf>
    <xf numFmtId="165" fontId="16" fillId="0" borderId="0" xfId="0" applyNumberFormat="1" applyFont="1" applyBorder="1" applyAlignment="1">
      <alignment horizontal="right"/>
    </xf>
    <xf numFmtId="165" fontId="16" fillId="0" borderId="5" xfId="0" applyNumberFormat="1" applyFont="1" applyFill="1" applyBorder="1" applyAlignment="1">
      <alignment horizontal="right"/>
    </xf>
    <xf numFmtId="9" fontId="16" fillId="0" borderId="0" xfId="2" applyFont="1" applyAlignment="1">
      <alignment horizontal="right"/>
    </xf>
    <xf numFmtId="165" fontId="16" fillId="0" borderId="0" xfId="0" applyNumberFormat="1" applyFont="1" applyAlignment="1">
      <alignment horizontal="right"/>
    </xf>
    <xf numFmtId="169" fontId="16" fillId="0" borderId="0" xfId="2" applyNumberFormat="1" applyFont="1" applyAlignment="1">
      <alignment horizontal="right"/>
    </xf>
    <xf numFmtId="166" fontId="16" fillId="6" borderId="8" xfId="0" applyNumberFormat="1" applyFont="1" applyFill="1" applyBorder="1"/>
    <xf numFmtId="167" fontId="16" fillId="0" borderId="0" xfId="1" applyNumberFormat="1" applyFont="1" applyAlignment="1"/>
    <xf numFmtId="0" fontId="16" fillId="0" borderId="0" xfId="0" applyFont="1" applyAlignment="1"/>
    <xf numFmtId="167" fontId="16" fillId="0" borderId="0" xfId="1" applyNumberFormat="1" applyFont="1" applyBorder="1" applyAlignment="1">
      <alignment horizontal="right"/>
    </xf>
    <xf numFmtId="0" fontId="16" fillId="0" borderId="23" xfId="0" applyFont="1" applyBorder="1"/>
    <xf numFmtId="0" fontId="16" fillId="0" borderId="0" xfId="0" applyFont="1" applyFill="1" applyBorder="1"/>
    <xf numFmtId="166" fontId="16" fillId="47" borderId="0" xfId="1" applyNumberFormat="1" applyFont="1" applyFill="1"/>
    <xf numFmtId="0" fontId="16" fillId="47" borderId="0" xfId="0" applyFont="1" applyFill="1"/>
    <xf numFmtId="167" fontId="16" fillId="0" borderId="0" xfId="0" applyNumberFormat="1" applyFont="1" applyFill="1" applyBorder="1"/>
    <xf numFmtId="164" fontId="16" fillId="0" borderId="0" xfId="1" applyNumberFormat="1" applyFont="1"/>
    <xf numFmtId="17" fontId="16" fillId="0" borderId="0" xfId="0" applyNumberFormat="1" applyFont="1" applyAlignment="1">
      <alignment horizontal="left"/>
    </xf>
    <xf numFmtId="10" fontId="16" fillId="0" borderId="0" xfId="2" applyNumberFormat="1" applyFont="1" applyFill="1"/>
    <xf numFmtId="180" fontId="16" fillId="0" borderId="0" xfId="0" applyNumberFormat="1" applyFont="1"/>
    <xf numFmtId="167" fontId="16" fillId="3" borderId="38" xfId="1" applyNumberFormat="1" applyFont="1" applyFill="1" applyBorder="1" applyAlignment="1">
      <alignment horizontal="right"/>
    </xf>
    <xf numFmtId="10" fontId="16" fillId="3" borderId="0" xfId="0" applyNumberFormat="1" applyFont="1" applyFill="1" applyBorder="1" applyAlignment="1">
      <alignment horizontal="right"/>
    </xf>
    <xf numFmtId="167" fontId="16" fillId="3" borderId="34" xfId="0" applyNumberFormat="1" applyFont="1" applyFill="1" applyBorder="1" applyAlignment="1">
      <alignment horizontal="right"/>
    </xf>
    <xf numFmtId="171" fontId="16" fillId="3" borderId="0" xfId="0" applyNumberFormat="1" applyFont="1" applyFill="1"/>
    <xf numFmtId="167" fontId="16" fillId="3" borderId="37" xfId="1" applyNumberFormat="1" applyFont="1" applyFill="1" applyBorder="1" applyAlignment="1">
      <alignment horizontal="right"/>
    </xf>
    <xf numFmtId="10" fontId="16" fillId="3" borderId="4" xfId="0" applyNumberFormat="1" applyFont="1" applyFill="1" applyBorder="1" applyAlignment="1">
      <alignment horizontal="right"/>
    </xf>
    <xf numFmtId="167" fontId="16" fillId="3" borderId="35" xfId="0" applyNumberFormat="1" applyFont="1" applyFill="1" applyBorder="1" applyAlignment="1">
      <alignment horizontal="right"/>
    </xf>
    <xf numFmtId="0" fontId="16" fillId="0" borderId="36" xfId="0" applyFont="1" applyBorder="1"/>
    <xf numFmtId="10" fontId="16" fillId="0" borderId="0" xfId="2" applyNumberFormat="1" applyFont="1" applyBorder="1"/>
    <xf numFmtId="169" fontId="16" fillId="0" borderId="34" xfId="2" applyNumberFormat="1" applyFont="1" applyBorder="1"/>
    <xf numFmtId="169" fontId="16" fillId="0" borderId="34" xfId="0" applyNumberFormat="1" applyFont="1" applyBorder="1"/>
    <xf numFmtId="0" fontId="16" fillId="0" borderId="11" xfId="0" applyFont="1" applyBorder="1"/>
    <xf numFmtId="10" fontId="16" fillId="0" borderId="4" xfId="2" applyNumberFormat="1" applyFont="1" applyBorder="1"/>
    <xf numFmtId="169" fontId="16" fillId="0" borderId="35" xfId="0" applyNumberFormat="1" applyFont="1" applyBorder="1"/>
    <xf numFmtId="172" fontId="16" fillId="0" borderId="0" xfId="0" quotePrefix="1" applyNumberFormat="1" applyFont="1" applyAlignment="1">
      <alignment horizontal="left"/>
    </xf>
    <xf numFmtId="167" fontId="16" fillId="0" borderId="34" xfId="1" applyNumberFormat="1" applyFont="1" applyBorder="1"/>
    <xf numFmtId="167" fontId="16" fillId="0" borderId="36" xfId="1" applyNumberFormat="1" applyFont="1" applyBorder="1"/>
    <xf numFmtId="167" fontId="16" fillId="0" borderId="23" xfId="1" applyNumberFormat="1" applyFont="1" applyBorder="1"/>
    <xf numFmtId="0" fontId="16" fillId="0" borderId="34" xfId="0" applyFont="1" applyBorder="1"/>
    <xf numFmtId="10" fontId="16" fillId="0" borderId="43" xfId="2" applyNumberFormat="1" applyFont="1" applyFill="1" applyBorder="1" applyAlignment="1">
      <alignment horizontal="right"/>
    </xf>
    <xf numFmtId="167" fontId="16" fillId="0" borderId="39" xfId="1" applyNumberFormat="1" applyFont="1" applyBorder="1" applyAlignment="1">
      <alignment horizontal="right"/>
    </xf>
    <xf numFmtId="10" fontId="16" fillId="0" borderId="38" xfId="2" applyNumberFormat="1" applyFont="1" applyFill="1" applyBorder="1" applyAlignment="1">
      <alignment horizontal="right"/>
    </xf>
    <xf numFmtId="167" fontId="16" fillId="0" borderId="34" xfId="1" applyNumberFormat="1" applyFont="1" applyBorder="1" applyAlignment="1">
      <alignment horizontal="right"/>
    </xf>
    <xf numFmtId="10" fontId="16" fillId="0" borderId="37" xfId="2" applyNumberFormat="1" applyFont="1" applyFill="1" applyBorder="1" applyAlignment="1">
      <alignment horizontal="right"/>
    </xf>
    <xf numFmtId="167" fontId="16" fillId="0" borderId="35" xfId="0" applyNumberFormat="1" applyFont="1" applyBorder="1"/>
    <xf numFmtId="0" fontId="16" fillId="0" borderId="39" xfId="0" applyFont="1" applyBorder="1"/>
    <xf numFmtId="17" fontId="16" fillId="0" borderId="34" xfId="0" applyNumberFormat="1" applyFont="1" applyBorder="1" applyAlignment="1">
      <alignment horizontal="center"/>
    </xf>
    <xf numFmtId="10" fontId="16" fillId="0" borderId="38" xfId="2" applyNumberFormat="1" applyFont="1" applyBorder="1"/>
    <xf numFmtId="167" fontId="16" fillId="0" borderId="0" xfId="1" applyNumberFormat="1" applyFont="1" applyAlignment="1">
      <alignment horizontal="center"/>
    </xf>
    <xf numFmtId="10" fontId="16" fillId="0" borderId="37" xfId="2" applyNumberFormat="1" applyFont="1" applyBorder="1"/>
    <xf numFmtId="167" fontId="16" fillId="0" borderId="35" xfId="1" applyNumberFormat="1" applyFont="1" applyBorder="1"/>
    <xf numFmtId="9" fontId="16" fillId="0" borderId="0" xfId="2" applyNumberFormat="1" applyFont="1" applyBorder="1"/>
    <xf numFmtId="10" fontId="16" fillId="0" borderId="34" xfId="2" applyNumberFormat="1" applyFont="1" applyBorder="1"/>
    <xf numFmtId="9" fontId="16" fillId="0" borderId="4" xfId="2" applyNumberFormat="1" applyFont="1" applyBorder="1"/>
    <xf numFmtId="0" fontId="16" fillId="0" borderId="5" xfId="0" applyFont="1" applyBorder="1" applyAlignment="1">
      <alignment horizontal="center"/>
    </xf>
    <xf numFmtId="17" fontId="16" fillId="0" borderId="0" xfId="0" applyNumberFormat="1" applyFont="1" applyBorder="1" applyAlignment="1">
      <alignment horizontal="center"/>
    </xf>
    <xf numFmtId="9" fontId="16" fillId="0" borderId="38" xfId="2" applyNumberFormat="1" applyFont="1" applyBorder="1"/>
    <xf numFmtId="9" fontId="16" fillId="0" borderId="37" xfId="2" applyNumberFormat="1" applyFont="1" applyBorder="1"/>
    <xf numFmtId="9" fontId="16" fillId="0" borderId="0" xfId="2" applyNumberFormat="1" applyFont="1"/>
    <xf numFmtId="0" fontId="16" fillId="0" borderId="5" xfId="0" applyFont="1" applyBorder="1"/>
    <xf numFmtId="0" fontId="16" fillId="0" borderId="0" xfId="0" applyFont="1" applyBorder="1" applyAlignment="1">
      <alignment horizontal="center"/>
    </xf>
    <xf numFmtId="3" fontId="16" fillId="0" borderId="0" xfId="0" applyNumberFormat="1" applyFont="1"/>
    <xf numFmtId="9" fontId="16" fillId="3" borderId="0" xfId="2" applyFont="1" applyFill="1"/>
    <xf numFmtId="0" fontId="16" fillId="0" borderId="24" xfId="0" applyFont="1" applyBorder="1"/>
    <xf numFmtId="10" fontId="16" fillId="41" borderId="0" xfId="133" applyNumberFormat="1" applyFont="1" applyFill="1" applyAlignment="1">
      <alignment vertical="center"/>
    </xf>
    <xf numFmtId="9" fontId="16" fillId="0" borderId="0" xfId="134" applyNumberFormat="1" applyFont="1" applyAlignment="1">
      <alignment vertical="center"/>
    </xf>
    <xf numFmtId="0" fontId="16" fillId="0" borderId="0" xfId="133" applyFont="1" applyAlignment="1">
      <alignment vertical="center"/>
    </xf>
    <xf numFmtId="176" fontId="16" fillId="0" borderId="0" xfId="135" applyNumberFormat="1" applyFont="1" applyAlignment="1">
      <alignment vertical="center"/>
    </xf>
    <xf numFmtId="176" fontId="16" fillId="0" borderId="0" xfId="0" applyNumberFormat="1" applyFont="1"/>
    <xf numFmtId="3" fontId="16" fillId="0" borderId="0" xfId="133" applyNumberFormat="1" applyFont="1" applyFill="1" applyAlignment="1">
      <alignment vertical="center"/>
    </xf>
    <xf numFmtId="176" fontId="16" fillId="0" borderId="0" xfId="133" applyNumberFormat="1" applyFont="1" applyAlignment="1">
      <alignment vertical="center"/>
    </xf>
    <xf numFmtId="167" fontId="16" fillId="0" borderId="0" xfId="0" applyNumberFormat="1" applyFont="1" applyBorder="1"/>
    <xf numFmtId="17" fontId="16" fillId="0" borderId="0" xfId="0" applyNumberFormat="1" applyFont="1" applyAlignment="1">
      <alignment horizontal="center"/>
    </xf>
    <xf numFmtId="17" fontId="16" fillId="0" borderId="0" xfId="0" applyNumberFormat="1" applyFont="1" applyAlignment="1">
      <alignment horizontal="right"/>
    </xf>
    <xf numFmtId="167" fontId="16" fillId="45" borderId="0" xfId="1" applyNumberFormat="1" applyFont="1" applyFill="1"/>
    <xf numFmtId="166" fontId="16" fillId="0" borderId="0" xfId="1" applyFont="1" applyAlignment="1">
      <alignment horizontal="right"/>
    </xf>
    <xf numFmtId="0" fontId="16" fillId="0" borderId="22" xfId="0" applyFont="1" applyBorder="1"/>
    <xf numFmtId="0" fontId="16" fillId="0" borderId="16" xfId="0" applyFont="1" applyBorder="1"/>
    <xf numFmtId="0" fontId="16" fillId="0" borderId="43" xfId="0" applyFont="1" applyBorder="1"/>
    <xf numFmtId="0" fontId="16" fillId="0" borderId="38" xfId="0" applyFont="1" applyBorder="1"/>
    <xf numFmtId="0" fontId="16" fillId="42" borderId="0" xfId="0" applyFont="1" applyFill="1" applyBorder="1"/>
    <xf numFmtId="167" fontId="16" fillId="42" borderId="0" xfId="1" applyNumberFormat="1" applyFont="1" applyFill="1" applyBorder="1"/>
    <xf numFmtId="165" fontId="16" fillId="0" borderId="34" xfId="0" applyNumberFormat="1" applyFont="1" applyBorder="1"/>
    <xf numFmtId="10" fontId="16" fillId="42" borderId="0" xfId="0" applyNumberFormat="1" applyFont="1" applyFill="1" applyBorder="1"/>
    <xf numFmtId="10" fontId="16" fillId="42" borderId="34" xfId="0" applyNumberFormat="1" applyFont="1" applyFill="1" applyBorder="1"/>
    <xf numFmtId="0" fontId="16" fillId="0" borderId="17" xfId="0" applyFont="1" applyBorder="1"/>
    <xf numFmtId="0" fontId="16" fillId="0" borderId="37" xfId="0" applyFont="1" applyBorder="1"/>
    <xf numFmtId="10" fontId="16" fillId="0" borderId="4" xfId="0" applyNumberFormat="1" applyFont="1" applyBorder="1"/>
    <xf numFmtId="0" fontId="16" fillId="0" borderId="44" xfId="0" applyFont="1" applyBorder="1"/>
    <xf numFmtId="10" fontId="16" fillId="0" borderId="44" xfId="0" applyNumberFormat="1" applyFont="1" applyBorder="1"/>
    <xf numFmtId="0" fontId="16" fillId="0" borderId="46" xfId="0" applyFont="1" applyBorder="1"/>
    <xf numFmtId="0" fontId="16" fillId="0" borderId="20" xfId="0" applyFont="1" applyBorder="1"/>
    <xf numFmtId="0" fontId="16" fillId="42" borderId="5" xfId="0" applyFont="1" applyFill="1" applyBorder="1"/>
    <xf numFmtId="178" fontId="16" fillId="0" borderId="0" xfId="0" applyNumberFormat="1" applyFont="1" applyBorder="1"/>
    <xf numFmtId="178" fontId="16" fillId="0" borderId="34" xfId="0" applyNumberFormat="1" applyFont="1" applyBorder="1"/>
    <xf numFmtId="9" fontId="16" fillId="0" borderId="0" xfId="0" applyNumberFormat="1" applyFont="1" applyBorder="1"/>
    <xf numFmtId="9" fontId="16" fillId="0" borderId="34" xfId="0" applyNumberFormat="1" applyFont="1" applyBorder="1"/>
    <xf numFmtId="0" fontId="16" fillId="46" borderId="0" xfId="0" applyFont="1" applyFill="1" applyBorder="1"/>
    <xf numFmtId="0" fontId="16" fillId="46" borderId="4" xfId="0" applyFont="1" applyFill="1" applyBorder="1"/>
    <xf numFmtId="10" fontId="16" fillId="0" borderId="23" xfId="0" applyNumberFormat="1" applyFont="1" applyBorder="1"/>
    <xf numFmtId="0" fontId="16" fillId="0" borderId="21" xfId="0" applyFont="1" applyBorder="1"/>
    <xf numFmtId="10" fontId="16" fillId="0" borderId="24" xfId="0" applyNumberFormat="1" applyFont="1" applyBorder="1"/>
    <xf numFmtId="0" fontId="16" fillId="0" borderId="18" xfId="0" applyFont="1" applyBorder="1"/>
    <xf numFmtId="0" fontId="16" fillId="42" borderId="24" xfId="0" applyFont="1" applyFill="1" applyBorder="1"/>
    <xf numFmtId="0" fontId="16" fillId="0" borderId="24" xfId="0" applyFont="1" applyFill="1" applyBorder="1"/>
    <xf numFmtId="0" fontId="16" fillId="0" borderId="5" xfId="0" applyFont="1" applyFill="1" applyBorder="1"/>
    <xf numFmtId="0" fontId="16" fillId="0" borderId="39" xfId="0" applyFont="1" applyFill="1" applyBorder="1"/>
    <xf numFmtId="165" fontId="16" fillId="0" borderId="34" xfId="0" applyNumberFormat="1" applyFont="1" applyFill="1" applyBorder="1"/>
    <xf numFmtId="9" fontId="16" fillId="0" borderId="17" xfId="0" applyNumberFormat="1" applyFont="1" applyBorder="1"/>
    <xf numFmtId="0" fontId="16" fillId="42" borderId="16" xfId="0" applyFont="1" applyFill="1" applyBorder="1"/>
    <xf numFmtId="0" fontId="33" fillId="0" borderId="49" xfId="0" applyFont="1" applyBorder="1"/>
    <xf numFmtId="0" fontId="33" fillId="0" borderId="50" xfId="0" applyFont="1" applyBorder="1"/>
    <xf numFmtId="0" fontId="17" fillId="0" borderId="15" xfId="0" applyFont="1" applyBorder="1"/>
    <xf numFmtId="0" fontId="33" fillId="0" borderId="20" xfId="0" applyFont="1" applyBorder="1"/>
    <xf numFmtId="0" fontId="91" fillId="0" borderId="23" xfId="0" applyFont="1" applyBorder="1"/>
    <xf numFmtId="9" fontId="91" fillId="0" borderId="23" xfId="0" applyNumberFormat="1" applyFont="1" applyBorder="1"/>
    <xf numFmtId="0" fontId="92" fillId="0" borderId="21" xfId="0" applyFont="1" applyBorder="1"/>
    <xf numFmtId="0" fontId="33" fillId="0" borderId="21" xfId="0" applyFont="1" applyBorder="1"/>
    <xf numFmtId="0" fontId="15" fillId="0" borderId="0" xfId="0" applyFont="1"/>
    <xf numFmtId="4" fontId="33" fillId="0" borderId="0" xfId="0" applyNumberFormat="1" applyFont="1" applyBorder="1"/>
    <xf numFmtId="0" fontId="15" fillId="0" borderId="51" xfId="0" applyFont="1" applyBorder="1"/>
    <xf numFmtId="0" fontId="91" fillId="0" borderId="52" xfId="0" applyFont="1" applyBorder="1"/>
    <xf numFmtId="0" fontId="15" fillId="0" borderId="52" xfId="0" applyFont="1" applyBorder="1"/>
    <xf numFmtId="9" fontId="91" fillId="0" borderId="52" xfId="0" applyNumberFormat="1" applyFont="1" applyBorder="1"/>
    <xf numFmtId="0" fontId="15" fillId="0" borderId="53" xfId="0" applyFont="1" applyBorder="1"/>
    <xf numFmtId="0" fontId="17" fillId="0" borderId="18" xfId="0" applyFont="1" applyBorder="1"/>
    <xf numFmtId="0" fontId="17" fillId="0" borderId="16" xfId="0" applyFont="1" applyBorder="1"/>
    <xf numFmtId="4" fontId="17" fillId="0" borderId="0" xfId="0" applyNumberFormat="1" applyFont="1" applyBorder="1"/>
    <xf numFmtId="0" fontId="17" fillId="0" borderId="0" xfId="0" applyFont="1" applyBorder="1"/>
    <xf numFmtId="4" fontId="17" fillId="0" borderId="17" xfId="0" applyNumberFormat="1" applyFont="1" applyBorder="1"/>
    <xf numFmtId="0" fontId="17" fillId="0" borderId="17" xfId="0" applyFont="1" applyBorder="1"/>
    <xf numFmtId="4" fontId="33" fillId="0" borderId="17" xfId="0" applyNumberFormat="1" applyFont="1" applyBorder="1"/>
    <xf numFmtId="0" fontId="33" fillId="0" borderId="54" xfId="0" applyFont="1" applyBorder="1"/>
    <xf numFmtId="4" fontId="33" fillId="0" borderId="55" xfId="0" applyNumberFormat="1" applyFont="1" applyBorder="1"/>
    <xf numFmtId="0" fontId="16" fillId="0" borderId="16" xfId="0" applyFont="1" applyFill="1" applyBorder="1"/>
    <xf numFmtId="0" fontId="16" fillId="0" borderId="17" xfId="0" applyFont="1" applyFill="1" applyBorder="1"/>
    <xf numFmtId="0" fontId="74" fillId="0" borderId="0" xfId="0" applyFont="1" applyFill="1"/>
    <xf numFmtId="0" fontId="17" fillId="0" borderId="0" xfId="0" applyFont="1" applyFill="1"/>
    <xf numFmtId="0" fontId="16" fillId="42" borderId="37" xfId="0" applyFont="1" applyFill="1" applyBorder="1"/>
    <xf numFmtId="10" fontId="87" fillId="46" borderId="4" xfId="0" applyNumberFormat="1" applyFont="1" applyFill="1" applyBorder="1"/>
    <xf numFmtId="10" fontId="87" fillId="46" borderId="35" xfId="0" applyNumberFormat="1" applyFont="1" applyFill="1" applyBorder="1"/>
    <xf numFmtId="170" fontId="74" fillId="0" borderId="0" xfId="0" applyNumberFormat="1" applyFont="1" applyFill="1"/>
    <xf numFmtId="0" fontId="15" fillId="0" borderId="0" xfId="0" applyFont="1" applyBorder="1"/>
    <xf numFmtId="0" fontId="85" fillId="0" borderId="0" xfId="0" applyFont="1"/>
    <xf numFmtId="0" fontId="14" fillId="0" borderId="0" xfId="0" applyFont="1" applyBorder="1"/>
    <xf numFmtId="9" fontId="39" fillId="0" borderId="17" xfId="0" applyNumberFormat="1" applyFont="1" applyBorder="1"/>
    <xf numFmtId="0" fontId="13" fillId="0" borderId="0" xfId="0" applyFont="1" applyBorder="1"/>
    <xf numFmtId="10" fontId="87" fillId="0" borderId="48" xfId="0" applyNumberFormat="1" applyFont="1" applyFill="1" applyBorder="1"/>
    <xf numFmtId="9" fontId="16" fillId="3" borderId="1" xfId="2" applyFont="1" applyFill="1" applyBorder="1"/>
    <xf numFmtId="0" fontId="16" fillId="3" borderId="1" xfId="0" applyFont="1" applyFill="1" applyBorder="1"/>
    <xf numFmtId="10" fontId="19" fillId="0" borderId="0" xfId="0" applyNumberFormat="1" applyFont="1"/>
    <xf numFmtId="2" fontId="19" fillId="0" borderId="0" xfId="0" applyNumberFormat="1" applyFont="1"/>
    <xf numFmtId="0" fontId="12" fillId="0" borderId="0" xfId="0" applyFont="1"/>
    <xf numFmtId="0" fontId="34" fillId="0" borderId="0" xfId="0" applyFont="1"/>
    <xf numFmtId="0" fontId="38" fillId="0" borderId="1" xfId="0" applyFont="1" applyBorder="1"/>
    <xf numFmtId="0" fontId="34" fillId="0" borderId="1" xfId="0" applyFont="1" applyBorder="1"/>
    <xf numFmtId="169" fontId="34" fillId="0" borderId="0" xfId="2" applyNumberFormat="1" applyFo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2" fillId="3" borderId="4" xfId="0" applyFont="1" applyFill="1" applyBorder="1"/>
    <xf numFmtId="0" fontId="16" fillId="3" borderId="4" xfId="0" applyFont="1" applyFill="1" applyBorder="1"/>
    <xf numFmtId="10" fontId="87" fillId="3" borderId="0" xfId="0" applyNumberFormat="1" applyFont="1" applyFill="1" applyBorder="1"/>
    <xf numFmtId="167" fontId="43" fillId="0" borderId="0" xfId="0" applyNumberFormat="1" applyFont="1" applyBorder="1"/>
    <xf numFmtId="0" fontId="44" fillId="0" borderId="0" xfId="0" applyFont="1"/>
    <xf numFmtId="0" fontId="11" fillId="0" borderId="0" xfId="0" applyFont="1"/>
    <xf numFmtId="167" fontId="11" fillId="0" borderId="0" xfId="1" applyNumberFormat="1" applyFont="1"/>
    <xf numFmtId="9" fontId="19" fillId="0" borderId="0" xfId="2" applyFont="1"/>
    <xf numFmtId="9" fontId="16" fillId="3" borderId="0" xfId="0" applyNumberFormat="1" applyFont="1" applyFill="1"/>
    <xf numFmtId="167" fontId="33" fillId="0" borderId="0" xfId="0" applyNumberFormat="1" applyFont="1"/>
    <xf numFmtId="167" fontId="36" fillId="0" borderId="0" xfId="0" applyNumberFormat="1" applyFont="1" applyAlignment="1"/>
    <xf numFmtId="167" fontId="36" fillId="0" borderId="0" xfId="1" applyNumberFormat="1" applyFont="1" applyFill="1" applyBorder="1"/>
    <xf numFmtId="167" fontId="44" fillId="0" borderId="0" xfId="1" applyNumberFormat="1" applyFont="1" applyFill="1" applyBorder="1"/>
    <xf numFmtId="0" fontId="11" fillId="0" borderId="0" xfId="0" applyFont="1" applyFill="1" applyBorder="1"/>
    <xf numFmtId="17" fontId="11" fillId="0" borderId="0" xfId="0" applyNumberFormat="1" applyFont="1" applyFill="1" applyAlignment="1">
      <alignment horizontal="left"/>
    </xf>
    <xf numFmtId="0" fontId="45" fillId="0" borderId="0" xfId="11"/>
    <xf numFmtId="166" fontId="11" fillId="0" borderId="0" xfId="1" applyFont="1"/>
    <xf numFmtId="0" fontId="11" fillId="47" borderId="0" xfId="0" applyFont="1" applyFill="1"/>
    <xf numFmtId="166" fontId="33" fillId="0" borderId="0" xfId="0" applyNumberFormat="1" applyFont="1" applyAlignment="1">
      <alignment horizontal="center"/>
    </xf>
    <xf numFmtId="9" fontId="33" fillId="0" borderId="0" xfId="2" applyFont="1" applyAlignment="1">
      <alignment horizontal="center"/>
    </xf>
    <xf numFmtId="0" fontId="11" fillId="0" borderId="0" xfId="0" applyFont="1" applyFill="1"/>
    <xf numFmtId="9" fontId="33" fillId="0" borderId="0" xfId="2" applyFont="1" applyFill="1"/>
    <xf numFmtId="167" fontId="33" fillId="0" borderId="8" xfId="0" applyNumberFormat="1" applyFont="1" applyFill="1" applyBorder="1"/>
    <xf numFmtId="0" fontId="33" fillId="48" borderId="5" xfId="0" applyFont="1" applyFill="1" applyBorder="1"/>
    <xf numFmtId="165" fontId="33" fillId="48" borderId="5" xfId="0" applyNumberFormat="1" applyFont="1" applyFill="1" applyBorder="1"/>
    <xf numFmtId="169" fontId="19" fillId="0" borderId="0" xfId="2" applyNumberFormat="1" applyFont="1"/>
    <xf numFmtId="10" fontId="19" fillId="0" borderId="0" xfId="2" applyNumberFormat="1" applyFont="1"/>
    <xf numFmtId="0" fontId="93" fillId="0" borderId="0" xfId="0" applyFont="1"/>
    <xf numFmtId="167" fontId="34" fillId="0" borderId="1" xfId="1" applyNumberFormat="1" applyFont="1" applyBorder="1"/>
    <xf numFmtId="0" fontId="33" fillId="46" borderId="38" xfId="0" applyFont="1" applyFill="1" applyBorder="1" applyAlignment="1">
      <alignment horizontal="left" indent="1"/>
    </xf>
    <xf numFmtId="167" fontId="33" fillId="46" borderId="0" xfId="0" applyNumberFormat="1" applyFont="1" applyFill="1"/>
    <xf numFmtId="0" fontId="33" fillId="0" borderId="0" xfId="0" applyFont="1" applyAlignment="1">
      <alignment horizontal="center"/>
    </xf>
    <xf numFmtId="0" fontId="10" fillId="0" borderId="0" xfId="0" applyFont="1"/>
    <xf numFmtId="0" fontId="94" fillId="0" borderId="1" xfId="0" applyFont="1" applyBorder="1"/>
    <xf numFmtId="0" fontId="94" fillId="0" borderId="1" xfId="0" applyFont="1" applyBorder="1" applyAlignment="1">
      <alignment horizontal="right"/>
    </xf>
    <xf numFmtId="0" fontId="95" fillId="3" borderId="1" xfId="0" applyFont="1" applyFill="1" applyBorder="1"/>
    <xf numFmtId="167" fontId="95" fillId="0" borderId="1" xfId="1" applyNumberFormat="1" applyFont="1" applyBorder="1"/>
    <xf numFmtId="0" fontId="95" fillId="0" borderId="1" xfId="0" applyFont="1" applyBorder="1"/>
    <xf numFmtId="167" fontId="94" fillId="0" borderId="1" xfId="1" applyNumberFormat="1" applyFont="1" applyBorder="1"/>
    <xf numFmtId="0" fontId="96" fillId="0" borderId="1" xfId="0" applyFont="1" applyBorder="1"/>
    <xf numFmtId="167" fontId="95" fillId="0" borderId="1" xfId="1" applyNumberFormat="1" applyFont="1" applyBorder="1" applyAlignment="1">
      <alignment horizontal="right"/>
    </xf>
    <xf numFmtId="0" fontId="94" fillId="47" borderId="1" xfId="0" applyFont="1" applyFill="1" applyBorder="1" applyAlignment="1">
      <alignment horizontal="right"/>
    </xf>
    <xf numFmtId="167" fontId="95" fillId="47" borderId="1" xfId="1" applyNumberFormat="1" applyFont="1" applyFill="1" applyBorder="1"/>
    <xf numFmtId="167" fontId="94" fillId="47" borderId="1" xfId="1" applyNumberFormat="1" applyFont="1" applyFill="1" applyBorder="1"/>
    <xf numFmtId="0" fontId="97" fillId="0" borderId="0" xfId="0" applyFont="1"/>
    <xf numFmtId="0" fontId="98" fillId="0" borderId="1" xfId="0" applyFont="1" applyBorder="1" applyAlignment="1">
      <alignment vertical="center"/>
    </xf>
    <xf numFmtId="0" fontId="99" fillId="0" borderId="1" xfId="0" applyFont="1" applyBorder="1"/>
    <xf numFmtId="3" fontId="99" fillId="0" borderId="1" xfId="0" applyNumberFormat="1" applyFont="1" applyBorder="1"/>
    <xf numFmtId="169" fontId="99" fillId="0" borderId="1" xfId="2" applyNumberFormat="1" applyFont="1" applyBorder="1"/>
    <xf numFmtId="167" fontId="99" fillId="0" borderId="1" xfId="1" applyNumberFormat="1" applyFont="1" applyBorder="1"/>
    <xf numFmtId="0" fontId="100" fillId="0" borderId="1" xfId="0" applyFont="1" applyBorder="1"/>
    <xf numFmtId="3" fontId="100" fillId="0" borderId="1" xfId="0" applyNumberFormat="1" applyFont="1" applyBorder="1"/>
    <xf numFmtId="169" fontId="100" fillId="0" borderId="1" xfId="0" applyNumberFormat="1" applyFont="1" applyBorder="1"/>
    <xf numFmtId="167" fontId="100" fillId="0" borderId="1" xfId="1" applyNumberFormat="1" applyFont="1" applyBorder="1"/>
    <xf numFmtId="167" fontId="34" fillId="0" borderId="0" xfId="0" applyNumberFormat="1" applyFont="1"/>
    <xf numFmtId="17" fontId="10" fillId="0" borderId="0" xfId="0" applyNumberFormat="1" applyFont="1" applyAlignment="1">
      <alignment horizontal="left"/>
    </xf>
    <xf numFmtId="167" fontId="34" fillId="0" borderId="0" xfId="1" applyNumberFormat="1" applyFont="1"/>
    <xf numFmtId="167" fontId="34" fillId="0" borderId="0" xfId="1" applyNumberFormat="1" applyFont="1" applyBorder="1"/>
    <xf numFmtId="0" fontId="38" fillId="51" borderId="0" xfId="0" applyFont="1" applyFill="1"/>
    <xf numFmtId="167" fontId="38" fillId="51" borderId="0" xfId="1" applyNumberFormat="1" applyFont="1" applyFill="1"/>
    <xf numFmtId="0" fontId="103" fillId="0" borderId="0" xfId="0" applyFont="1"/>
    <xf numFmtId="0" fontId="101" fillId="0" borderId="67" xfId="0" applyFont="1" applyBorder="1" applyAlignment="1">
      <alignment wrapText="1"/>
    </xf>
    <xf numFmtId="0" fontId="102" fillId="50" borderId="65" xfId="0" applyFont="1" applyFill="1" applyBorder="1" applyAlignment="1">
      <alignment horizontal="center" vertical="center" wrapText="1"/>
    </xf>
    <xf numFmtId="0" fontId="104" fillId="0" borderId="66" xfId="0" applyFont="1" applyBorder="1" applyAlignment="1">
      <alignment vertical="center" wrapText="1"/>
    </xf>
    <xf numFmtId="9" fontId="104" fillId="0" borderId="53" xfId="0" applyNumberFormat="1" applyFont="1" applyBorder="1" applyAlignment="1">
      <alignment horizontal="center" vertical="center" wrapText="1"/>
    </xf>
    <xf numFmtId="0" fontId="105" fillId="0" borderId="66" xfId="0" applyFont="1" applyBorder="1" applyAlignment="1">
      <alignment vertical="center" wrapText="1"/>
    </xf>
    <xf numFmtId="9" fontId="106" fillId="0" borderId="53" xfId="0" applyNumberFormat="1" applyFont="1" applyBorder="1" applyAlignment="1">
      <alignment horizontal="center" vertical="center" wrapText="1"/>
    </xf>
    <xf numFmtId="0" fontId="38" fillId="0" borderId="37" xfId="0" applyFont="1" applyBorder="1"/>
    <xf numFmtId="169" fontId="38" fillId="0" borderId="35" xfId="2" applyNumberFormat="1" applyFont="1" applyBorder="1"/>
    <xf numFmtId="0" fontId="107" fillId="0" borderId="0" xfId="0" applyFont="1"/>
    <xf numFmtId="178" fontId="74" fillId="0" borderId="17" xfId="0" applyNumberFormat="1" applyFont="1" applyBorder="1"/>
    <xf numFmtId="0" fontId="107" fillId="0" borderId="0" xfId="0" applyFont="1" applyBorder="1"/>
    <xf numFmtId="179" fontId="16" fillId="0" borderId="17" xfId="0" applyNumberFormat="1" applyFont="1" applyBorder="1"/>
    <xf numFmtId="0" fontId="108" fillId="0" borderId="0" xfId="0" applyFont="1"/>
    <xf numFmtId="0" fontId="108" fillId="0" borderId="0" xfId="0" applyFont="1" applyBorder="1"/>
    <xf numFmtId="0" fontId="108" fillId="0" borderId="0" xfId="0" applyFont="1" applyFill="1" applyBorder="1"/>
    <xf numFmtId="10" fontId="77" fillId="6" borderId="0" xfId="0" applyNumberFormat="1" applyFont="1" applyFill="1"/>
    <xf numFmtId="169" fontId="38" fillId="0" borderId="0" xfId="2" applyNumberFormat="1" applyFont="1" applyBorder="1"/>
    <xf numFmtId="0" fontId="38" fillId="0" borderId="0" xfId="0" applyFont="1"/>
    <xf numFmtId="169" fontId="38" fillId="0" borderId="0" xfId="2" applyNumberFormat="1" applyFont="1"/>
    <xf numFmtId="10" fontId="42" fillId="3" borderId="2" xfId="1" applyNumberFormat="1" applyFont="1" applyFill="1" applyBorder="1" applyProtection="1"/>
    <xf numFmtId="0" fontId="33" fillId="0" borderId="0" xfId="0" applyFont="1"/>
    <xf numFmtId="0" fontId="35" fillId="0" borderId="0" xfId="0" applyFont="1"/>
    <xf numFmtId="0" fontId="34" fillId="0" borderId="0" xfId="0" applyFont="1" applyAlignment="1">
      <alignment horizontal="left"/>
    </xf>
    <xf numFmtId="0" fontId="37" fillId="0" borderId="0" xfId="0" applyFont="1" applyAlignment="1">
      <alignment horizontal="right"/>
    </xf>
    <xf numFmtId="0" fontId="33" fillId="0" borderId="0" xfId="0" applyFont="1" applyFill="1"/>
    <xf numFmtId="0" fontId="38" fillId="0" borderId="0" xfId="0" applyFont="1" applyAlignment="1">
      <alignment horizontal="left"/>
    </xf>
    <xf numFmtId="0" fontId="39" fillId="0" borderId="0" xfId="0" applyFont="1"/>
    <xf numFmtId="165" fontId="33" fillId="0" borderId="5" xfId="0" applyNumberFormat="1" applyFont="1" applyFill="1" applyBorder="1"/>
    <xf numFmtId="165" fontId="33" fillId="0" borderId="0" xfId="0" applyNumberFormat="1" applyFont="1" applyFill="1" applyBorder="1"/>
    <xf numFmtId="0" fontId="33" fillId="4" borderId="6" xfId="0" applyFont="1" applyFill="1" applyBorder="1"/>
    <xf numFmtId="0" fontId="32" fillId="0" borderId="0" xfId="0" applyFont="1"/>
    <xf numFmtId="0" fontId="40" fillId="0" borderId="0" xfId="0" applyFont="1" applyFill="1"/>
    <xf numFmtId="10" fontId="42" fillId="3" borderId="2" xfId="2" applyNumberFormat="1" applyFont="1" applyFill="1" applyBorder="1" applyProtection="1"/>
    <xf numFmtId="167" fontId="42" fillId="3" borderId="2" xfId="1" applyNumberFormat="1" applyFont="1" applyFill="1" applyBorder="1" applyProtection="1"/>
    <xf numFmtId="167" fontId="33" fillId="0" borderId="6" xfId="0" applyNumberFormat="1" applyFont="1" applyFill="1" applyBorder="1"/>
    <xf numFmtId="165" fontId="33" fillId="0" borderId="5" xfId="0" applyNumberFormat="1" applyFont="1" applyBorder="1"/>
    <xf numFmtId="165" fontId="33" fillId="0" borderId="0" xfId="0" applyNumberFormat="1" applyFont="1" applyBorder="1"/>
    <xf numFmtId="167" fontId="33" fillId="4" borderId="6" xfId="1" applyNumberFormat="1" applyFont="1" applyFill="1" applyBorder="1"/>
    <xf numFmtId="0" fontId="33" fillId="0" borderId="5" xfId="0" applyFont="1" applyBorder="1"/>
    <xf numFmtId="0" fontId="31" fillId="7" borderId="0" xfId="0" applyFont="1" applyFill="1" applyAlignment="1">
      <alignment vertical="center" wrapText="1"/>
    </xf>
    <xf numFmtId="167" fontId="33" fillId="0" borderId="7" xfId="0" applyNumberFormat="1" applyFont="1" applyBorder="1"/>
    <xf numFmtId="0" fontId="36" fillId="0" borderId="0" xfId="0" applyFont="1" applyFill="1" applyAlignment="1">
      <alignment horizontal="right"/>
    </xf>
    <xf numFmtId="10" fontId="42" fillId="3" borderId="2" xfId="2" applyNumberFormat="1" applyFont="1" applyFill="1" applyBorder="1" applyAlignment="1" applyProtection="1">
      <alignment vertical="center"/>
    </xf>
    <xf numFmtId="0" fontId="31" fillId="7" borderId="0" xfId="0" applyFont="1" applyFill="1" applyBorder="1" applyAlignment="1">
      <alignment vertical="center" wrapText="1"/>
    </xf>
    <xf numFmtId="0" fontId="31" fillId="7" borderId="0" xfId="0" applyFont="1" applyFill="1" applyBorder="1" applyAlignment="1">
      <alignment horizontal="right" vertical="center" wrapText="1"/>
    </xf>
    <xf numFmtId="0" fontId="47" fillId="0" borderId="0" xfId="0" applyFont="1" applyFill="1" applyAlignment="1">
      <alignment horizontal="center"/>
    </xf>
    <xf numFmtId="0" fontId="47" fillId="0" borderId="0" xfId="0" applyFont="1" applyFill="1" applyAlignment="1"/>
    <xf numFmtId="0" fontId="31" fillId="7" borderId="0" xfId="0" applyFont="1" applyFill="1" applyAlignment="1">
      <alignment horizontal="right" vertical="center" wrapText="1"/>
    </xf>
    <xf numFmtId="0" fontId="35" fillId="0" borderId="0" xfId="0" applyFont="1" applyFill="1" applyBorder="1"/>
    <xf numFmtId="0" fontId="65" fillId="7" borderId="0" xfId="0" applyFont="1" applyFill="1" applyAlignment="1">
      <alignment vertical="center" wrapText="1"/>
    </xf>
    <xf numFmtId="0" fontId="34" fillId="0" borderId="0" xfId="0" applyFont="1" applyAlignment="1">
      <alignment wrapText="1"/>
    </xf>
    <xf numFmtId="166" fontId="42" fillId="3" borderId="2" xfId="1" applyNumberFormat="1" applyFont="1" applyFill="1" applyBorder="1" applyProtection="1"/>
    <xf numFmtId="170" fontId="42" fillId="3" borderId="2" xfId="2" applyNumberFormat="1" applyFont="1" applyFill="1" applyBorder="1" applyProtection="1"/>
    <xf numFmtId="9" fontId="42" fillId="3" borderId="2" xfId="2" applyNumberFormat="1" applyFont="1" applyFill="1" applyBorder="1" applyProtection="1"/>
    <xf numFmtId="0" fontId="33" fillId="0" borderId="4" xfId="0" applyFont="1" applyBorder="1" applyAlignment="1">
      <alignment horizontal="right"/>
    </xf>
    <xf numFmtId="0" fontId="33" fillId="0" borderId="4" xfId="0" applyFont="1" applyBorder="1"/>
    <xf numFmtId="0" fontId="36" fillId="0" borderId="0" xfId="0" applyFont="1"/>
    <xf numFmtId="0" fontId="74" fillId="0" borderId="0" xfId="0" applyFont="1"/>
    <xf numFmtId="0" fontId="31" fillId="7" borderId="34" xfId="0" applyFont="1" applyFill="1" applyBorder="1" applyAlignment="1">
      <alignment horizontal="right" vertical="center" wrapText="1"/>
    </xf>
    <xf numFmtId="10" fontId="77" fillId="6" borderId="34" xfId="0" applyNumberFormat="1" applyFont="1" applyFill="1" applyBorder="1"/>
    <xf numFmtId="167" fontId="77" fillId="6" borderId="0" xfId="1" applyNumberFormat="1" applyFont="1" applyFill="1" applyBorder="1"/>
    <xf numFmtId="167" fontId="77" fillId="6" borderId="0" xfId="1" applyNumberFormat="1" applyFont="1" applyFill="1" applyBorder="1" applyAlignment="1" applyProtection="1">
      <alignment vertical="center"/>
    </xf>
    <xf numFmtId="167" fontId="77" fillId="6" borderId="34" xfId="1" applyNumberFormat="1" applyFont="1" applyFill="1" applyBorder="1" applyAlignment="1" applyProtection="1">
      <alignment vertical="center"/>
    </xf>
    <xf numFmtId="0" fontId="78" fillId="0" borderId="0" xfId="0" applyFont="1" applyBorder="1"/>
    <xf numFmtId="0" fontId="81" fillId="0" borderId="0" xfId="0" applyFont="1" applyBorder="1"/>
    <xf numFmtId="178" fontId="78" fillId="0" borderId="0" xfId="0" applyNumberFormat="1" applyFont="1" applyBorder="1"/>
    <xf numFmtId="10" fontId="78" fillId="0" borderId="0" xfId="0" applyNumberFormat="1" applyFont="1" applyBorder="1"/>
    <xf numFmtId="0" fontId="33" fillId="0" borderId="44" xfId="0" applyFont="1" applyBorder="1"/>
    <xf numFmtId="0" fontId="83" fillId="0" borderId="0" xfId="0" applyFont="1" applyBorder="1"/>
    <xf numFmtId="0" fontId="84" fillId="0" borderId="0" xfId="0" applyFont="1" applyBorder="1"/>
    <xf numFmtId="0" fontId="51" fillId="0" borderId="0" xfId="0" applyFont="1" applyBorder="1"/>
    <xf numFmtId="0" fontId="51" fillId="0" borderId="4" xfId="0" applyFont="1" applyBorder="1"/>
    <xf numFmtId="0" fontId="33" fillId="42" borderId="0" xfId="0" applyFont="1" applyFill="1" applyBorder="1"/>
    <xf numFmtId="178" fontId="78" fillId="0" borderId="0" xfId="0" applyNumberFormat="1" applyFont="1" applyBorder="1" applyAlignment="1">
      <alignment vertical="center"/>
    </xf>
    <xf numFmtId="178" fontId="82" fillId="0" borderId="7" xfId="0" applyNumberFormat="1" applyFont="1" applyBorder="1"/>
    <xf numFmtId="178" fontId="82" fillId="0" borderId="4" xfId="0" applyNumberFormat="1" applyFont="1" applyBorder="1"/>
    <xf numFmtId="178" fontId="82" fillId="0" borderId="6" xfId="0" applyNumberFormat="1" applyFont="1" applyBorder="1"/>
    <xf numFmtId="178" fontId="81" fillId="0" borderId="4" xfId="0" applyNumberFormat="1" applyFont="1" applyBorder="1"/>
    <xf numFmtId="178" fontId="82" fillId="0" borderId="0" xfId="0" applyNumberFormat="1" applyFont="1" applyBorder="1"/>
    <xf numFmtId="0" fontId="33" fillId="42" borderId="5" xfId="0" applyFont="1" applyFill="1" applyBorder="1"/>
    <xf numFmtId="0" fontId="74" fillId="0" borderId="17" xfId="0" applyFont="1" applyBorder="1"/>
    <xf numFmtId="0" fontId="33" fillId="0" borderId="45" xfId="0" applyFont="1" applyBorder="1"/>
    <xf numFmtId="178" fontId="78" fillId="0" borderId="17" xfId="0" applyNumberFormat="1" applyFont="1" applyBorder="1"/>
    <xf numFmtId="178" fontId="82" fillId="0" borderId="23" xfId="0" applyNumberFormat="1" applyFont="1" applyBorder="1"/>
    <xf numFmtId="178" fontId="78" fillId="0" borderId="21" xfId="0" applyNumberFormat="1" applyFont="1" applyBorder="1"/>
    <xf numFmtId="0" fontId="74" fillId="42" borderId="0" xfId="0" applyFont="1" applyFill="1"/>
    <xf numFmtId="178" fontId="87" fillId="0" borderId="0" xfId="0" applyNumberFormat="1" applyFont="1" applyBorder="1"/>
    <xf numFmtId="0" fontId="36" fillId="0" borderId="0" xfId="0" applyFont="1" applyAlignment="1">
      <alignment horizontal="left" indent="1"/>
    </xf>
    <xf numFmtId="9" fontId="89" fillId="6" borderId="0" xfId="2" applyFont="1" applyFill="1" applyBorder="1" applyAlignment="1" applyProtection="1">
      <alignment vertical="center"/>
    </xf>
    <xf numFmtId="9" fontId="89" fillId="6" borderId="34" xfId="2" applyFont="1" applyFill="1" applyBorder="1" applyAlignment="1" applyProtection="1">
      <alignment vertical="center"/>
    </xf>
    <xf numFmtId="10" fontId="87" fillId="6" borderId="34" xfId="0" applyNumberFormat="1" applyFont="1" applyFill="1" applyBorder="1"/>
    <xf numFmtId="0" fontId="9" fillId="0" borderId="17" xfId="0" applyFont="1" applyBorder="1"/>
    <xf numFmtId="0" fontId="9" fillId="42" borderId="17" xfId="0" applyFont="1" applyFill="1" applyBorder="1"/>
    <xf numFmtId="0" fontId="109" fillId="0" borderId="0" xfId="0" applyFont="1"/>
    <xf numFmtId="0" fontId="16" fillId="0" borderId="0" xfId="0" applyFont="1" applyAlignment="1">
      <alignment horizontal="center" vertical="center"/>
    </xf>
    <xf numFmtId="0" fontId="8" fillId="0" borderId="0" xfId="0" applyFont="1"/>
    <xf numFmtId="10" fontId="42" fillId="45" borderId="2" xfId="2" applyNumberFormat="1" applyFont="1" applyFill="1" applyBorder="1" applyProtection="1"/>
    <xf numFmtId="10" fontId="42" fillId="45" borderId="0" xfId="2" applyNumberFormat="1" applyFont="1" applyFill="1" applyBorder="1" applyProtection="1"/>
    <xf numFmtId="167" fontId="16" fillId="6" borderId="0" xfId="0" applyNumberFormat="1" applyFont="1" applyFill="1" applyBorder="1"/>
    <xf numFmtId="10" fontId="42" fillId="3" borderId="0" xfId="2" applyNumberFormat="1" applyFont="1" applyFill="1" applyBorder="1" applyProtection="1"/>
    <xf numFmtId="166" fontId="16" fillId="6" borderId="0" xfId="0" applyNumberFormat="1" applyFont="1" applyFill="1" applyBorder="1"/>
    <xf numFmtId="10" fontId="87" fillId="6" borderId="0" xfId="0" applyNumberFormat="1" applyFont="1" applyFill="1"/>
    <xf numFmtId="0" fontId="33" fillId="0" borderId="48" xfId="0" applyFont="1" applyBorder="1"/>
    <xf numFmtId="0" fontId="16" fillId="0" borderId="48" xfId="0" applyFont="1" applyBorder="1"/>
    <xf numFmtId="10" fontId="16" fillId="0" borderId="48" xfId="0" applyNumberFormat="1" applyFont="1" applyBorder="1"/>
    <xf numFmtId="0" fontId="7" fillId="0" borderId="0" xfId="0" applyFont="1"/>
    <xf numFmtId="0" fontId="7" fillId="0" borderId="43" xfId="0" applyFont="1" applyBorder="1"/>
    <xf numFmtId="167" fontId="33" fillId="0" borderId="5" xfId="0" applyNumberFormat="1" applyFont="1" applyBorder="1"/>
    <xf numFmtId="0" fontId="7" fillId="0" borderId="5" xfId="0" applyFont="1" applyBorder="1"/>
    <xf numFmtId="0" fontId="7" fillId="0" borderId="39" xfId="0" applyFont="1" applyBorder="1"/>
    <xf numFmtId="0" fontId="7" fillId="0" borderId="38" xfId="0" applyFont="1" applyBorder="1"/>
    <xf numFmtId="0" fontId="7" fillId="0" borderId="34" xfId="0" applyFont="1" applyBorder="1"/>
    <xf numFmtId="17" fontId="7" fillId="0" borderId="38" xfId="0" applyNumberFormat="1" applyFont="1" applyBorder="1"/>
    <xf numFmtId="10" fontId="7" fillId="0" borderId="34" xfId="2" applyNumberFormat="1" applyFont="1" applyBorder="1"/>
    <xf numFmtId="0" fontId="7" fillId="0" borderId="37" xfId="0" applyFont="1" applyBorder="1"/>
    <xf numFmtId="10" fontId="33" fillId="0" borderId="35" xfId="2" applyNumberFormat="1" applyFont="1" applyBorder="1"/>
    <xf numFmtId="0" fontId="7" fillId="46" borderId="0" xfId="0" applyFont="1" applyFill="1" applyBorder="1"/>
    <xf numFmtId="0" fontId="7" fillId="46" borderId="4" xfId="0" applyFont="1" applyFill="1" applyBorder="1"/>
    <xf numFmtId="0" fontId="33" fillId="0" borderId="68" xfId="0" applyFont="1" applyBorder="1"/>
    <xf numFmtId="0" fontId="16" fillId="0" borderId="69" xfId="0" applyFont="1" applyBorder="1"/>
    <xf numFmtId="9" fontId="7" fillId="0" borderId="17" xfId="0" applyNumberFormat="1" applyFont="1" applyBorder="1"/>
    <xf numFmtId="10" fontId="0" fillId="0" borderId="0" xfId="2" applyNumberFormat="1" applyFont="1"/>
    <xf numFmtId="10" fontId="0" fillId="0" borderId="1" xfId="2" applyNumberFormat="1" applyFont="1" applyBorder="1"/>
    <xf numFmtId="3" fontId="0" fillId="0" borderId="1" xfId="0" applyNumberFormat="1" applyBorder="1"/>
    <xf numFmtId="181" fontId="0" fillId="0" borderId="1" xfId="1" applyNumberFormat="1" applyFont="1" applyBorder="1"/>
    <xf numFmtId="181" fontId="0" fillId="0" borderId="0" xfId="1" applyNumberFormat="1" applyFont="1"/>
    <xf numFmtId="3" fontId="0" fillId="0" borderId="0" xfId="0" applyNumberFormat="1"/>
    <xf numFmtId="0" fontId="0" fillId="0" borderId="1" xfId="0" applyBorder="1"/>
    <xf numFmtId="3" fontId="33" fillId="0" borderId="1" xfId="0" applyNumberFormat="1" applyFont="1" applyBorder="1"/>
    <xf numFmtId="9" fontId="0" fillId="0" borderId="1" xfId="2" applyFont="1" applyBorder="1"/>
    <xf numFmtId="166" fontId="0" fillId="0" borderId="1" xfId="1" applyFont="1" applyBorder="1"/>
    <xf numFmtId="2" fontId="0" fillId="0" borderId="0" xfId="2" applyNumberFormat="1" applyFont="1"/>
    <xf numFmtId="166" fontId="0" fillId="0" borderId="0" xfId="2" applyNumberFormat="1" applyFont="1"/>
    <xf numFmtId="166" fontId="0" fillId="0" borderId="1" xfId="0" applyNumberFormat="1" applyBorder="1"/>
    <xf numFmtId="166" fontId="0" fillId="0" borderId="0" xfId="0" applyNumberFormat="1"/>
    <xf numFmtId="166" fontId="0" fillId="0" borderId="0" xfId="1" applyFont="1"/>
    <xf numFmtId="0" fontId="79" fillId="0" borderId="0" xfId="0" applyFont="1" applyBorder="1" applyAlignment="1"/>
    <xf numFmtId="0" fontId="79" fillId="0" borderId="0" xfId="0" applyFont="1" applyFill="1" applyBorder="1" applyAlignment="1"/>
    <xf numFmtId="167" fontId="76" fillId="0" borderId="42" xfId="1" applyNumberFormat="1" applyFont="1" applyFill="1" applyBorder="1" applyAlignment="1" applyProtection="1">
      <alignment vertical="center"/>
    </xf>
    <xf numFmtId="9" fontId="74" fillId="0" borderId="0" xfId="2" applyNumberFormat="1" applyFont="1" applyFill="1"/>
    <xf numFmtId="0" fontId="75" fillId="0" borderId="0" xfId="0" applyFont="1" applyFill="1" applyBorder="1"/>
    <xf numFmtId="0" fontId="107" fillId="0" borderId="0" xfId="0" applyFont="1" applyFill="1"/>
    <xf numFmtId="0" fontId="74" fillId="0" borderId="0" xfId="0" applyFont="1" applyFill="1" applyBorder="1"/>
    <xf numFmtId="0" fontId="15" fillId="0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9" fontId="6" fillId="0" borderId="0" xfId="0" applyNumberFormat="1" applyFont="1"/>
    <xf numFmtId="167" fontId="6" fillId="0" borderId="0" xfId="1" applyNumberFormat="1" applyFont="1"/>
    <xf numFmtId="167" fontId="6" fillId="0" borderId="0" xfId="1" applyNumberFormat="1" applyFont="1" applyAlignment="1">
      <alignment horizontal="right"/>
    </xf>
    <xf numFmtId="0" fontId="33" fillId="4" borderId="0" xfId="0" applyFont="1" applyFill="1"/>
    <xf numFmtId="167" fontId="6" fillId="0" borderId="0" xfId="0" applyNumberFormat="1" applyFont="1"/>
    <xf numFmtId="167" fontId="6" fillId="43" borderId="0" xfId="1" applyNumberFormat="1" applyFont="1" applyFill="1"/>
    <xf numFmtId="166" fontId="6" fillId="0" borderId="0" xfId="1" applyFont="1"/>
    <xf numFmtId="0" fontId="94" fillId="49" borderId="56" xfId="0" applyFont="1" applyFill="1" applyBorder="1"/>
    <xf numFmtId="0" fontId="94" fillId="49" borderId="57" xfId="0" applyFont="1" applyFill="1" applyBorder="1" applyAlignment="1">
      <alignment horizontal="right" wrapText="1"/>
    </xf>
    <xf numFmtId="0" fontId="94" fillId="49" borderId="58" xfId="0" applyFont="1" applyFill="1" applyBorder="1" applyAlignment="1">
      <alignment horizontal="right" wrapText="1"/>
    </xf>
    <xf numFmtId="0" fontId="94" fillId="0" borderId="59" xfId="0" applyFont="1" applyBorder="1" applyAlignment="1">
      <alignment horizontal="left"/>
    </xf>
    <xf numFmtId="3" fontId="94" fillId="0" borderId="56" xfId="0" applyNumberFormat="1" applyFont="1" applyBorder="1"/>
    <xf numFmtId="166" fontId="94" fillId="0" borderId="58" xfId="0" applyNumberFormat="1" applyFont="1" applyBorder="1"/>
    <xf numFmtId="0" fontId="95" fillId="0" borderId="38" xfId="0" applyFont="1" applyBorder="1" applyAlignment="1">
      <alignment horizontal="left" indent="1"/>
    </xf>
    <xf numFmtId="167" fontId="95" fillId="0" borderId="38" xfId="1" applyNumberFormat="1" applyFont="1" applyBorder="1" applyAlignment="1"/>
    <xf numFmtId="167" fontId="95" fillId="0" borderId="34" xfId="1" applyNumberFormat="1" applyFont="1" applyBorder="1" applyAlignment="1"/>
    <xf numFmtId="0" fontId="94" fillId="0" borderId="60" xfId="0" applyFont="1" applyBorder="1" applyAlignment="1">
      <alignment horizontal="left"/>
    </xf>
    <xf numFmtId="167" fontId="94" fillId="0" borderId="60" xfId="1" applyNumberFormat="1" applyFont="1" applyBorder="1" applyAlignment="1"/>
    <xf numFmtId="0" fontId="34" fillId="43" borderId="0" xfId="0" applyFont="1" applyFill="1"/>
    <xf numFmtId="167" fontId="94" fillId="0" borderId="59" xfId="1" applyNumberFormat="1" applyFont="1" applyBorder="1" applyAlignment="1"/>
    <xf numFmtId="167" fontId="94" fillId="0" borderId="62" xfId="1" applyNumberFormat="1" applyFont="1" applyBorder="1" applyAlignment="1"/>
    <xf numFmtId="0" fontId="94" fillId="49" borderId="1" xfId="0" applyFont="1" applyFill="1" applyBorder="1" applyAlignment="1">
      <alignment horizontal="left"/>
    </xf>
    <xf numFmtId="167" fontId="94" fillId="49" borderId="63" xfId="1" applyNumberFormat="1" applyFont="1" applyFill="1" applyBorder="1" applyAlignment="1"/>
    <xf numFmtId="167" fontId="94" fillId="49" borderId="64" xfId="1" applyNumberFormat="1" applyFont="1" applyFill="1" applyBorder="1" applyAlignment="1"/>
    <xf numFmtId="167" fontId="94" fillId="49" borderId="1" xfId="0" applyNumberFormat="1" applyFont="1" applyFill="1" applyBorder="1"/>
    <xf numFmtId="166" fontId="34" fillId="0" borderId="0" xfId="1" applyFont="1"/>
    <xf numFmtId="3" fontId="34" fillId="0" borderId="0" xfId="0" applyNumberFormat="1" applyFont="1"/>
    <xf numFmtId="166" fontId="34" fillId="0" borderId="0" xfId="0" applyNumberFormat="1" applyFont="1"/>
    <xf numFmtId="0" fontId="94" fillId="49" borderId="70" xfId="0" applyFont="1" applyFill="1" applyBorder="1" applyAlignment="1">
      <alignment horizontal="right" wrapText="1"/>
    </xf>
    <xf numFmtId="167" fontId="95" fillId="0" borderId="36" xfId="1" applyNumberFormat="1" applyFont="1" applyBorder="1" applyAlignment="1"/>
    <xf numFmtId="167" fontId="94" fillId="0" borderId="61" xfId="1" applyNumberFormat="1" applyFont="1" applyBorder="1" applyAlignment="1"/>
    <xf numFmtId="167" fontId="94" fillId="0" borderId="71" xfId="1" applyNumberFormat="1" applyFont="1" applyBorder="1" applyAlignment="1"/>
    <xf numFmtId="0" fontId="33" fillId="0" borderId="43" xfId="0" applyFont="1" applyBorder="1"/>
    <xf numFmtId="3" fontId="33" fillId="0" borderId="39" xfId="0" applyNumberFormat="1" applyFont="1" applyBorder="1" applyAlignment="1">
      <alignment horizontal="right"/>
    </xf>
    <xf numFmtId="0" fontId="33" fillId="0" borderId="38" xfId="0" applyFont="1" applyBorder="1"/>
    <xf numFmtId="3" fontId="33" fillId="0" borderId="34" xfId="0" applyNumberFormat="1" applyFont="1" applyBorder="1" applyAlignment="1">
      <alignment horizontal="right"/>
    </xf>
    <xf numFmtId="167" fontId="33" fillId="46" borderId="34" xfId="0" applyNumberFormat="1" applyFont="1" applyFill="1" applyBorder="1" applyAlignment="1">
      <alignment horizontal="right"/>
    </xf>
    <xf numFmtId="10" fontId="34" fillId="0" borderId="0" xfId="2" applyNumberFormat="1" applyFont="1"/>
    <xf numFmtId="167" fontId="34" fillId="0" borderId="1" xfId="0" applyNumberFormat="1" applyFont="1" applyBorder="1"/>
    <xf numFmtId="167" fontId="38" fillId="0" borderId="1" xfId="0" applyNumberFormat="1" applyFont="1" applyBorder="1"/>
    <xf numFmtId="10" fontId="33" fillId="0" borderId="0" xfId="0" applyNumberFormat="1" applyFont="1"/>
    <xf numFmtId="0" fontId="34" fillId="6" borderId="0" xfId="0" applyFont="1" applyFill="1"/>
    <xf numFmtId="167" fontId="34" fillId="6" borderId="0" xfId="0" applyNumberFormat="1" applyFont="1" applyFill="1"/>
    <xf numFmtId="0" fontId="5" fillId="0" borderId="0" xfId="0" applyFont="1"/>
    <xf numFmtId="0" fontId="5" fillId="46" borderId="4" xfId="0" applyFont="1" applyFill="1" applyBorder="1"/>
    <xf numFmtId="167" fontId="94" fillId="49" borderId="72" xfId="1" applyNumberFormat="1" applyFont="1" applyFill="1" applyBorder="1" applyAlignment="1"/>
    <xf numFmtId="166" fontId="0" fillId="0" borderId="0" xfId="1" applyFont="1" applyBorder="1"/>
    <xf numFmtId="0" fontId="0" fillId="0" borderId="0" xfId="0" applyBorder="1"/>
    <xf numFmtId="10" fontId="0" fillId="0" borderId="0" xfId="2" applyNumberFormat="1" applyFont="1" applyBorder="1"/>
    <xf numFmtId="166" fontId="0" fillId="0" borderId="0" xfId="0" applyNumberFormat="1" applyBorder="1"/>
    <xf numFmtId="10" fontId="87" fillId="6" borderId="4" xfId="0" applyNumberFormat="1" applyFont="1" applyFill="1" applyBorder="1"/>
    <xf numFmtId="10" fontId="87" fillId="6" borderId="35" xfId="0" applyNumberFormat="1" applyFont="1" applyFill="1" applyBorder="1"/>
    <xf numFmtId="0" fontId="4" fillId="0" borderId="0" xfId="0" applyFont="1"/>
    <xf numFmtId="0" fontId="4" fillId="3" borderId="0" xfId="0" applyFont="1" applyFill="1"/>
    <xf numFmtId="167" fontId="4" fillId="0" borderId="0" xfId="1" applyNumberFormat="1" applyFont="1"/>
    <xf numFmtId="0" fontId="3" fillId="0" borderId="0" xfId="0" applyFont="1"/>
    <xf numFmtId="182" fontId="42" fillId="3" borderId="2" xfId="1" applyNumberFormat="1" applyFont="1" applyFill="1" applyBorder="1" applyProtection="1"/>
    <xf numFmtId="0" fontId="2" fillId="0" borderId="0" xfId="0" applyFont="1"/>
    <xf numFmtId="0" fontId="90" fillId="42" borderId="24" xfId="0" applyFont="1" applyFill="1" applyBorder="1" applyAlignment="1">
      <alignment horizontal="center" vertical="top"/>
    </xf>
    <xf numFmtId="0" fontId="90" fillId="42" borderId="4" xfId="0" applyFont="1" applyFill="1" applyBorder="1" applyAlignment="1">
      <alignment horizontal="center" vertical="top"/>
    </xf>
    <xf numFmtId="0" fontId="33" fillId="0" borderId="0" xfId="0" applyFont="1" applyAlignment="1">
      <alignment horizontal="center"/>
    </xf>
    <xf numFmtId="167" fontId="16" fillId="6" borderId="9" xfId="0" applyNumberFormat="1" applyFont="1" applyFill="1" applyBorder="1" applyAlignment="1">
      <alignment horizontal="center" vertical="center"/>
    </xf>
    <xf numFmtId="167" fontId="16" fillId="6" borderId="12" xfId="0" applyNumberFormat="1" applyFont="1" applyFill="1" applyBorder="1" applyAlignment="1">
      <alignment horizontal="center" vertical="center"/>
    </xf>
    <xf numFmtId="167" fontId="16" fillId="6" borderId="1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33" fillId="0" borderId="0" xfId="2" applyFont="1" applyAlignment="1">
      <alignment horizontal="center"/>
    </xf>
    <xf numFmtId="0" fontId="38" fillId="0" borderId="1" xfId="0" applyFont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70" fillId="3" borderId="23" xfId="0" applyFont="1" applyFill="1" applyBorder="1" applyAlignment="1">
      <alignment vertical="center"/>
    </xf>
    <xf numFmtId="0" fontId="3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right"/>
    </xf>
    <xf numFmtId="0" fontId="1" fillId="0" borderId="0" xfId="0" applyFont="1"/>
  </cellXfs>
  <cellStyles count="259">
    <cellStyle name="20% - Accent1" xfId="31" builtinId="30" customBuiltin="1"/>
    <cellStyle name="20% - Accent1 2" xfId="144" xr:uid="{5BFDBCA8-5FED-4E80-BE79-9162A92A23F1}"/>
    <cellStyle name="20% - Accent1 3" xfId="204" xr:uid="{FDF2482C-8C37-459F-AE53-B3906EE1A294}"/>
    <cellStyle name="20% - Accent2" xfId="34" builtinId="34" customBuiltin="1"/>
    <cellStyle name="20% - Accent2 2" xfId="146" xr:uid="{43DDEBD8-3D14-48F5-80D9-F15EAD90DCB9}"/>
    <cellStyle name="20% - Accent2 3" xfId="206" xr:uid="{88F4466B-30D8-4E88-9902-F35E6000E52D}"/>
    <cellStyle name="20% - Accent3" xfId="37" builtinId="38" customBuiltin="1"/>
    <cellStyle name="20% - Accent3 2" xfId="148" xr:uid="{9B89B75E-5E15-4EA1-8EB4-E410855D53DF}"/>
    <cellStyle name="20% - Accent3 3" xfId="208" xr:uid="{08A7875D-DF59-48ED-B97A-1E1109BA3912}"/>
    <cellStyle name="20% - Accent4" xfId="40" builtinId="42" customBuiltin="1"/>
    <cellStyle name="20% - Accent4 2" xfId="150" xr:uid="{A051465F-5093-40CE-B40E-4449E1E55BAC}"/>
    <cellStyle name="20% - Accent4 3" xfId="210" xr:uid="{3EA1F85B-8D19-45B6-AEE0-635E5044F1ED}"/>
    <cellStyle name="20% - Accent5" xfId="43" builtinId="46" customBuiltin="1"/>
    <cellStyle name="20% - Accent5 2" xfId="152" xr:uid="{974FB66C-A729-4F41-B20B-4ED493C3A749}"/>
    <cellStyle name="20% - Accent5 3" xfId="212" xr:uid="{241B4DE4-B485-4744-A761-F4F16EB223FF}"/>
    <cellStyle name="20% - Accent6" xfId="46" builtinId="50" customBuiltin="1"/>
    <cellStyle name="20% - Accent6 2" xfId="154" xr:uid="{A03399EB-AEB1-40E8-9765-8A7D5909A9A5}"/>
    <cellStyle name="20% - Accent6 3" xfId="214" xr:uid="{9E2C9C3B-CB66-46F3-A209-B01F9350F5D5}"/>
    <cellStyle name="40% - Accent1" xfId="32" builtinId="31" customBuiltin="1"/>
    <cellStyle name="40% - Accent1 2" xfId="145" xr:uid="{213952D5-628D-4395-800C-5A40EE0CC3F2}"/>
    <cellStyle name="40% - Accent1 3" xfId="205" xr:uid="{09915450-8E24-4EE8-BEC6-43626BDDDCFF}"/>
    <cellStyle name="40% - Accent2" xfId="35" builtinId="35" customBuiltin="1"/>
    <cellStyle name="40% - Accent2 2" xfId="147" xr:uid="{C3EC3372-BC2F-48BE-B3D3-F8DF576DCED8}"/>
    <cellStyle name="40% - Accent2 3" xfId="207" xr:uid="{9E62D0B8-506E-4C92-B43A-39C4B90C8FC1}"/>
    <cellStyle name="40% - Accent3" xfId="38" builtinId="39" customBuiltin="1"/>
    <cellStyle name="40% - Accent3 2" xfId="149" xr:uid="{66741B19-E567-4811-B9FF-C68DA9313FB9}"/>
    <cellStyle name="40% - Accent3 3" xfId="209" xr:uid="{964BCD36-9F58-4F40-BB39-CF3CB548B54F}"/>
    <cellStyle name="40% - Accent4" xfId="41" builtinId="43" customBuiltin="1"/>
    <cellStyle name="40% - Accent4 2" xfId="151" xr:uid="{0BBA7D3D-DA17-4BDE-BA3F-2FA94E8BD2F4}"/>
    <cellStyle name="40% - Accent4 3" xfId="211" xr:uid="{266C59A6-EDFB-4CB9-9267-647DE9BFDBE1}"/>
    <cellStyle name="40% - Accent5" xfId="44" builtinId="47" customBuiltin="1"/>
    <cellStyle name="40% - Accent5 2" xfId="153" xr:uid="{D8A30C43-53DF-4DA1-869B-6DE01445BAD9}"/>
    <cellStyle name="40% - Accent5 3" xfId="213" xr:uid="{A2CDA458-5A75-4B0B-A622-DE1838FCD409}"/>
    <cellStyle name="40% - Accent6" xfId="47" builtinId="51" customBuiltin="1"/>
    <cellStyle name="40% - Accent6 2" xfId="155" xr:uid="{572D1C77-8D3A-4E57-9F44-0A5148E0B059}"/>
    <cellStyle name="40% - Accent6 3" xfId="215" xr:uid="{9AD8F3AF-6A9F-4446-BA67-B9EDE1FE61B6}"/>
    <cellStyle name="60% - Accent1 2" xfId="60" xr:uid="{00000000-0005-0000-0000-00003C000000}"/>
    <cellStyle name="60% - Accent2 2" xfId="61" xr:uid="{00000000-0005-0000-0000-00003D000000}"/>
    <cellStyle name="60% - Accent3 2" xfId="62" xr:uid="{00000000-0005-0000-0000-00003E000000}"/>
    <cellStyle name="60% - Accent4 2" xfId="63" xr:uid="{00000000-0005-0000-0000-00003F000000}"/>
    <cellStyle name="60% - Accent5 2" xfId="64" xr:uid="{00000000-0005-0000-0000-000040000000}"/>
    <cellStyle name="60% - Accent6 2" xfId="65" xr:uid="{00000000-0005-0000-0000-000041000000}"/>
    <cellStyle name="Accent1" xfId="30" builtinId="29" customBuiltin="1"/>
    <cellStyle name="Accent2" xfId="33" builtinId="33" customBuiltin="1"/>
    <cellStyle name="Accent3" xfId="36" builtinId="37" customBuiltin="1"/>
    <cellStyle name="Accent4" xfId="39" builtinId="41" customBuiltin="1"/>
    <cellStyle name="Accent5" xfId="42" builtinId="45" customBuiltin="1"/>
    <cellStyle name="Accent6" xfId="45" builtinId="49" customBuiltin="1"/>
    <cellStyle name="Bad" xfId="21" builtinId="27" customBuiltin="1"/>
    <cellStyle name="Calculation" xfId="24" builtinId="22" customBuiltin="1"/>
    <cellStyle name="Check Cell" xfId="26" builtinId="23" customBuiltin="1"/>
    <cellStyle name="Comma" xfId="1" builtinId="3"/>
    <cellStyle name="Comma 2" xfId="9" xr:uid="{00000000-0005-0000-0000-000001000000}"/>
    <cellStyle name="Comma 2 10" xfId="142" xr:uid="{92268461-445A-44A1-A68C-D5874FC6CCEE}"/>
    <cellStyle name="Comma 2 11" xfId="202" xr:uid="{C66F0456-9C1B-4A29-98A9-87E5772358B2}"/>
    <cellStyle name="Comma 2 2" xfId="71" xr:uid="{00000000-0005-0000-0000-00001D000000}"/>
    <cellStyle name="Comma 2 2 2" xfId="74" xr:uid="{00000000-0005-0000-0000-00001E000000}"/>
    <cellStyle name="Comma 2 2 2 2" xfId="82" xr:uid="{00000000-0005-0000-0000-00001F000000}"/>
    <cellStyle name="Comma 2 2 2 2 2" xfId="99" xr:uid="{00000000-0005-0000-0000-000020000000}"/>
    <cellStyle name="Comma 2 2 2 2 2 2" xfId="131" xr:uid="{00000000-0005-0000-0000-000021000000}"/>
    <cellStyle name="Comma 2 2 2 2 3" xfId="115" xr:uid="{00000000-0005-0000-0000-000022000000}"/>
    <cellStyle name="Comma 2 2 2 3" xfId="91" xr:uid="{00000000-0005-0000-0000-000023000000}"/>
    <cellStyle name="Comma 2 2 2 3 2" xfId="123" xr:uid="{00000000-0005-0000-0000-000024000000}"/>
    <cellStyle name="Comma 2 2 2 4" xfId="107" xr:uid="{00000000-0005-0000-0000-000025000000}"/>
    <cellStyle name="Comma 2 2 3" xfId="78" xr:uid="{00000000-0005-0000-0000-000026000000}"/>
    <cellStyle name="Comma 2 2 3 2" xfId="95" xr:uid="{00000000-0005-0000-0000-000027000000}"/>
    <cellStyle name="Comma 2 2 3 2 2" xfId="127" xr:uid="{00000000-0005-0000-0000-000028000000}"/>
    <cellStyle name="Comma 2 2 3 3" xfId="111" xr:uid="{00000000-0005-0000-0000-000029000000}"/>
    <cellStyle name="Comma 2 2 4" xfId="87" xr:uid="{00000000-0005-0000-0000-00002A000000}"/>
    <cellStyle name="Comma 2 2 4 2" xfId="119" xr:uid="{00000000-0005-0000-0000-00002B000000}"/>
    <cellStyle name="Comma 2 2 5" xfId="103" xr:uid="{00000000-0005-0000-0000-00002C000000}"/>
    <cellStyle name="Comma 2 3" xfId="72" xr:uid="{00000000-0005-0000-0000-00002D000000}"/>
    <cellStyle name="Comma 2 3 2" xfId="80" xr:uid="{00000000-0005-0000-0000-00002E000000}"/>
    <cellStyle name="Comma 2 3 2 2" xfId="97" xr:uid="{00000000-0005-0000-0000-00002F000000}"/>
    <cellStyle name="Comma 2 3 2 2 2" xfId="129" xr:uid="{00000000-0005-0000-0000-000030000000}"/>
    <cellStyle name="Comma 2 3 2 3" xfId="113" xr:uid="{00000000-0005-0000-0000-000031000000}"/>
    <cellStyle name="Comma 2 3 3" xfId="89" xr:uid="{00000000-0005-0000-0000-000032000000}"/>
    <cellStyle name="Comma 2 3 3 2" xfId="121" xr:uid="{00000000-0005-0000-0000-000033000000}"/>
    <cellStyle name="Comma 2 3 4" xfId="105" xr:uid="{00000000-0005-0000-0000-000034000000}"/>
    <cellStyle name="Comma 2 4" xfId="76" xr:uid="{00000000-0005-0000-0000-000035000000}"/>
    <cellStyle name="Comma 2 4 2" xfId="93" xr:uid="{00000000-0005-0000-0000-000036000000}"/>
    <cellStyle name="Comma 2 4 2 2" xfId="125" xr:uid="{00000000-0005-0000-0000-000037000000}"/>
    <cellStyle name="Comma 2 4 3" xfId="109" xr:uid="{00000000-0005-0000-0000-000038000000}"/>
    <cellStyle name="Comma 2 5" xfId="85" xr:uid="{00000000-0005-0000-0000-000039000000}"/>
    <cellStyle name="Comma 2 5 2" xfId="117" xr:uid="{00000000-0005-0000-0000-00003A000000}"/>
    <cellStyle name="Comma 2 6" xfId="101" xr:uid="{00000000-0005-0000-0000-00003B000000}"/>
    <cellStyle name="Comma 2 7" xfId="67" xr:uid="{00000000-0005-0000-0000-00003C000000}"/>
    <cellStyle name="Comma 2 8" xfId="51" xr:uid="{00000000-0005-0000-0000-00001C000000}"/>
    <cellStyle name="Comma 2 9" xfId="135" xr:uid="{B3C3F939-714C-4DD4-8507-FE5D662ECD5B}"/>
    <cellStyle name="Comma 2 9 2" xfId="195" xr:uid="{F2FC113D-4F51-4D75-9733-156B81167EEA}"/>
    <cellStyle name="Comma 2 9 3" xfId="255" xr:uid="{B4567168-3DC9-47D0-9F25-39D7ADEB11A2}"/>
    <cellStyle name="Comma 3" xfId="3" xr:uid="{00000000-0005-0000-0000-000002000000}"/>
    <cellStyle name="Comma 3 2" xfId="73" xr:uid="{00000000-0005-0000-0000-00003E000000}"/>
    <cellStyle name="Comma 3 2 2" xfId="81" xr:uid="{00000000-0005-0000-0000-00003F000000}"/>
    <cellStyle name="Comma 3 2 2 2" xfId="98" xr:uid="{00000000-0005-0000-0000-000040000000}"/>
    <cellStyle name="Comma 3 2 2 2 2" xfId="130" xr:uid="{00000000-0005-0000-0000-000041000000}"/>
    <cellStyle name="Comma 3 2 2 2 2 2" xfId="191" xr:uid="{DF75DA5B-211D-492E-B07F-776CB3412CDC}"/>
    <cellStyle name="Comma 3 2 2 2 2 3" xfId="251" xr:uid="{B0D2678C-BB37-4A52-9D13-08F3173943CF}"/>
    <cellStyle name="Comma 3 2 2 2 3" xfId="175" xr:uid="{0B123F57-56C2-48C6-ACDF-7E5CD84EC031}"/>
    <cellStyle name="Comma 3 2 2 2 4" xfId="235" xr:uid="{7E8CBBDC-2E36-4F27-9B2B-56D42C894459}"/>
    <cellStyle name="Comma 3 2 2 3" xfId="114" xr:uid="{00000000-0005-0000-0000-000042000000}"/>
    <cellStyle name="Comma 3 2 2 3 2" xfId="183" xr:uid="{1C7376E0-877C-47FF-BD13-BD903BC15C8B}"/>
    <cellStyle name="Comma 3 2 2 3 3" xfId="243" xr:uid="{08CC8440-2CD3-48B8-BF9C-08F662DD5D4C}"/>
    <cellStyle name="Comma 3 2 2 4" xfId="167" xr:uid="{B686ED7E-882A-4FD3-84CA-0FF42E7378E9}"/>
    <cellStyle name="Comma 3 2 2 5" xfId="227" xr:uid="{2057FAF8-09F5-4F1A-BA27-2AC9522F3C04}"/>
    <cellStyle name="Comma 3 2 3" xfId="90" xr:uid="{00000000-0005-0000-0000-000043000000}"/>
    <cellStyle name="Comma 3 2 3 2" xfId="122" xr:uid="{00000000-0005-0000-0000-000044000000}"/>
    <cellStyle name="Comma 3 2 3 2 2" xfId="187" xr:uid="{EF632F37-AA1E-410C-8B5C-3E6D0AB3B9A8}"/>
    <cellStyle name="Comma 3 2 3 2 3" xfId="247" xr:uid="{4427CF69-8C5F-4EF8-98A2-265994C3E2B2}"/>
    <cellStyle name="Comma 3 2 3 3" xfId="171" xr:uid="{5ADFECE3-1489-487E-A1F6-05BB2E0FC6C2}"/>
    <cellStyle name="Comma 3 2 3 4" xfId="231" xr:uid="{9E5AC0F1-8676-4D00-B680-A57D8F467027}"/>
    <cellStyle name="Comma 3 2 4" xfId="106" xr:uid="{00000000-0005-0000-0000-000045000000}"/>
    <cellStyle name="Comma 3 2 4 2" xfId="179" xr:uid="{A5B23C79-B0EF-44EC-89DB-F3ABFEF3005E}"/>
    <cellStyle name="Comma 3 2 4 3" xfId="239" xr:uid="{70AB7A5B-9D56-42B6-8D7D-F792DD1E0854}"/>
    <cellStyle name="Comma 3 2 5" xfId="163" xr:uid="{00025CFD-6812-4F61-B128-832535F9D4CC}"/>
    <cellStyle name="Comma 3 2 6" xfId="223" xr:uid="{C5DE6974-7EB2-45F1-88A5-E69FA1A4BA7A}"/>
    <cellStyle name="Comma 3 3" xfId="77" xr:uid="{00000000-0005-0000-0000-000046000000}"/>
    <cellStyle name="Comma 3 3 2" xfId="94" xr:uid="{00000000-0005-0000-0000-000047000000}"/>
    <cellStyle name="Comma 3 3 2 2" xfId="126" xr:uid="{00000000-0005-0000-0000-000048000000}"/>
    <cellStyle name="Comma 3 3 2 2 2" xfId="189" xr:uid="{77883082-FE4D-4E55-9F4F-780BD02A1876}"/>
    <cellStyle name="Comma 3 3 2 2 3" xfId="249" xr:uid="{320DB2D7-5385-4188-833E-2F2F81A538D2}"/>
    <cellStyle name="Comma 3 3 2 3" xfId="173" xr:uid="{CF04066F-328E-4DC9-90DE-E93F763176FA}"/>
    <cellStyle name="Comma 3 3 2 4" xfId="233" xr:uid="{26F1FD07-DBB9-41E6-87AD-534EDC11E8C5}"/>
    <cellStyle name="Comma 3 3 3" xfId="110" xr:uid="{00000000-0005-0000-0000-000049000000}"/>
    <cellStyle name="Comma 3 3 3 2" xfId="181" xr:uid="{BF758019-C25C-471C-B743-8F689AE67A02}"/>
    <cellStyle name="Comma 3 3 3 3" xfId="241" xr:uid="{3054F43C-11D4-4120-90E2-CEDFEE981C08}"/>
    <cellStyle name="Comma 3 3 4" xfId="165" xr:uid="{CAA963A2-50B4-437B-8030-1E6C9D3C93BF}"/>
    <cellStyle name="Comma 3 3 5" xfId="225" xr:uid="{4D6806A3-77C0-4516-8B4B-29B2FAF3B143}"/>
    <cellStyle name="Comma 3 4" xfId="86" xr:uid="{00000000-0005-0000-0000-00004A000000}"/>
    <cellStyle name="Comma 3 4 2" xfId="118" xr:uid="{00000000-0005-0000-0000-00004B000000}"/>
    <cellStyle name="Comma 3 4 2 2" xfId="185" xr:uid="{A49AFBDE-5CB1-4645-8A95-DAAA8E1179DC}"/>
    <cellStyle name="Comma 3 4 2 3" xfId="245" xr:uid="{D72DB9C2-77CB-414B-834F-1D39368C61BE}"/>
    <cellStyle name="Comma 3 4 3" xfId="169" xr:uid="{D8DFFB56-882A-41E3-A6BD-2531CDCCD652}"/>
    <cellStyle name="Comma 3 4 4" xfId="229" xr:uid="{5AA775DB-8D4C-4565-8047-25FA47B15DE2}"/>
    <cellStyle name="Comma 3 5" xfId="102" xr:uid="{00000000-0005-0000-0000-00004C000000}"/>
    <cellStyle name="Comma 3 5 2" xfId="177" xr:uid="{AC7E710F-1AE9-4783-B728-0BA089D11172}"/>
    <cellStyle name="Comma 3 5 3" xfId="237" xr:uid="{06BC4311-D565-4096-9CFB-7E4690A0F007}"/>
    <cellStyle name="Comma 3 6" xfId="54" xr:uid="{00000000-0005-0000-0000-00003D000000}"/>
    <cellStyle name="Comma 3 6 2" xfId="158" xr:uid="{B4CF35A5-0FC6-40A9-981B-26EF0BB1BCF3}"/>
    <cellStyle name="Comma 3 6 3" xfId="218" xr:uid="{C8442A43-2B5E-4C99-BCD0-321347914468}"/>
    <cellStyle name="Comma 4" xfId="14" xr:uid="{4D4541C1-CC63-4A69-8589-F3E429BFA0C2}"/>
    <cellStyle name="Comma 4 2" xfId="83" xr:uid="{00000000-0005-0000-0000-00004E000000}"/>
    <cellStyle name="Comma 4 2 2" xfId="100" xr:uid="{00000000-0005-0000-0000-00004F000000}"/>
    <cellStyle name="Comma 4 2 2 2" xfId="132" xr:uid="{00000000-0005-0000-0000-000050000000}"/>
    <cellStyle name="Comma 4 2 2 2 2" xfId="192" xr:uid="{1059F36E-4BA4-4330-AD57-220E20A32DE3}"/>
    <cellStyle name="Comma 4 2 2 2 3" xfId="252" xr:uid="{9617DCCE-A074-45B6-90A4-3915E1B6415E}"/>
    <cellStyle name="Comma 4 2 2 3" xfId="176" xr:uid="{01AD788F-4B04-4FAA-99F4-91BB365EC5C5}"/>
    <cellStyle name="Comma 4 2 2 4" xfId="236" xr:uid="{F3F68C5D-16C3-40F1-ABFB-E6F298AA0B8D}"/>
    <cellStyle name="Comma 4 2 3" xfId="116" xr:uid="{00000000-0005-0000-0000-000051000000}"/>
    <cellStyle name="Comma 4 2 3 2" xfId="184" xr:uid="{92E6C9B7-A301-4D21-AAC4-4850CE7AB4F7}"/>
    <cellStyle name="Comma 4 2 3 3" xfId="244" xr:uid="{515A2AFD-9D41-4706-9CA5-10DD34C7ECE0}"/>
    <cellStyle name="Comma 4 2 4" xfId="168" xr:uid="{82ADC1E4-94F5-4102-B7D4-F38B89A47060}"/>
    <cellStyle name="Comma 4 2 5" xfId="228" xr:uid="{77FE759E-F748-4AA6-8B60-A40902691FBE}"/>
    <cellStyle name="Comma 4 3" xfId="92" xr:uid="{00000000-0005-0000-0000-000052000000}"/>
    <cellStyle name="Comma 4 3 2" xfId="124" xr:uid="{00000000-0005-0000-0000-000053000000}"/>
    <cellStyle name="Comma 4 3 2 2" xfId="188" xr:uid="{89BD2286-78D5-47A2-9DCB-1121B9ECDCF1}"/>
    <cellStyle name="Comma 4 3 2 3" xfId="248" xr:uid="{FA66B2B4-7F6E-4830-9890-55FDBBA78A2F}"/>
    <cellStyle name="Comma 4 3 3" xfId="172" xr:uid="{994F092C-04A3-4CE8-B220-9A76B3826E95}"/>
    <cellStyle name="Comma 4 3 4" xfId="232" xr:uid="{F0BA3C27-7F33-419B-85D1-E80B166984C7}"/>
    <cellStyle name="Comma 4 4" xfId="108" xr:uid="{00000000-0005-0000-0000-000054000000}"/>
    <cellStyle name="Comma 4 4 2" xfId="180" xr:uid="{BBEC3E83-C1D9-4924-972E-D369389D6A8E}"/>
    <cellStyle name="Comma 4 4 3" xfId="240" xr:uid="{AD278EB6-AFAD-400B-BDF6-096E001D7C58}"/>
    <cellStyle name="Comma 4 5" xfId="75" xr:uid="{00000000-0005-0000-0000-000055000000}"/>
    <cellStyle name="Comma 4 5 2" xfId="164" xr:uid="{0AAD7EF7-BEA8-4EBE-8067-9E68316F5FFC}"/>
    <cellStyle name="Comma 4 5 3" xfId="224" xr:uid="{18241980-F893-4F2F-A055-15CDCACB235F}"/>
    <cellStyle name="Comma 4 6" xfId="56" xr:uid="{00000000-0005-0000-0000-00004D000000}"/>
    <cellStyle name="Comma 5" xfId="5" xr:uid="{00000000-0005-0000-0000-000003000000}"/>
    <cellStyle name="Comma 5 2" xfId="96" xr:uid="{00000000-0005-0000-0000-000057000000}"/>
    <cellStyle name="Comma 5 2 2" xfId="128" xr:uid="{00000000-0005-0000-0000-000058000000}"/>
    <cellStyle name="Comma 5 2 2 2" xfId="190" xr:uid="{CAD19F70-26E5-4D2B-BEFB-D5C67D7E765B}"/>
    <cellStyle name="Comma 5 2 2 3" xfId="250" xr:uid="{07300244-C8D8-4F1A-9C92-A82015BB8D5F}"/>
    <cellStyle name="Comma 5 2 3" xfId="174" xr:uid="{469B3243-8878-4F40-B333-3FB06187868D}"/>
    <cellStyle name="Comma 5 2 4" xfId="234" xr:uid="{DEA6D9F5-73F4-4638-99DC-4E8B0E10D905}"/>
    <cellStyle name="Comma 5 3" xfId="112" xr:uid="{00000000-0005-0000-0000-000059000000}"/>
    <cellStyle name="Comma 5 3 2" xfId="182" xr:uid="{7E8584C6-76A4-425F-98AB-2413F229E946}"/>
    <cellStyle name="Comma 5 3 3" xfId="242" xr:uid="{74395EBC-D277-4140-8F66-A505BDA8D269}"/>
    <cellStyle name="Comma 5 4" xfId="79" xr:uid="{00000000-0005-0000-0000-000056000000}"/>
    <cellStyle name="Comma 5 4 2" xfId="166" xr:uid="{AEB4A547-325D-4CBE-A305-12F0AFCC7316}"/>
    <cellStyle name="Comma 5 4 3" xfId="226" xr:uid="{5CB6DF45-F243-48CF-8B81-FCB771F0C713}"/>
    <cellStyle name="Comma 6" xfId="88" xr:uid="{00000000-0005-0000-0000-00005A000000}"/>
    <cellStyle name="Comma 6 2" xfId="120" xr:uid="{00000000-0005-0000-0000-00005B000000}"/>
    <cellStyle name="Comma 6 2 2" xfId="186" xr:uid="{370F4AE9-27EA-4271-A5C7-359BECA4BB59}"/>
    <cellStyle name="Comma 6 2 3" xfId="246" xr:uid="{255130DF-B13F-45EE-B7B8-9C87183D7DC8}"/>
    <cellStyle name="Comma 6 3" xfId="170" xr:uid="{37240D18-BD05-466E-8FF8-076989401637}"/>
    <cellStyle name="Comma 6 4" xfId="230" xr:uid="{9428A3AB-A4D6-438F-BA90-F2E7F3BD4A28}"/>
    <cellStyle name="Comma 7" xfId="104" xr:uid="{00000000-0005-0000-0000-00005C000000}"/>
    <cellStyle name="Comma 7 2" xfId="178" xr:uid="{A79E0257-B28C-4D93-AD53-E4F895F394B5}"/>
    <cellStyle name="Comma 7 3" xfId="238" xr:uid="{0C183F3B-6223-4E85-9D72-F74BABE5EC47}"/>
    <cellStyle name="Comma 8" xfId="49" xr:uid="{00000000-0005-0000-0000-000042000000}"/>
    <cellStyle name="Comma 8 2" xfId="157" xr:uid="{82067568-CB70-4D73-A7D6-3A4B304B8FAE}"/>
    <cellStyle name="Comma 8 3" xfId="217" xr:uid="{BF4FC001-AEF6-490E-A95D-E55B5D91E922}"/>
    <cellStyle name="Comma 9" xfId="137" xr:uid="{115C268C-D1AF-4FC9-AD90-2D157A9E4AB5}"/>
    <cellStyle name="Comma 9 2" xfId="197" xr:uid="{0B1C6FAA-5764-493B-AFF5-1844E3A23712}"/>
    <cellStyle name="Comma 9 3" xfId="257" xr:uid="{6E532EFC-ED13-4A47-85E4-DDFA10C96BBD}"/>
    <cellStyle name="Excel Built-in Comma" xfId="84" xr:uid="{00000000-0005-0000-0000-00005D000000}"/>
    <cellStyle name="Explanatory Text" xfId="28" builtinId="53" customBuilti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" xfId="11" builtinId="8"/>
    <cellStyle name="Input" xfId="22" builtinId="20" customBuiltin="1"/>
    <cellStyle name="Linked Cell" xfId="25" builtinId="24" customBuiltin="1"/>
    <cellStyle name="Neutral 2" xfId="58" xr:uid="{00000000-0005-0000-0000-000085000000}"/>
    <cellStyle name="Normal" xfId="0" builtinId="0"/>
    <cellStyle name="Normal 2" xfId="7" xr:uid="{00000000-0005-0000-0000-000005000000}"/>
    <cellStyle name="Normal 2 2" xfId="53" xr:uid="{00000000-0005-0000-0000-000069000000}"/>
    <cellStyle name="Normal 2 3" xfId="66" xr:uid="{00000000-0005-0000-0000-00006A000000}"/>
    <cellStyle name="Normal 2 4" xfId="50" xr:uid="{00000000-0005-0000-0000-000068000000}"/>
    <cellStyle name="Normal 2 5" xfId="140" xr:uid="{0B0CFD68-E751-43B1-BA1E-6ABC419557E6}"/>
    <cellStyle name="Normal 2 6" xfId="200" xr:uid="{DB10F5A1-E35E-4ABA-B4BE-F9A20C15CAC6}"/>
    <cellStyle name="Normal 3" xfId="4" xr:uid="{00000000-0005-0000-0000-000006000000}"/>
    <cellStyle name="Normal 3 2" xfId="69" xr:uid="{00000000-0005-0000-0000-00006C000000}"/>
    <cellStyle name="Normal 3 2 2" xfId="161" xr:uid="{130CDE46-105B-4C52-A16B-05BB8372D78A}"/>
    <cellStyle name="Normal 3 2 3" xfId="221" xr:uid="{C2A52A6E-2C6E-4ED8-B596-7693DD518189}"/>
    <cellStyle name="Normal 3 3" xfId="55" xr:uid="{00000000-0005-0000-0000-00006B000000}"/>
    <cellStyle name="Normal 3 4" xfId="133" xr:uid="{CC2D4B4D-75FE-450C-84A0-55F83434CB05}"/>
    <cellStyle name="Normal 3 4 2" xfId="193" xr:uid="{1A9C2039-DBB6-4EE0-B152-D0F7D1E1D459}"/>
    <cellStyle name="Normal 3 4 3" xfId="253" xr:uid="{5C7CF96B-47AE-4A50-968F-2A835F728827}"/>
    <cellStyle name="Normal 4" xfId="12" xr:uid="{46AB9D91-1F07-4103-8EE0-96E5008B69B5}"/>
    <cellStyle name="Normal 5" xfId="48" xr:uid="{00000000-0005-0000-0000-000086000000}"/>
    <cellStyle name="Normal 5 2" xfId="156" xr:uid="{D5741E92-A868-4191-A350-167F1605D817}"/>
    <cellStyle name="Normal 5 3" xfId="216" xr:uid="{4EE43523-4EEF-44E6-BD18-4CB6BAFCBC1E}"/>
    <cellStyle name="Normal 6" xfId="6" xr:uid="{00000000-0005-0000-0000-000007000000}"/>
    <cellStyle name="Normal 6 2" xfId="139" xr:uid="{5CCD5655-815E-4951-8A26-F9C9F575E3B1}"/>
    <cellStyle name="Normal 6 3" xfId="199" xr:uid="{B6E6DC92-28BB-4875-9C80-F3768681DC46}"/>
    <cellStyle name="Normal 7" xfId="136" xr:uid="{E98EB4E3-9A52-461D-81AB-B771BD6E8FD2}"/>
    <cellStyle name="Normal 7 2" xfId="196" xr:uid="{BFD3318A-402E-43BE-B785-05C9D27A0D64}"/>
    <cellStyle name="Normal 7 3" xfId="256" xr:uid="{6AF23659-BEBC-471B-A5B4-6FAA80FC6926}"/>
    <cellStyle name="Normal 8 2 6" xfId="10" xr:uid="{9EAA25A0-D5C4-48D2-9632-6F75F406E077}"/>
    <cellStyle name="Normal 8 2 6 2" xfId="143" xr:uid="{72ECC609-68F2-412B-9E43-E9E6B5E88687}"/>
    <cellStyle name="Normal 8 2 6 3" xfId="203" xr:uid="{99307E22-CD1C-4131-ACAE-65ED0DAB417F}"/>
    <cellStyle name="Note 2" xfId="59" xr:uid="{00000000-0005-0000-0000-00008C000000}"/>
    <cellStyle name="Note 2 2" xfId="160" xr:uid="{0B86DC4B-DA52-48E8-8C6A-F8CBFDCF4346}"/>
    <cellStyle name="Note 2 3" xfId="220" xr:uid="{288D87ED-2CAA-46F7-966E-43978DB1BDFE}"/>
    <cellStyle name="Output" xfId="23" builtinId="21" customBuiltin="1"/>
    <cellStyle name="Percent" xfId="2" builtinId="5"/>
    <cellStyle name="Percent 2" xfId="8" xr:uid="{00000000-0005-0000-0000-000009000000}"/>
    <cellStyle name="Percent 2 2" xfId="68" xr:uid="{00000000-0005-0000-0000-000072000000}"/>
    <cellStyle name="Percent 2 3" xfId="52" xr:uid="{00000000-0005-0000-0000-000071000000}"/>
    <cellStyle name="Percent 2 4" xfId="141" xr:uid="{22439DDE-DBEE-4140-8CDA-7FEFC467AC83}"/>
    <cellStyle name="Percent 2 5" xfId="201" xr:uid="{D285A8FD-E6D9-4145-A331-733845BB0F3C}"/>
    <cellStyle name="Percent 3" xfId="13" xr:uid="{238DCB49-01E5-493E-9DA2-0F1FA6E57484}"/>
    <cellStyle name="Percent 3 2" xfId="70" xr:uid="{00000000-0005-0000-0000-000073000000}"/>
    <cellStyle name="Percent 3 2 2" xfId="162" xr:uid="{384EC551-2C45-4646-A85E-72866D6EADE2}"/>
    <cellStyle name="Percent 3 2 3" xfId="222" xr:uid="{E330EED8-90B7-4315-9F62-EE86E4E1D718}"/>
    <cellStyle name="Percent 3 3" xfId="134" xr:uid="{ECC218C3-8596-41E4-AA2F-13C577BF131C}"/>
    <cellStyle name="Percent 3 3 2" xfId="194" xr:uid="{63938754-164D-4763-B656-300A574938B3}"/>
    <cellStyle name="Percent 3 3 3" xfId="254" xr:uid="{64EF9331-2F36-4027-9F01-FEE4A4DE766F}"/>
    <cellStyle name="Percent 4" xfId="57" xr:uid="{00000000-0005-0000-0000-00008D000000}"/>
    <cellStyle name="Percent 4 2" xfId="159" xr:uid="{A285D265-BE0C-46B4-AD9C-79F9E5A4CAAA}"/>
    <cellStyle name="Percent 4 3" xfId="219" xr:uid="{DFAAED6F-D927-4DDC-A693-5C4C152E56BE}"/>
    <cellStyle name="Percent 5" xfId="138" xr:uid="{BB13BB91-5C7B-4D69-9A27-9F5C6A4123B0}"/>
    <cellStyle name="Percent 5 2" xfId="198" xr:uid="{2652BCE1-49B9-4B67-9538-BACB6564C94E}"/>
    <cellStyle name="Percent 5 3" xfId="258" xr:uid="{C002D9D4-7C8F-4E12-929E-A5D66170057F}"/>
    <cellStyle name="Title" xfId="15" builtinId="15" customBuiltin="1"/>
    <cellStyle name="Total" xfId="29" builtinId="25" customBuiltin="1"/>
    <cellStyle name="Warning Text" xfId="2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editzikoyi.sharepoint.com/Shared%20Documents/Finance/Strategy%20Planning/FP&amp;A%20team%20folder/Unit%20Economics/Annual%20U.E%20Model,%20Avg%20loan%20book%20and%20Ovh%20by%20value-%20Nov%20V12.x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editzikoyi.sharepoint.com/Shared%20Documents/Finance/Strategy%20Planning/FP&amp;A%20team%20folder/Unit%20Economics/Annual%20U.E%20Model%20Avg%20loan%20book%20and%20Ovh%20by%20value-%20Feb%202021%20V15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_Summary"/>
      <sheetName val="By Product"/>
      <sheetName val="Overhead Allocation"/>
      <sheetName val="PL NTB By Band"/>
      <sheetName val="Current Portfolio"/>
      <sheetName val="PL Renewal By Band "/>
      <sheetName val="PL Top-Up By Band"/>
      <sheetName val="MBL NTB By Band"/>
      <sheetName val="MBL Renewal By Band"/>
      <sheetName val="MBL Top-up By Band"/>
      <sheetName val="Assumption_Sheet"/>
      <sheetName val="Sheet1"/>
      <sheetName val="Extrapolation"/>
      <sheetName val="Marketing Split"/>
    </sheetNames>
    <sheetDataSet>
      <sheetData sheetId="0">
        <row r="516">
          <cell r="F516">
            <v>932982</v>
          </cell>
          <cell r="I516">
            <v>1378165</v>
          </cell>
        </row>
      </sheetData>
      <sheetData sheetId="1">
        <row r="184">
          <cell r="D184">
            <v>-105600.85891341872</v>
          </cell>
          <cell r="G184">
            <v>-141081.62060223185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92">
          <cell r="B192">
            <v>3713954107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_Summary"/>
      <sheetName val="By Product"/>
      <sheetName val="Overhead Allocation"/>
      <sheetName val="PL NTB By Band"/>
      <sheetName val="Current Portfolio"/>
      <sheetName val="PL Renewal By Band "/>
      <sheetName val="PL Top-Up By Band"/>
      <sheetName val="MBL NTB By Band"/>
      <sheetName val="MBL Renewal By Band"/>
      <sheetName val="MBL Top-up By Band"/>
      <sheetName val="Assumption_Sheet"/>
      <sheetName val="Marketing Spl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E6">
            <v>0.41370000000000001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bokifx.com/" TargetMode="External"/><Relationship Id="rId2" Type="http://schemas.openxmlformats.org/officeDocument/2006/relationships/hyperlink" Target="https://abokifx.com/" TargetMode="External"/><Relationship Id="rId1" Type="http://schemas.openxmlformats.org/officeDocument/2006/relationships/hyperlink" Target="https://abokifx.com/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A5EF-C43E-498F-A048-BB907390C253}">
  <sheetPr codeName="Sheet7">
    <tabColor theme="5"/>
  </sheetPr>
  <dimension ref="A1:Q574"/>
  <sheetViews>
    <sheetView showGridLines="0" tabSelected="1" topLeftCell="A65" zoomScale="74" zoomScaleNormal="74" workbookViewId="0">
      <selection activeCell="C71" sqref="C71"/>
    </sheetView>
  </sheetViews>
  <sheetFormatPr defaultColWidth="0" defaultRowHeight="14.5" outlineLevelRow="1"/>
  <cols>
    <col min="1" max="1" width="2.08203125" style="167" customWidth="1"/>
    <col min="2" max="2" width="1.75" style="167" customWidth="1"/>
    <col min="3" max="3" width="3" style="167" customWidth="1"/>
    <col min="4" max="4" width="32.33203125" style="167" customWidth="1"/>
    <col min="5" max="5" width="25.4140625" style="167" bestFit="1" customWidth="1"/>
    <col min="6" max="7" width="16.58203125" style="167" customWidth="1"/>
    <col min="8" max="8" width="16.58203125" style="167" hidden="1" customWidth="1"/>
    <col min="9" max="9" width="12.83203125" style="167" hidden="1" customWidth="1"/>
    <col min="10" max="10" width="13.75" style="167" hidden="1" customWidth="1"/>
    <col min="11" max="11" width="2.33203125" style="167" hidden="1" customWidth="1"/>
    <col min="12" max="12" width="8.08203125" style="136" customWidth="1"/>
    <col min="13" max="13" width="16.4140625" style="136" customWidth="1"/>
    <col min="14" max="14" width="15.5" style="600" bestFit="1" customWidth="1"/>
    <col min="15" max="15" width="94.83203125" style="459" customWidth="1"/>
    <col min="16" max="16" width="13.58203125" style="459" customWidth="1"/>
    <col min="17" max="17" width="1.83203125" style="460" customWidth="1"/>
    <col min="18" max="18" width="0" style="460" hidden="1" customWidth="1"/>
    <col min="19" max="16383" width="0" style="460" hidden="1"/>
    <col min="16384" max="16384" width="14.6640625" style="460" customWidth="1"/>
  </cols>
  <sheetData>
    <row r="1" spans="2:17">
      <c r="B1" s="260"/>
      <c r="C1" s="260"/>
      <c r="D1" s="260"/>
      <c r="E1" s="260"/>
      <c r="F1" s="260"/>
      <c r="G1" s="260"/>
      <c r="H1" s="260"/>
      <c r="I1" s="260"/>
      <c r="J1" s="260"/>
      <c r="K1" s="260"/>
      <c r="Q1" s="273"/>
    </row>
    <row r="2" spans="2:17" ht="14.5" hidden="1" customHeight="1">
      <c r="B2" s="303"/>
      <c r="C2" s="303"/>
      <c r="D2" s="303"/>
      <c r="E2" s="303"/>
      <c r="F2" s="303"/>
      <c r="G2" s="175" t="s">
        <v>386</v>
      </c>
      <c r="H2" s="303"/>
      <c r="I2" s="303"/>
      <c r="J2" s="303"/>
      <c r="K2" s="303"/>
      <c r="N2" s="679" t="s">
        <v>327</v>
      </c>
      <c r="O2" s="680"/>
      <c r="Q2" s="273"/>
    </row>
    <row r="3" spans="2:17" ht="14.5" hidden="1" customHeight="1">
      <c r="B3" s="399"/>
      <c r="C3" s="386"/>
      <c r="D3" s="386"/>
      <c r="E3" s="386"/>
      <c r="F3" s="386"/>
      <c r="G3" s="116"/>
      <c r="H3" s="386"/>
      <c r="I3" s="386"/>
      <c r="J3" s="386"/>
      <c r="K3" s="386"/>
      <c r="L3" s="196"/>
      <c r="Q3" s="273"/>
    </row>
    <row r="4" spans="2:17" ht="14.5" hidden="1" customHeight="1">
      <c r="B4" s="400"/>
      <c r="C4" s="401"/>
      <c r="D4" s="173"/>
      <c r="E4" s="173"/>
      <c r="F4" s="173"/>
      <c r="G4" s="173"/>
      <c r="H4" s="173"/>
      <c r="I4" s="173"/>
      <c r="J4" s="382"/>
      <c r="K4" s="368"/>
      <c r="L4" s="199"/>
      <c r="N4" s="213" t="s">
        <v>328</v>
      </c>
      <c r="O4" s="681"/>
      <c r="Q4" s="273"/>
    </row>
    <row r="5" spans="2:17" ht="14.5" hidden="1" customHeight="1">
      <c r="B5" s="400"/>
      <c r="C5" s="402"/>
      <c r="D5" s="28" t="s">
        <v>329</v>
      </c>
      <c r="E5" s="28"/>
      <c r="F5" s="32" t="str">
        <f>'By Product'!D3</f>
        <v>PL - NTB</v>
      </c>
      <c r="G5" s="32" t="str">
        <f>'By Product'!E3</f>
        <v>PL- Renewal</v>
      </c>
      <c r="H5" s="32" t="str">
        <f>'By Product'!F3</f>
        <v>PL - Top-Up</v>
      </c>
      <c r="I5" s="32" t="str">
        <f>'By Product'!G3</f>
        <v>MBL -NTB</v>
      </c>
      <c r="J5" s="32" t="str">
        <f>'By Product'!H3</f>
        <v>MBL - XSELL</v>
      </c>
      <c r="K5" s="32" t="str">
        <f>'By Product'!I3</f>
        <v>Combined</v>
      </c>
      <c r="L5" s="199"/>
      <c r="N5" s="213" t="s">
        <v>330</v>
      </c>
      <c r="O5" s="681"/>
      <c r="Q5" s="273"/>
    </row>
    <row r="6" spans="2:17" ht="14.5" hidden="1" customHeight="1">
      <c r="B6" s="400"/>
      <c r="C6" s="402"/>
      <c r="D6" s="61" t="s">
        <v>331</v>
      </c>
      <c r="E6" s="403"/>
      <c r="F6" s="404"/>
      <c r="G6" s="404"/>
      <c r="H6" s="404"/>
      <c r="I6" s="404"/>
      <c r="J6" s="404"/>
      <c r="K6" s="404"/>
      <c r="L6" s="199"/>
      <c r="Q6" s="273"/>
    </row>
    <row r="7" spans="2:17" ht="14.5" hidden="1" customHeight="1">
      <c r="B7" s="400"/>
      <c r="C7" s="402"/>
      <c r="D7" s="335" t="s">
        <v>332</v>
      </c>
      <c r="E7" s="303"/>
      <c r="F7" s="291">
        <f>'By Product'!D189</f>
        <v>-4698.4520246316706</v>
      </c>
      <c r="G7" s="291">
        <f>'By Product'!E189</f>
        <v>100714.12203553141</v>
      </c>
      <c r="H7" s="291">
        <f>'By Product'!F189</f>
        <v>149117.57821356558</v>
      </c>
      <c r="I7" s="291">
        <f>'By Product'!G189</f>
        <v>-11365.713394912509</v>
      </c>
      <c r="J7" s="291">
        <f>'By Product'!H189</f>
        <v>274557.0727147921</v>
      </c>
      <c r="K7" s="291">
        <f>'By Product'!I189</f>
        <v>109573.14825708041</v>
      </c>
      <c r="L7" s="199"/>
      <c r="Q7" s="273"/>
    </row>
    <row r="8" spans="2:17" ht="14.5" hidden="1" customHeight="1">
      <c r="B8" s="400"/>
      <c r="C8" s="402"/>
      <c r="D8" s="335" t="s">
        <v>333</v>
      </c>
      <c r="E8" s="303"/>
      <c r="F8" s="291">
        <f>'By Product'!D193</f>
        <v>-162384.23796305095</v>
      </c>
      <c r="G8" s="291">
        <f>'By Product'!E193</f>
        <v>-56971.663902887871</v>
      </c>
      <c r="H8" s="291">
        <f>'By Product'!F193</f>
        <v>-8568.2077248537098</v>
      </c>
      <c r="I8" s="291">
        <f>'By Product'!G193</f>
        <v>-169051.4993333318</v>
      </c>
      <c r="J8" s="291">
        <f>'By Product'!H193</f>
        <v>116871.28677637281</v>
      </c>
      <c r="K8" s="291">
        <f>'By Product'!I193</f>
        <v>-48112.637681338878</v>
      </c>
      <c r="L8" s="199"/>
      <c r="Q8" s="273"/>
    </row>
    <row r="9" spans="2:17" ht="14.5" hidden="1" customHeight="1">
      <c r="B9" s="400"/>
      <c r="C9" s="402"/>
      <c r="D9" s="335" t="s">
        <v>334</v>
      </c>
      <c r="E9" s="303"/>
      <c r="F9" s="292">
        <f>'By Product'!D195</f>
        <v>0</v>
      </c>
      <c r="G9" s="292">
        <f>'By Product'!E195</f>
        <v>0.1657731021650049</v>
      </c>
      <c r="H9" s="292">
        <f>'By Product'!F195</f>
        <v>0.1801026116191328</v>
      </c>
      <c r="I9" s="292">
        <f>'By Product'!G195</f>
        <v>0</v>
      </c>
      <c r="J9" s="292">
        <f>'By Product'!H195</f>
        <v>0.19833825840652416</v>
      </c>
      <c r="K9" s="292">
        <f>'By Product'!I195</f>
        <v>0.16654149929716311</v>
      </c>
      <c r="L9" s="199"/>
      <c r="Q9" s="273"/>
    </row>
    <row r="10" spans="2:17" ht="14.5" hidden="1" customHeight="1">
      <c r="B10" s="400"/>
      <c r="C10" s="402"/>
      <c r="D10" s="335" t="s">
        <v>335</v>
      </c>
      <c r="E10" s="303"/>
      <c r="F10" s="406">
        <f>'By Product'!D196</f>
        <v>0</v>
      </c>
      <c r="G10" s="406">
        <f>'By Product'!E196</f>
        <v>-9.3774033569511028E-2</v>
      </c>
      <c r="H10" s="406">
        <f>'By Product'!F196</f>
        <v>-1.0348589392534788E-2</v>
      </c>
      <c r="I10" s="406">
        <f>'By Product'!G196</f>
        <v>0</v>
      </c>
      <c r="J10" s="406">
        <f>'By Product'!H196</f>
        <v>8.4427063734885038E-2</v>
      </c>
      <c r="K10" s="406">
        <f>'By Product'!I196</f>
        <v>-7.3126956211861813E-2</v>
      </c>
      <c r="L10" s="199"/>
      <c r="N10" s="220">
        <v>1</v>
      </c>
      <c r="O10" s="682"/>
      <c r="Q10" s="273"/>
    </row>
    <row r="11" spans="2:17" ht="14.5" hidden="1" customHeight="1">
      <c r="B11" s="400"/>
      <c r="C11" s="402"/>
      <c r="D11" s="303"/>
      <c r="E11" s="303"/>
      <c r="F11" s="351"/>
      <c r="G11" s="351"/>
      <c r="H11" s="351"/>
      <c r="I11" s="351"/>
      <c r="J11" s="351"/>
      <c r="K11" s="351"/>
      <c r="L11" s="199"/>
      <c r="Q11" s="273"/>
    </row>
    <row r="12" spans="2:17" ht="14.5" hidden="1" customHeight="1">
      <c r="B12" s="400"/>
      <c r="C12" s="402"/>
      <c r="D12" s="61" t="s">
        <v>1</v>
      </c>
      <c r="E12" s="303"/>
      <c r="F12" s="291"/>
      <c r="G12" s="291"/>
      <c r="H12" s="291"/>
      <c r="I12" s="291"/>
      <c r="J12" s="303"/>
      <c r="K12" s="303"/>
      <c r="L12" s="199"/>
      <c r="Q12" s="273"/>
    </row>
    <row r="13" spans="2:17" ht="14.5" hidden="1" customHeight="1">
      <c r="B13" s="400"/>
      <c r="C13" s="402"/>
      <c r="D13" s="303" t="s">
        <v>14</v>
      </c>
      <c r="E13" s="303"/>
      <c r="F13" s="165">
        <v>273000</v>
      </c>
      <c r="G13" s="165">
        <v>450908</v>
      </c>
      <c r="H13" s="165">
        <v>562728</v>
      </c>
      <c r="I13" s="165">
        <v>625000</v>
      </c>
      <c r="J13" s="165">
        <v>280000</v>
      </c>
      <c r="K13" s="165">
        <v>460202</v>
      </c>
      <c r="L13" s="199"/>
      <c r="Q13" s="273"/>
    </row>
    <row r="14" spans="2:17" ht="14.5" hidden="1" customHeight="1">
      <c r="B14" s="400"/>
      <c r="C14" s="402"/>
      <c r="D14" s="303" t="s">
        <v>13</v>
      </c>
      <c r="E14" s="303"/>
      <c r="F14" s="165">
        <v>1</v>
      </c>
      <c r="G14" s="165">
        <v>1</v>
      </c>
      <c r="H14" s="165">
        <v>1</v>
      </c>
      <c r="I14" s="165">
        <v>1</v>
      </c>
      <c r="J14" s="165">
        <v>1</v>
      </c>
      <c r="K14" s="165">
        <v>1</v>
      </c>
      <c r="L14" s="408"/>
      <c r="Q14" s="459"/>
    </row>
    <row r="15" spans="2:17" ht="14.5" hidden="1" customHeight="1">
      <c r="B15" s="400"/>
      <c r="C15" s="402"/>
      <c r="D15" s="303" t="s">
        <v>336</v>
      </c>
      <c r="E15" s="303"/>
      <c r="F15" s="241">
        <v>0.36</v>
      </c>
      <c r="G15" s="241">
        <v>0.85</v>
      </c>
      <c r="H15" s="241">
        <v>0.79</v>
      </c>
      <c r="I15" s="241">
        <v>0.17</v>
      </c>
      <c r="J15" s="241">
        <v>0.97</v>
      </c>
      <c r="K15" s="241">
        <v>0.184</v>
      </c>
      <c r="L15" s="408"/>
      <c r="Q15" s="459"/>
    </row>
    <row r="16" spans="2:17" ht="14.5" hidden="1" customHeight="1">
      <c r="B16" s="400"/>
      <c r="C16" s="402"/>
      <c r="D16" s="303" t="s">
        <v>337</v>
      </c>
      <c r="E16" s="303"/>
      <c r="F16" s="406">
        <f>Assumption_Sheet!B$283</f>
        <v>9.7110678975963274E-2</v>
      </c>
      <c r="G16" s="406">
        <f>Assumption_Sheet!C$283</f>
        <v>7.2883100048689378E-2</v>
      </c>
      <c r="H16" s="406">
        <f>Assumption_Sheet!D$283</f>
        <v>7.3805402920844601E-2</v>
      </c>
      <c r="I16" s="406">
        <f>Assumption_Sheet!E$283</f>
        <v>0.1111595169682198</v>
      </c>
      <c r="J16" s="406">
        <f>Assumption_Sheet!F$283</f>
        <v>0.12858266597977494</v>
      </c>
      <c r="K16" s="406">
        <f>Assumption_Sheet!G$283</f>
        <v>8.5090210585949955E-2</v>
      </c>
      <c r="L16" s="199"/>
      <c r="N16" s="157"/>
      <c r="O16" s="683"/>
      <c r="Q16" s="273"/>
    </row>
    <row r="17" spans="1:15" ht="14.5" hidden="1" customHeight="1">
      <c r="B17" s="400"/>
      <c r="C17" s="402"/>
      <c r="D17" s="303" t="s">
        <v>338</v>
      </c>
      <c r="E17" s="303"/>
      <c r="F17" s="161">
        <v>6.0999999999999999E-2</v>
      </c>
      <c r="G17" s="161">
        <v>4.4999999999999998E-2</v>
      </c>
      <c r="H17" s="161">
        <v>4.5600000000000002E-2</v>
      </c>
      <c r="I17" s="161">
        <v>7.0499999999999993E-2</v>
      </c>
      <c r="J17" s="161">
        <v>8.2500000000000004E-2</v>
      </c>
      <c r="K17" s="161">
        <v>5.2999999999999999E-2</v>
      </c>
      <c r="L17" s="199"/>
      <c r="N17" s="157"/>
      <c r="O17" s="683"/>
    </row>
    <row r="18" spans="1:15" ht="14.5" hidden="1" customHeight="1">
      <c r="B18" s="400"/>
      <c r="C18" s="402"/>
      <c r="D18" s="303" t="s">
        <v>10</v>
      </c>
      <c r="E18" s="303"/>
      <c r="F18" s="163">
        <v>6</v>
      </c>
      <c r="G18" s="163">
        <v>6</v>
      </c>
      <c r="H18" s="163">
        <v>6</v>
      </c>
      <c r="I18" s="163">
        <v>6</v>
      </c>
      <c r="J18" s="163">
        <v>6</v>
      </c>
      <c r="K18" s="163">
        <v>6</v>
      </c>
      <c r="L18" s="199"/>
    </row>
    <row r="19" spans="1:15" ht="14.5" hidden="1" customHeight="1">
      <c r="B19" s="400"/>
      <c r="C19" s="402"/>
      <c r="D19" s="303" t="s">
        <v>11</v>
      </c>
      <c r="E19" s="303"/>
      <c r="F19" s="406">
        <v>0.13500000000000001</v>
      </c>
      <c r="G19" s="406">
        <v>0.13500000000000001</v>
      </c>
      <c r="H19" s="406">
        <v>0.13500000000000001</v>
      </c>
      <c r="I19" s="406">
        <v>0.13500000000000001</v>
      </c>
      <c r="J19" s="406">
        <v>0.13500000000000001</v>
      </c>
      <c r="K19" s="406">
        <v>0.13500000000000001</v>
      </c>
      <c r="L19" s="199"/>
    </row>
    <row r="20" spans="1:15" ht="14.5" hidden="1" customHeight="1">
      <c r="A20" s="475"/>
      <c r="B20" s="400"/>
      <c r="C20" s="402"/>
      <c r="D20" s="303" t="s">
        <v>12</v>
      </c>
      <c r="E20" s="303"/>
      <c r="F20" s="243">
        <f t="shared" ref="F20:K20" si="0">F21*90%</f>
        <v>8.856E-2</v>
      </c>
      <c r="G20" s="243">
        <f t="shared" si="0"/>
        <v>3.492E-2</v>
      </c>
      <c r="H20" s="243">
        <f t="shared" si="0"/>
        <v>4.9680000000000002E-2</v>
      </c>
      <c r="I20" s="243">
        <f t="shared" si="0"/>
        <v>0.189</v>
      </c>
      <c r="J20" s="243">
        <f t="shared" si="0"/>
        <v>0.1341</v>
      </c>
      <c r="K20" s="243">
        <f t="shared" si="0"/>
        <v>0.12510000000000002</v>
      </c>
      <c r="L20" s="199"/>
    </row>
    <row r="21" spans="1:15" ht="14.5" hidden="1" customHeight="1">
      <c r="A21" s="475"/>
      <c r="B21" s="400"/>
      <c r="C21" s="409"/>
      <c r="D21" s="482" t="s">
        <v>363</v>
      </c>
      <c r="E21" s="483"/>
      <c r="F21" s="484">
        <v>9.8400000000000001E-2</v>
      </c>
      <c r="G21" s="484">
        <v>3.8800000000000001E-2</v>
      </c>
      <c r="H21" s="484">
        <v>5.5199999999999999E-2</v>
      </c>
      <c r="I21" s="484">
        <v>0.21</v>
      </c>
      <c r="J21" s="484">
        <v>0.14899999999999999</v>
      </c>
      <c r="K21" s="484">
        <v>0.13900000000000001</v>
      </c>
      <c r="L21" s="199" t="s">
        <v>383</v>
      </c>
    </row>
    <row r="22" spans="1:15" ht="14.5" hidden="1" customHeight="1">
      <c r="B22" s="400"/>
      <c r="C22" s="303"/>
      <c r="D22" s="303"/>
      <c r="E22" s="303"/>
      <c r="F22" s="292"/>
      <c r="G22" s="292"/>
      <c r="H22" s="292"/>
      <c r="I22" s="292"/>
      <c r="J22" s="303"/>
      <c r="K22" s="303"/>
      <c r="L22" s="199"/>
    </row>
    <row r="23" spans="1:15" ht="15" hidden="1" customHeight="1" thickBot="1">
      <c r="B23" s="200" t="s">
        <v>339</v>
      </c>
      <c r="C23" s="179"/>
      <c r="D23" s="411"/>
      <c r="E23" s="411"/>
      <c r="F23" s="412"/>
      <c r="G23" s="412"/>
      <c r="H23" s="412"/>
      <c r="I23" s="412"/>
      <c r="J23" s="411"/>
      <c r="K23" s="411"/>
      <c r="L23" s="413"/>
    </row>
    <row r="24" spans="1:15" ht="14.5" hidden="1" customHeight="1" outlineLevel="1">
      <c r="B24" s="400"/>
      <c r="C24" s="303"/>
      <c r="D24" s="303"/>
      <c r="E24" s="303"/>
      <c r="F24" s="292"/>
      <c r="G24" s="292"/>
      <c r="H24" s="292"/>
      <c r="I24" s="292"/>
      <c r="J24" s="303"/>
      <c r="K24" s="303"/>
      <c r="L24" s="199"/>
    </row>
    <row r="25" spans="1:15" ht="14.5" hidden="1" customHeight="1" outlineLevel="1">
      <c r="B25" s="400"/>
      <c r="C25" s="181" t="s">
        <v>340</v>
      </c>
      <c r="D25" s="180"/>
      <c r="E25" s="303"/>
      <c r="F25" s="292"/>
      <c r="G25" s="292"/>
      <c r="H25" s="292"/>
      <c r="I25" s="292"/>
      <c r="J25" s="303"/>
      <c r="K25" s="303"/>
      <c r="L25" s="199"/>
    </row>
    <row r="26" spans="1:15" ht="14.5" hidden="1" customHeight="1" outlineLevel="1">
      <c r="B26" s="400"/>
      <c r="C26" s="303"/>
      <c r="D26" s="180"/>
      <c r="E26" s="303"/>
      <c r="F26" s="292"/>
      <c r="G26" s="292"/>
      <c r="H26" s="292"/>
      <c r="I26" s="292"/>
      <c r="J26" s="303"/>
      <c r="K26" s="303"/>
      <c r="L26" s="199"/>
    </row>
    <row r="27" spans="1:15" ht="14.5" hidden="1" customHeight="1" outlineLevel="1">
      <c r="B27" s="400"/>
      <c r="C27" s="303"/>
      <c r="D27" s="183" t="s">
        <v>47</v>
      </c>
      <c r="E27" s="305"/>
      <c r="F27" s="410"/>
      <c r="G27" s="410"/>
      <c r="H27" s="410"/>
      <c r="I27" s="410"/>
      <c r="J27" s="305"/>
      <c r="K27" s="305"/>
      <c r="L27" s="199"/>
    </row>
    <row r="28" spans="1:15" ht="14.5" hidden="1" customHeight="1" outlineLevel="1">
      <c r="B28" s="400"/>
      <c r="C28" s="303"/>
      <c r="D28" s="176" t="s">
        <v>37</v>
      </c>
      <c r="E28" s="303"/>
      <c r="F28" s="177" t="e">
        <f>-'By Product'!D153/'By Product'!D12</f>
        <v>#DIV/0!</v>
      </c>
      <c r="G28" s="177">
        <f>-'By Product'!E153/'By Product'!E12</f>
        <v>7.4013024463593202E-2</v>
      </c>
      <c r="H28" s="177">
        <f>-'By Product'!F153/'By Product'!F12</f>
        <v>8.1240149480059365E-2</v>
      </c>
      <c r="I28" s="177" t="e">
        <f>-'By Product'!G153/'By Product'!G12</f>
        <v>#DIV/0!</v>
      </c>
      <c r="J28" s="177">
        <f>-'By Product'!H153/'By Product'!H12</f>
        <v>6.2933327588102106E-2</v>
      </c>
      <c r="K28" s="177">
        <f>-'By Product'!I153/'By Product'!I12</f>
        <v>7.5762940476344465E-2</v>
      </c>
      <c r="L28" s="199"/>
    </row>
    <row r="29" spans="1:15" ht="14.5" hidden="1" customHeight="1" outlineLevel="1">
      <c r="B29" s="400"/>
      <c r="C29" s="303"/>
      <c r="D29" s="176" t="s">
        <v>341</v>
      </c>
      <c r="E29" s="303"/>
      <c r="F29" s="177" t="e">
        <f>-SUM('By Product'!D156:D158)/'By Product'!D14</f>
        <v>#DIV/0!</v>
      </c>
      <c r="G29" s="177">
        <f>-SUM('By Product'!E156:E158)/'By Product'!E14</f>
        <v>6.5929858523495624E-3</v>
      </c>
      <c r="H29" s="177">
        <f>-SUM('By Product'!F156:F158)/'By Product'!F14</f>
        <v>6.6478445351226181E-3</v>
      </c>
      <c r="I29" s="177" t="e">
        <f>-SUM('By Product'!G156:G158)/'By Product'!G14</f>
        <v>#DIV/0!</v>
      </c>
      <c r="J29" s="177">
        <f>-SUM('By Product'!H156:H158)/'By Product'!H14</f>
        <v>5.8772768824311723E-3</v>
      </c>
      <c r="K29" s="177">
        <f>-SUM('By Product'!I156:I158)/'By Product'!I14</f>
        <v>6.4896042348769152E-3</v>
      </c>
      <c r="L29" s="199"/>
    </row>
    <row r="30" spans="1:15" ht="14.5" hidden="1" customHeight="1" outlineLevel="1">
      <c r="B30" s="400"/>
      <c r="C30" s="303"/>
      <c r="D30" s="186" t="s">
        <v>342</v>
      </c>
      <c r="E30" s="186"/>
      <c r="F30" s="186" t="e">
        <f t="shared" ref="F30:K30" si="1">SUM(F28:F29)</f>
        <v>#DIV/0!</v>
      </c>
      <c r="G30" s="186">
        <f t="shared" si="1"/>
        <v>8.0606010315942764E-2</v>
      </c>
      <c r="H30" s="186">
        <f t="shared" si="1"/>
        <v>8.7887994015181978E-2</v>
      </c>
      <c r="I30" s="186" t="e">
        <f t="shared" si="1"/>
        <v>#DIV/0!</v>
      </c>
      <c r="J30" s="186">
        <f t="shared" si="1"/>
        <v>6.8810604470533276E-2</v>
      </c>
      <c r="K30" s="186">
        <f t="shared" si="1"/>
        <v>8.2252544711221384E-2</v>
      </c>
      <c r="L30" s="202"/>
    </row>
    <row r="31" spans="1:15" ht="14.5" hidden="1" customHeight="1" outlineLevel="1">
      <c r="B31" s="400"/>
      <c r="C31" s="303"/>
      <c r="D31" s="180"/>
      <c r="E31" s="303"/>
      <c r="F31" s="292"/>
      <c r="G31" s="292"/>
      <c r="H31" s="292"/>
      <c r="I31" s="292"/>
      <c r="J31" s="303"/>
      <c r="K31" s="303"/>
      <c r="L31" s="199"/>
    </row>
    <row r="32" spans="1:15" ht="14.5" hidden="1" customHeight="1" outlineLevel="1">
      <c r="B32" s="400"/>
      <c r="C32" s="303"/>
      <c r="D32" s="183" t="s">
        <v>343</v>
      </c>
      <c r="E32" s="305"/>
      <c r="F32" s="410"/>
      <c r="G32" s="410"/>
      <c r="H32" s="410"/>
      <c r="I32" s="410"/>
      <c r="J32" s="305"/>
      <c r="K32" s="305"/>
      <c r="L32" s="199"/>
    </row>
    <row r="33" spans="2:12" ht="14.5" hidden="1" customHeight="1" outlineLevel="1">
      <c r="B33" s="400"/>
      <c r="C33" s="303"/>
      <c r="D33" s="176" t="s">
        <v>52</v>
      </c>
      <c r="E33" s="303"/>
      <c r="F33" s="177" t="e">
        <f>-'By Product'!#REF!/'By Product'!D$12</f>
        <v>#REF!</v>
      </c>
      <c r="G33" s="177" t="e">
        <f>-'By Product'!#REF!/'By Product'!E$12</f>
        <v>#REF!</v>
      </c>
      <c r="H33" s="177" t="e">
        <f>-'By Product'!#REF!/'By Product'!F$12</f>
        <v>#REF!</v>
      </c>
      <c r="I33" s="177" t="e">
        <f>-'By Product'!#REF!/'By Product'!G$12</f>
        <v>#REF!</v>
      </c>
      <c r="J33" s="177" t="e">
        <f>-'By Product'!#REF!/'By Product'!H$12</f>
        <v>#REF!</v>
      </c>
      <c r="K33" s="177" t="e">
        <f>-'By Product'!#REF!/'By Product'!I$12</f>
        <v>#REF!</v>
      </c>
      <c r="L33" s="202"/>
    </row>
    <row r="34" spans="2:12" ht="14.5" hidden="1" customHeight="1" outlineLevel="1">
      <c r="B34" s="400"/>
      <c r="C34" s="303"/>
      <c r="D34" s="176" t="s">
        <v>53</v>
      </c>
      <c r="E34" s="303"/>
      <c r="F34" s="177" t="e">
        <f>-'By Product'!#REF!/'By Product'!D$12</f>
        <v>#REF!</v>
      </c>
      <c r="G34" s="177" t="e">
        <f>-'By Product'!#REF!/'By Product'!E$12</f>
        <v>#REF!</v>
      </c>
      <c r="H34" s="177" t="e">
        <f>-'By Product'!#REF!/'By Product'!F$12</f>
        <v>#REF!</v>
      </c>
      <c r="I34" s="177" t="e">
        <f>-'By Product'!#REF!/'By Product'!G$12</f>
        <v>#REF!</v>
      </c>
      <c r="J34" s="177" t="e">
        <f>-'By Product'!#REF!/'By Product'!H$12</f>
        <v>#REF!</v>
      </c>
      <c r="K34" s="177" t="e">
        <f>-'By Product'!#REF!/'By Product'!I$12</f>
        <v>#REF!</v>
      </c>
      <c r="L34" s="202"/>
    </row>
    <row r="35" spans="2:12" ht="14.5" hidden="1" customHeight="1" outlineLevel="1">
      <c r="B35" s="400"/>
      <c r="C35" s="303"/>
      <c r="D35" s="176" t="s">
        <v>54</v>
      </c>
      <c r="E35" s="303"/>
      <c r="F35" s="177" t="e">
        <f>-'By Product'!#REF!/'By Product'!D$12</f>
        <v>#REF!</v>
      </c>
      <c r="G35" s="177" t="e">
        <f>-'By Product'!#REF!/'By Product'!E$12</f>
        <v>#REF!</v>
      </c>
      <c r="H35" s="177" t="e">
        <f>-'By Product'!#REF!/'By Product'!F$12</f>
        <v>#REF!</v>
      </c>
      <c r="I35" s="177" t="e">
        <f>-'By Product'!#REF!/'By Product'!G$12</f>
        <v>#REF!</v>
      </c>
      <c r="J35" s="177" t="e">
        <f>-'By Product'!#REF!/'By Product'!H$12</f>
        <v>#REF!</v>
      </c>
      <c r="K35" s="177" t="e">
        <f>-'By Product'!#REF!/'By Product'!I$12</f>
        <v>#REF!</v>
      </c>
      <c r="L35" s="202"/>
    </row>
    <row r="36" spans="2:12" ht="14.5" hidden="1" customHeight="1" outlineLevel="1">
      <c r="B36" s="400"/>
      <c r="C36" s="303"/>
      <c r="D36" s="176" t="s">
        <v>55</v>
      </c>
      <c r="E36" s="303"/>
      <c r="F36" s="177" t="e">
        <f>-'By Product'!#REF!/'By Product'!D$12</f>
        <v>#REF!</v>
      </c>
      <c r="G36" s="177" t="e">
        <f>-'By Product'!#REF!/'By Product'!E$12</f>
        <v>#REF!</v>
      </c>
      <c r="H36" s="177" t="e">
        <f>-'By Product'!#REF!/'By Product'!F$12</f>
        <v>#REF!</v>
      </c>
      <c r="I36" s="177" t="e">
        <f>-'By Product'!#REF!/'By Product'!G$12</f>
        <v>#REF!</v>
      </c>
      <c r="J36" s="177" t="e">
        <f>-'By Product'!#REF!/'By Product'!H$12</f>
        <v>#REF!</v>
      </c>
      <c r="K36" s="177" t="e">
        <f>-'By Product'!#REF!/'By Product'!I$12</f>
        <v>#REF!</v>
      </c>
      <c r="L36" s="202"/>
    </row>
    <row r="37" spans="2:12" ht="14.5" hidden="1" customHeight="1" outlineLevel="1">
      <c r="B37" s="400"/>
      <c r="C37" s="303"/>
      <c r="D37" s="176" t="s">
        <v>56</v>
      </c>
      <c r="E37" s="303"/>
      <c r="F37" s="177" t="e">
        <f>-'By Product'!D163/'By Product'!D$12</f>
        <v>#DIV/0!</v>
      </c>
      <c r="G37" s="177">
        <f>-'By Product'!E163/'By Product'!E$12</f>
        <v>2.3854650851959295E-3</v>
      </c>
      <c r="H37" s="177">
        <f>-'By Product'!F163/'By Product'!F$12</f>
        <v>1.405615151362296E-3</v>
      </c>
      <c r="I37" s="177" t="e">
        <f>-'By Product'!G163/'By Product'!G$12</f>
        <v>#DIV/0!</v>
      </c>
      <c r="J37" s="177">
        <f>-'By Product'!H163/'By Product'!H$12</f>
        <v>2.9069533544577048E-3</v>
      </c>
      <c r="K37" s="185">
        <f>AVERAGE(Assumption_Sheet!$B125:$F125)*'By Product'!$I$12/'By Product'!$I$12</f>
        <v>1.3753473350321205E-2</v>
      </c>
      <c r="L37" s="202"/>
    </row>
    <row r="38" spans="2:12" ht="14.5" hidden="1" customHeight="1" outlineLevel="1">
      <c r="B38" s="400"/>
      <c r="C38" s="303"/>
      <c r="D38" s="176" t="s">
        <v>57</v>
      </c>
      <c r="E38" s="303"/>
      <c r="F38" s="177" t="e">
        <f>-'By Product'!D164/'By Product'!D$12</f>
        <v>#DIV/0!</v>
      </c>
      <c r="G38" s="177">
        <f>-'By Product'!E164/'By Product'!E$12</f>
        <v>4.592674493046664E-3</v>
      </c>
      <c r="H38" s="177">
        <f>-'By Product'!F164/'By Product'!F$12</f>
        <v>4.592674493046664E-3</v>
      </c>
      <c r="I38" s="177" t="e">
        <f>-'By Product'!G164/'By Product'!G$12</f>
        <v>#DIV/0!</v>
      </c>
      <c r="J38" s="177">
        <f>-'By Product'!H164/'By Product'!H$12</f>
        <v>4.592674493046664E-3</v>
      </c>
      <c r="K38" s="185">
        <f>AVERAGE(Assumption_Sheet!$B126:$F126)*'By Product'!$I$12/'By Product'!$I$12</f>
        <v>4.9398616563965502E-3</v>
      </c>
      <c r="L38" s="202"/>
    </row>
    <row r="39" spans="2:12" ht="14.5" hidden="1" customHeight="1" outlineLevel="1">
      <c r="B39" s="400"/>
      <c r="C39" s="303"/>
      <c r="D39" s="176" t="s">
        <v>58</v>
      </c>
      <c r="E39" s="303"/>
      <c r="F39" s="177" t="e">
        <f>-'By Product'!D165/'By Product'!D$12</f>
        <v>#DIV/0!</v>
      </c>
      <c r="G39" s="177">
        <f>-'By Product'!E165/'By Product'!E$12</f>
        <v>4.0229480669732811E-4</v>
      </c>
      <c r="H39" s="177">
        <f>-'By Product'!F165/'By Product'!F$12</f>
        <v>4.0229480669732811E-4</v>
      </c>
      <c r="I39" s="177" t="e">
        <f>-'By Product'!G165/'By Product'!G$12</f>
        <v>#DIV/0!</v>
      </c>
      <c r="J39" s="177">
        <f>-'By Product'!H165/'By Product'!H$12</f>
        <v>4.0229480669732811E-4</v>
      </c>
      <c r="K39" s="185">
        <f>AVERAGE(Assumption_Sheet!$B127:$F127)*'By Product'!$I$12/'By Product'!$I$12</f>
        <v>3.2822134047554464E-4</v>
      </c>
      <c r="L39" s="202"/>
    </row>
    <row r="40" spans="2:12" ht="14.5" hidden="1" customHeight="1" outlineLevel="1">
      <c r="B40" s="400"/>
      <c r="C40" s="303"/>
      <c r="D40" s="176" t="s">
        <v>59</v>
      </c>
      <c r="E40" s="303"/>
      <c r="F40" s="177" t="e">
        <f>-'By Product'!#REF!/'By Product'!D$12</f>
        <v>#REF!</v>
      </c>
      <c r="G40" s="177" t="e">
        <f>-'By Product'!#REF!/'By Product'!E$12</f>
        <v>#REF!</v>
      </c>
      <c r="H40" s="177" t="e">
        <f>-'By Product'!#REF!/'By Product'!F$12</f>
        <v>#REF!</v>
      </c>
      <c r="I40" s="177" t="e">
        <f>-'By Product'!#REF!/'By Product'!G$12</f>
        <v>#REF!</v>
      </c>
      <c r="J40" s="177" t="e">
        <f>-'By Product'!#REF!/'By Product'!H$12</f>
        <v>#REF!</v>
      </c>
      <c r="K40" s="177" t="e">
        <f>-'By Product'!#REF!/'By Product'!I$12</f>
        <v>#REF!</v>
      </c>
      <c r="L40" s="202"/>
    </row>
    <row r="41" spans="2:12" ht="14.5" hidden="1" customHeight="1" outlineLevel="1">
      <c r="B41" s="400"/>
      <c r="C41" s="303"/>
      <c r="D41" s="176" t="s">
        <v>344</v>
      </c>
      <c r="E41" s="303"/>
      <c r="F41" s="177" t="e">
        <f>-SUM('By Product'!#REF!)/'By Product'!D$12</f>
        <v>#REF!</v>
      </c>
      <c r="G41" s="177" t="e">
        <f>-SUM('By Product'!#REF!)/'By Product'!E$12</f>
        <v>#REF!</v>
      </c>
      <c r="H41" s="177" t="e">
        <f>-SUM('By Product'!#REF!)/'By Product'!F$12</f>
        <v>#REF!</v>
      </c>
      <c r="I41" s="177" t="e">
        <f>-SUM('By Product'!#REF!)/'By Product'!G$12</f>
        <v>#REF!</v>
      </c>
      <c r="J41" s="177" t="e">
        <f>-SUM('By Product'!#REF!)/'By Product'!H$12</f>
        <v>#REF!</v>
      </c>
      <c r="K41" s="177" t="e">
        <f>-SUM('By Product'!#REF!)/'By Product'!I$12</f>
        <v>#REF!</v>
      </c>
      <c r="L41" s="202"/>
    </row>
    <row r="42" spans="2:12" ht="14.5" hidden="1" customHeight="1" outlineLevel="1">
      <c r="B42" s="400"/>
      <c r="C42" s="303"/>
      <c r="D42" s="186" t="s">
        <v>342</v>
      </c>
      <c r="E42" s="186"/>
      <c r="F42" s="186" t="e">
        <f t="shared" ref="F42:K42" si="2">SUM(F33:F41)</f>
        <v>#REF!</v>
      </c>
      <c r="G42" s="186" t="e">
        <f t="shared" si="2"/>
        <v>#REF!</v>
      </c>
      <c r="H42" s="186" t="e">
        <f t="shared" si="2"/>
        <v>#REF!</v>
      </c>
      <c r="I42" s="186" t="e">
        <f t="shared" si="2"/>
        <v>#REF!</v>
      </c>
      <c r="J42" s="186" t="e">
        <f t="shared" si="2"/>
        <v>#REF!</v>
      </c>
      <c r="K42" s="186" t="e">
        <f t="shared" si="2"/>
        <v>#REF!</v>
      </c>
      <c r="L42" s="202"/>
    </row>
    <row r="43" spans="2:12" ht="14.5" hidden="1" customHeight="1" outlineLevel="1">
      <c r="B43" s="400"/>
      <c r="C43" s="303"/>
      <c r="D43" s="180"/>
      <c r="E43" s="303"/>
      <c r="F43" s="292"/>
      <c r="G43" s="292"/>
      <c r="H43" s="292"/>
      <c r="I43" s="292"/>
      <c r="J43" s="303"/>
      <c r="K43" s="303"/>
      <c r="L43" s="199"/>
    </row>
    <row r="44" spans="2:12" ht="14.5" hidden="1" customHeight="1" outlineLevel="1">
      <c r="B44" s="400"/>
      <c r="C44" s="303"/>
      <c r="D44" s="183" t="s">
        <v>345</v>
      </c>
      <c r="E44" s="305"/>
      <c r="F44" s="410"/>
      <c r="G44" s="410"/>
      <c r="H44" s="410"/>
      <c r="I44" s="410"/>
      <c r="J44" s="305"/>
      <c r="K44" s="305"/>
      <c r="L44" s="199"/>
    </row>
    <row r="45" spans="2:12" ht="14.5" hidden="1" customHeight="1" outlineLevel="1">
      <c r="B45" s="400"/>
      <c r="C45" s="303"/>
      <c r="D45" s="176" t="s">
        <v>66</v>
      </c>
      <c r="E45" s="303"/>
      <c r="F45" s="177" t="e">
        <f>-'By Product'!#REF!/'By Product'!D$12</f>
        <v>#REF!</v>
      </c>
      <c r="G45" s="177" t="e">
        <f>-'By Product'!#REF!/'By Product'!E$12</f>
        <v>#REF!</v>
      </c>
      <c r="H45" s="177" t="e">
        <f>-'By Product'!#REF!/'By Product'!F$12</f>
        <v>#REF!</v>
      </c>
      <c r="I45" s="177" t="e">
        <f>-'By Product'!#REF!/'By Product'!G$12</f>
        <v>#REF!</v>
      </c>
      <c r="J45" s="177" t="e">
        <f>-'By Product'!#REF!/'By Product'!H$12</f>
        <v>#REF!</v>
      </c>
      <c r="K45" s="177" t="e">
        <f>-'By Product'!#REF!/'By Product'!I$12</f>
        <v>#REF!</v>
      </c>
      <c r="L45" s="202"/>
    </row>
    <row r="46" spans="2:12" ht="14.5" hidden="1" customHeight="1" outlineLevel="1">
      <c r="B46" s="400"/>
      <c r="C46" s="303"/>
      <c r="D46" s="176" t="s">
        <v>67</v>
      </c>
      <c r="E46" s="303"/>
      <c r="F46" s="177" t="e">
        <f>-'By Product'!#REF!/'By Product'!D$12</f>
        <v>#REF!</v>
      </c>
      <c r="G46" s="177" t="e">
        <f>-'By Product'!#REF!/'By Product'!E$12</f>
        <v>#REF!</v>
      </c>
      <c r="H46" s="177" t="e">
        <f>-'By Product'!#REF!/'By Product'!F$12</f>
        <v>#REF!</v>
      </c>
      <c r="I46" s="177" t="e">
        <f>-'By Product'!#REF!/'By Product'!G$12</f>
        <v>#REF!</v>
      </c>
      <c r="J46" s="177" t="e">
        <f>-'By Product'!#REF!/'By Product'!H$12</f>
        <v>#REF!</v>
      </c>
      <c r="K46" s="177" t="e">
        <f>-'By Product'!#REF!/'By Product'!I$12</f>
        <v>#REF!</v>
      </c>
      <c r="L46" s="202"/>
    </row>
    <row r="47" spans="2:12" ht="14.5" hidden="1" customHeight="1" outlineLevel="1">
      <c r="B47" s="400"/>
      <c r="C47" s="303"/>
      <c r="D47" s="176" t="s">
        <v>68</v>
      </c>
      <c r="E47" s="303"/>
      <c r="F47" s="177" t="e">
        <f>-'By Product'!D173/'By Product'!D$12</f>
        <v>#DIV/0!</v>
      </c>
      <c r="G47" s="177">
        <f>-'By Product'!E173/'By Product'!E$12</f>
        <v>1.4336831482806574E-4</v>
      </c>
      <c r="H47" s="177">
        <f>-'By Product'!F173/'By Product'!F$12</f>
        <v>1.0286338655255473E-4</v>
      </c>
      <c r="I47" s="177" t="e">
        <f>-'By Product'!G173/'By Product'!G$12</f>
        <v>#DIV/0!</v>
      </c>
      <c r="J47" s="177">
        <f>-'By Product'!H173/'By Product'!H$12</f>
        <v>7.0090462783870824E-5</v>
      </c>
      <c r="K47" s="177">
        <f>-'By Product'!I173/'By Product'!I$12</f>
        <v>5.8250612144397672E-4</v>
      </c>
      <c r="L47" s="202"/>
    </row>
    <row r="48" spans="2:12" ht="14.5" hidden="1" customHeight="1" outlineLevel="1">
      <c r="B48" s="400"/>
      <c r="C48" s="303"/>
      <c r="D48" s="186" t="s">
        <v>346</v>
      </c>
      <c r="E48" s="186"/>
      <c r="F48" s="186" t="e">
        <f t="shared" ref="F48:K48" si="3">SUM(F45:F47)</f>
        <v>#REF!</v>
      </c>
      <c r="G48" s="186" t="e">
        <f t="shared" si="3"/>
        <v>#REF!</v>
      </c>
      <c r="H48" s="186" t="e">
        <f t="shared" si="3"/>
        <v>#REF!</v>
      </c>
      <c r="I48" s="186" t="e">
        <f t="shared" si="3"/>
        <v>#REF!</v>
      </c>
      <c r="J48" s="186" t="e">
        <f t="shared" si="3"/>
        <v>#REF!</v>
      </c>
      <c r="K48" s="186" t="e">
        <f t="shared" si="3"/>
        <v>#REF!</v>
      </c>
      <c r="L48" s="202"/>
    </row>
    <row r="49" spans="2:12" ht="14.5" hidden="1" customHeight="1" outlineLevel="1">
      <c r="B49" s="400"/>
      <c r="C49" s="303"/>
      <c r="D49" s="180"/>
      <c r="E49" s="303"/>
      <c r="F49" s="292"/>
      <c r="G49" s="292"/>
      <c r="H49" s="292"/>
      <c r="I49" s="292"/>
      <c r="J49" s="303"/>
      <c r="K49" s="303"/>
      <c r="L49" s="199"/>
    </row>
    <row r="50" spans="2:12" ht="14.5" hidden="1" customHeight="1" outlineLevel="1">
      <c r="B50" s="400"/>
      <c r="C50" s="303"/>
      <c r="D50" s="183" t="s">
        <v>70</v>
      </c>
      <c r="E50" s="305"/>
      <c r="F50" s="410"/>
      <c r="G50" s="410"/>
      <c r="H50" s="410"/>
      <c r="I50" s="410"/>
      <c r="J50" s="305"/>
      <c r="K50" s="305"/>
      <c r="L50" s="199"/>
    </row>
    <row r="51" spans="2:12" ht="14.5" hidden="1" customHeight="1" outlineLevel="1">
      <c r="B51" s="400"/>
      <c r="C51" s="303"/>
      <c r="D51" s="176" t="s">
        <v>347</v>
      </c>
      <c r="E51" s="303"/>
      <c r="F51" s="177" t="e">
        <f>-'By Product'!D178/'By Product'!D$12</f>
        <v>#DIV/0!</v>
      </c>
      <c r="G51" s="177">
        <f>-'By Product'!E178/'By Product'!E$12</f>
        <v>3.0039075487785206E-4</v>
      </c>
      <c r="H51" s="177">
        <f>-'By Product'!F178/'By Product'!F$12</f>
        <v>2.204215426126173E-4</v>
      </c>
      <c r="I51" s="177" t="e">
        <f>-'By Product'!G178/'By Product'!G$12</f>
        <v>#DIV/0!</v>
      </c>
      <c r="J51" s="177">
        <f>-'By Product'!H178/'By Product'!H$12</f>
        <v>1.318368228553761E-4</v>
      </c>
      <c r="K51" s="177">
        <f>-'By Product'!I178/'By Product'!I$12</f>
        <v>2.7738386735427469E-4</v>
      </c>
      <c r="L51" s="202"/>
    </row>
    <row r="52" spans="2:12" ht="14.5" hidden="1" customHeight="1" outlineLevel="1">
      <c r="B52" s="400"/>
      <c r="C52" s="303"/>
      <c r="D52" s="176" t="s">
        <v>348</v>
      </c>
      <c r="E52" s="303"/>
      <c r="F52" s="177" t="e">
        <f>-'By Product'!D179/'By Product'!D$12</f>
        <v>#DIV/0!</v>
      </c>
      <c r="G52" s="177">
        <f>-'By Product'!E179/'By Product'!E$12</f>
        <v>2.2033643166009329E-4</v>
      </c>
      <c r="H52" s="177">
        <f>-'By Product'!F179/'By Product'!F$12</f>
        <v>1.5808619616296087E-4</v>
      </c>
      <c r="I52" s="177" t="e">
        <f>-'By Product'!G179/'By Product'!G$12</f>
        <v>#DIV/0!</v>
      </c>
      <c r="J52" s="177">
        <f>-'By Product'!H179/'By Product'!H$12</f>
        <v>1.0771893693333312E-4</v>
      </c>
      <c r="K52" s="177">
        <f>-'By Product'!I179/'By Product'!I$12</f>
        <v>8.9522793354338513E-4</v>
      </c>
      <c r="L52" s="202"/>
    </row>
    <row r="53" spans="2:12" ht="14.5" hidden="1" customHeight="1" outlineLevel="1">
      <c r="B53" s="400"/>
      <c r="C53" s="303"/>
      <c r="D53" s="176" t="s">
        <v>349</v>
      </c>
      <c r="E53" s="303"/>
      <c r="F53" s="177" t="e">
        <f>-'By Product'!D180/'By Product'!D$12</f>
        <v>#DIV/0!</v>
      </c>
      <c r="G53" s="177">
        <f>-'By Product'!E180/'By Product'!E$12</f>
        <v>9.3521405628222933E-5</v>
      </c>
      <c r="H53" s="177">
        <f>-'By Product'!F180/'By Product'!F$12</f>
        <v>6.7099404143871325E-5</v>
      </c>
      <c r="I53" s="177" t="e">
        <f>-'By Product'!G180/'By Product'!G$12</f>
        <v>#DIV/0!</v>
      </c>
      <c r="J53" s="177">
        <f>-'By Product'!H180/'By Product'!H$12</f>
        <v>4.5721110752688079E-5</v>
      </c>
      <c r="K53" s="177">
        <f>-'By Product'!I180/'By Product'!I$12</f>
        <v>3.7997790048530778E-4</v>
      </c>
      <c r="L53" s="202"/>
    </row>
    <row r="54" spans="2:12" ht="14.5" hidden="1" customHeight="1" outlineLevel="1">
      <c r="B54" s="400"/>
      <c r="C54" s="303"/>
      <c r="D54" s="176" t="s">
        <v>350</v>
      </c>
      <c r="E54" s="303"/>
      <c r="F54" s="177" t="e">
        <f>-'By Product'!D181/'By Product'!D$12</f>
        <v>#DIV/0!</v>
      </c>
      <c r="G54" s="177">
        <f>-'By Product'!E181/'By Product'!E$12</f>
        <v>9.3521405628222947E-5</v>
      </c>
      <c r="H54" s="177">
        <f>-'By Product'!F181/'By Product'!F$12</f>
        <v>6.7099404143871325E-5</v>
      </c>
      <c r="I54" s="177" t="e">
        <f>-'By Product'!G181/'By Product'!G$12</f>
        <v>#DIV/0!</v>
      </c>
      <c r="J54" s="177">
        <f>-'By Product'!H181/'By Product'!H$12</f>
        <v>9.1442221505376158E-5</v>
      </c>
      <c r="K54" s="177">
        <f>-'By Product'!I181/'By Product'!I$12</f>
        <v>6.3329650080884621E-4</v>
      </c>
      <c r="L54" s="202"/>
    </row>
    <row r="55" spans="2:12" ht="14.5" hidden="1" customHeight="1" outlineLevel="1">
      <c r="B55" s="400"/>
      <c r="C55" s="303"/>
      <c r="D55" s="176" t="s">
        <v>351</v>
      </c>
      <c r="E55" s="303"/>
      <c r="F55" s="177" t="e">
        <f>-'By Product'!D182/'By Product'!D$12</f>
        <v>#DIV/0!</v>
      </c>
      <c r="G55" s="177">
        <f>-'By Product'!E182/'By Product'!E$12</f>
        <v>5.5915102407949981E-4</v>
      </c>
      <c r="H55" s="177">
        <f>-'By Product'!F182/'By Product'!F$12</f>
        <v>4.011776800203211E-4</v>
      </c>
      <c r="I55" s="177" t="e">
        <f>-'By Product'!G182/'By Product'!G$12</f>
        <v>#DIV/0!</v>
      </c>
      <c r="J55" s="177">
        <f>-'By Product'!H182/'By Product'!H$12</f>
        <v>2.733599407289356E-4</v>
      </c>
      <c r="K55" s="177">
        <f>-'By Product'!I182/'By Product'!I$12</f>
        <v>2.2718331782624565E-3</v>
      </c>
      <c r="L55" s="202"/>
    </row>
    <row r="56" spans="2:12" ht="14.5" hidden="1" customHeight="1" outlineLevel="1">
      <c r="B56" s="400"/>
      <c r="C56" s="303"/>
      <c r="D56" s="186" t="s">
        <v>352</v>
      </c>
      <c r="E56" s="186"/>
      <c r="F56" s="186" t="e">
        <f t="shared" ref="F56:K56" si="4">SUM(F51:F55)</f>
        <v>#DIV/0!</v>
      </c>
      <c r="G56" s="186">
        <f t="shared" si="4"/>
        <v>1.266921021873891E-3</v>
      </c>
      <c r="H56" s="186">
        <f t="shared" si="4"/>
        <v>9.1388422708364183E-4</v>
      </c>
      <c r="I56" s="186" t="e">
        <f t="shared" si="4"/>
        <v>#DIV/0!</v>
      </c>
      <c r="J56" s="186">
        <f t="shared" si="4"/>
        <v>6.5007903277570903E-4</v>
      </c>
      <c r="K56" s="186">
        <f t="shared" si="4"/>
        <v>4.4577193804542703E-3</v>
      </c>
      <c r="L56" s="202"/>
    </row>
    <row r="57" spans="2:12" ht="14.5" hidden="1" customHeight="1" outlineLevel="1">
      <c r="B57" s="400"/>
      <c r="C57" s="303"/>
      <c r="D57" s="180"/>
      <c r="E57" s="303"/>
      <c r="F57" s="292"/>
      <c r="G57" s="292"/>
      <c r="H57" s="292"/>
      <c r="I57" s="292"/>
      <c r="J57" s="303"/>
      <c r="K57" s="303"/>
      <c r="L57" s="199"/>
    </row>
    <row r="58" spans="2:12" ht="14.5" hidden="1" customHeight="1" outlineLevel="1">
      <c r="B58" s="400"/>
      <c r="C58" s="181" t="s">
        <v>353</v>
      </c>
      <c r="D58" s="182"/>
      <c r="E58" s="303"/>
      <c r="F58" s="292"/>
      <c r="G58" s="292"/>
      <c r="H58" s="292"/>
      <c r="I58" s="292"/>
      <c r="J58" s="303"/>
      <c r="K58" s="303"/>
      <c r="L58" s="199"/>
    </row>
    <row r="59" spans="2:12" ht="14.5" hidden="1" customHeight="1" outlineLevel="1">
      <c r="B59" s="400"/>
      <c r="C59" s="303"/>
      <c r="D59" s="190" t="s">
        <v>81</v>
      </c>
      <c r="E59" s="187"/>
      <c r="F59" s="187" t="e">
        <f>-'By Product'!D191/'By Product'!D$12</f>
        <v>#DIV/0!</v>
      </c>
      <c r="G59" s="187">
        <f>-'By Product'!E191/'By Product'!E$12</f>
        <v>0.25954713573451593</v>
      </c>
      <c r="H59" s="187">
        <f>-'By Product'!F191/'By Product'!F$12</f>
        <v>0.1904512010116676</v>
      </c>
      <c r="I59" s="187" t="e">
        <f>-'By Product'!G191/'By Product'!G$12</f>
        <v>#DIV/0!</v>
      </c>
      <c r="J59" s="187">
        <f>-'By Product'!H191/'By Product'!H$12</f>
        <v>0.11391119467163911</v>
      </c>
      <c r="K59" s="187">
        <f>-'By Product'!I191/'By Product'!I$12</f>
        <v>0.23966845550902491</v>
      </c>
      <c r="L59" s="202"/>
    </row>
    <row r="60" spans="2:12" ht="14.5" hidden="1" customHeight="1" outlineLevel="1">
      <c r="B60" s="400"/>
      <c r="C60" s="303"/>
      <c r="D60" s="187"/>
      <c r="E60" s="187"/>
      <c r="F60" s="187"/>
      <c r="G60" s="187"/>
      <c r="H60" s="187"/>
      <c r="I60" s="187"/>
      <c r="J60" s="187"/>
      <c r="K60" s="187"/>
      <c r="L60" s="202"/>
    </row>
    <row r="61" spans="2:12" ht="15" hidden="1" customHeight="1" outlineLevel="1" thickBot="1">
      <c r="B61" s="400"/>
      <c r="C61" s="303"/>
      <c r="D61" s="189" t="s">
        <v>342</v>
      </c>
      <c r="E61" s="189"/>
      <c r="F61" s="189" t="e">
        <f t="shared" ref="F61:K61" si="5">SUM(F30,F42,F48,F56,F59)</f>
        <v>#DIV/0!</v>
      </c>
      <c r="G61" s="189" t="e">
        <f t="shared" si="5"/>
        <v>#REF!</v>
      </c>
      <c r="H61" s="189" t="e">
        <f t="shared" si="5"/>
        <v>#REF!</v>
      </c>
      <c r="I61" s="189" t="e">
        <f t="shared" si="5"/>
        <v>#DIV/0!</v>
      </c>
      <c r="J61" s="189" t="e">
        <f t="shared" si="5"/>
        <v>#REF!</v>
      </c>
      <c r="K61" s="189" t="e">
        <f t="shared" si="5"/>
        <v>#REF!</v>
      </c>
      <c r="L61" s="202"/>
    </row>
    <row r="62" spans="2:12" ht="14.5" hidden="1" customHeight="1" outlineLevel="1">
      <c r="B62" s="400"/>
      <c r="C62" s="303"/>
      <c r="D62" s="191"/>
      <c r="E62" s="191"/>
      <c r="F62" s="191"/>
      <c r="G62" s="191"/>
      <c r="H62" s="191"/>
      <c r="I62" s="191"/>
      <c r="J62" s="191"/>
      <c r="K62" s="191"/>
      <c r="L62" s="202"/>
    </row>
    <row r="63" spans="2:12" ht="14.5" hidden="1" customHeight="1" outlineLevel="1">
      <c r="B63" s="400"/>
      <c r="C63" s="303"/>
      <c r="D63" s="191"/>
      <c r="E63" s="215" t="s">
        <v>354</v>
      </c>
      <c r="F63" s="217" t="e">
        <f>ROUND(('By Product'!D$150/'By Product'!D$12)-Model_Summary!F$61-Model_Summary!F$10,0)</f>
        <v>#DIV/0!</v>
      </c>
      <c r="G63" s="217" t="e">
        <f>ROUND(('By Product'!E$150/'By Product'!E$12)-Model_Summary!G$61-Model_Summary!G$10,0)</f>
        <v>#REF!</v>
      </c>
      <c r="H63" s="217" t="e">
        <f>ROUND(('By Product'!F$150/'By Product'!F$12)-Model_Summary!H$61-Model_Summary!H$10,0)</f>
        <v>#REF!</v>
      </c>
      <c r="I63" s="217" t="e">
        <f>ROUND(('By Product'!G$150/'By Product'!G$12)-Model_Summary!I$61-Model_Summary!I$10,0)</f>
        <v>#DIV/0!</v>
      </c>
      <c r="J63" s="217" t="e">
        <f>ROUND(('By Product'!H$150/'By Product'!H$12)-Model_Summary!J$61-Model_Summary!J$10,0)</f>
        <v>#REF!</v>
      </c>
      <c r="K63" s="217" t="e">
        <f>ROUND(('By Product'!I$150/'By Product'!I$12)-Model_Summary!K$61-Model_Summary!K$10,0)</f>
        <v>#REF!</v>
      </c>
      <c r="L63" s="202"/>
    </row>
    <row r="64" spans="2:12" ht="15" hidden="1" customHeight="1" collapsed="1" thickBot="1">
      <c r="B64" s="414"/>
      <c r="C64" s="334"/>
      <c r="D64" s="334"/>
      <c r="E64" s="334"/>
      <c r="F64" s="334"/>
      <c r="G64" s="334"/>
      <c r="H64" s="334"/>
      <c r="I64" s="334"/>
      <c r="J64" s="334"/>
      <c r="K64" s="334"/>
      <c r="L64" s="201"/>
    </row>
    <row r="65" spans="2:17" ht="14.15" customHeight="1">
      <c r="B65" s="260"/>
      <c r="C65" s="260"/>
      <c r="D65" s="260"/>
      <c r="E65" s="260"/>
      <c r="F65" s="260"/>
      <c r="G65" s="260"/>
      <c r="H65" s="260"/>
      <c r="I65" s="260"/>
      <c r="J65" s="260"/>
      <c r="K65" s="260"/>
    </row>
    <row r="66" spans="2:17" ht="14.15" customHeight="1" thickBot="1">
      <c r="B66" s="174"/>
      <c r="C66" s="174"/>
      <c r="D66" s="174"/>
      <c r="E66" s="174"/>
      <c r="F66" s="174"/>
      <c r="G66" s="172" t="s">
        <v>355</v>
      </c>
      <c r="H66" s="174"/>
      <c r="I66" s="174"/>
      <c r="J66" s="174"/>
      <c r="K66" s="174"/>
      <c r="L66" s="174"/>
    </row>
    <row r="67" spans="2:17" ht="3" customHeight="1"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N67" s="260"/>
    </row>
    <row r="68" spans="2:17">
      <c r="B68" s="205" t="s">
        <v>525</v>
      </c>
      <c r="C68" s="206"/>
      <c r="D68" s="206"/>
      <c r="E68" s="206"/>
      <c r="F68" s="206"/>
      <c r="G68" s="206"/>
      <c r="H68" s="206"/>
      <c r="I68" s="206"/>
      <c r="J68" s="206"/>
      <c r="K68" s="206"/>
      <c r="L68" s="207"/>
    </row>
    <row r="69" spans="2:17" ht="5.15" customHeight="1" thickBot="1">
      <c r="B69" s="2"/>
      <c r="C69" s="260"/>
      <c r="D69" s="260"/>
      <c r="E69" s="260"/>
      <c r="F69" s="260"/>
      <c r="G69" s="260"/>
      <c r="H69" s="260"/>
      <c r="I69" s="260"/>
      <c r="J69" s="260"/>
      <c r="K69" s="260"/>
    </row>
    <row r="70" spans="2:17">
      <c r="B70" s="195"/>
      <c r="C70" s="193" t="s">
        <v>533</v>
      </c>
      <c r="D70" s="386"/>
      <c r="E70" s="386"/>
      <c r="F70" s="386"/>
      <c r="G70" s="386"/>
      <c r="H70" s="386"/>
      <c r="I70" s="386"/>
      <c r="J70" s="386"/>
      <c r="K70" s="386"/>
      <c r="L70" s="196"/>
    </row>
    <row r="71" spans="2:17" ht="4" customHeight="1">
      <c r="B71" s="197"/>
      <c r="C71" s="303"/>
      <c r="D71" s="303"/>
      <c r="E71" s="303"/>
      <c r="F71" s="303"/>
      <c r="G71" s="303"/>
      <c r="H71" s="303"/>
      <c r="I71" s="303"/>
      <c r="J71" s="303"/>
      <c r="K71" s="303"/>
      <c r="L71" s="199"/>
    </row>
    <row r="72" spans="2:17" ht="14.15" customHeight="1">
      <c r="B72" s="400"/>
      <c r="C72" s="401"/>
      <c r="D72" s="622"/>
      <c r="E72" s="415"/>
      <c r="F72" s="382"/>
      <c r="G72" s="368"/>
      <c r="H72" s="382"/>
      <c r="I72" s="382"/>
      <c r="J72" s="382"/>
      <c r="K72" s="368"/>
      <c r="L72" s="199"/>
      <c r="O72" s="684"/>
      <c r="Q72" s="459"/>
    </row>
    <row r="73" spans="2:17" ht="14.15" customHeight="1">
      <c r="B73" s="400"/>
      <c r="C73" s="402"/>
      <c r="D73" s="586" t="s">
        <v>329</v>
      </c>
      <c r="E73" s="586"/>
      <c r="F73" s="587" t="str">
        <f>'Loan 1'!D2</f>
        <v>5000 - 9999</v>
      </c>
      <c r="G73" s="601" t="str">
        <f>'Loan 1'!E2</f>
        <v>10k - 20k</v>
      </c>
      <c r="H73" s="32" t="str">
        <f>'Loan 1'!F2</f>
        <v>200k-319k</v>
      </c>
      <c r="I73" s="32" t="str">
        <f>'Loan 1'!G2</f>
        <v>320k-679k</v>
      </c>
      <c r="J73" s="32" t="str">
        <f>'Loan 1'!H2</f>
        <v>680k-1.999m</v>
      </c>
      <c r="K73" s="160" t="str">
        <f>'Loan 1'!I2</f>
        <v>Above 2m</v>
      </c>
      <c r="L73" s="199"/>
      <c r="Q73" s="459"/>
    </row>
    <row r="74" spans="2:17" ht="14.15" customHeight="1">
      <c r="B74" s="400"/>
      <c r="C74" s="402"/>
      <c r="D74" s="615" t="s">
        <v>331</v>
      </c>
      <c r="E74" s="403"/>
      <c r="F74" s="291"/>
      <c r="G74" s="405"/>
      <c r="H74" s="291"/>
      <c r="I74" s="291"/>
      <c r="J74" s="291"/>
      <c r="K74" s="405"/>
      <c r="L74" s="199"/>
      <c r="Q74" s="459"/>
    </row>
    <row r="75" spans="2:17" ht="14.15" customHeight="1">
      <c r="B75" s="400"/>
      <c r="C75" s="402"/>
      <c r="D75" s="335" t="s">
        <v>332</v>
      </c>
      <c r="E75" s="303"/>
      <c r="F75" s="291">
        <f>'Loan 1'!D214</f>
        <v>-123.62725423287247</v>
      </c>
      <c r="G75" s="405">
        <f>'Loan 1'!E214</f>
        <v>1011.7667257671224</v>
      </c>
      <c r="H75" s="291">
        <f>'Loan 1'!F214</f>
        <v>136519.36244736082</v>
      </c>
      <c r="I75" s="291">
        <f>'Loan 1'!G214</f>
        <v>223118.12533552633</v>
      </c>
      <c r="J75" s="291">
        <f>'Loan 1'!H214</f>
        <v>524371.28226762521</v>
      </c>
      <c r="K75" s="405">
        <f>'Loan 1'!I214</f>
        <v>1003204.4524661757</v>
      </c>
      <c r="L75" s="199"/>
      <c r="Q75" s="459"/>
    </row>
    <row r="76" spans="2:17" ht="14.15" hidden="1" customHeight="1">
      <c r="B76" s="400"/>
      <c r="C76" s="402"/>
      <c r="D76" s="335" t="s">
        <v>333</v>
      </c>
      <c r="E76" s="303"/>
      <c r="F76" s="291">
        <f>'Loan 1'!D218</f>
        <v>-123.62725423287247</v>
      </c>
      <c r="G76" s="405">
        <f>'Loan 1'!E218</f>
        <v>1011.7667257671224</v>
      </c>
      <c r="H76" s="291">
        <f>'Loan 1'!F218</f>
        <v>136519.36244736082</v>
      </c>
      <c r="I76" s="291">
        <f>'Loan 1'!G218</f>
        <v>223118.12533552633</v>
      </c>
      <c r="J76" s="291">
        <f>'Loan 1'!H218</f>
        <v>524371.28226762521</v>
      </c>
      <c r="K76" s="405">
        <f>'Loan 1'!I218</f>
        <v>1003204.4524661757</v>
      </c>
      <c r="L76" s="199"/>
      <c r="O76" s="684"/>
      <c r="Q76" s="459"/>
    </row>
    <row r="77" spans="2:17" ht="14.15" customHeight="1">
      <c r="B77" s="400"/>
      <c r="C77" s="402"/>
      <c r="D77" s="335" t="s">
        <v>356</v>
      </c>
      <c r="E77" s="303"/>
      <c r="F77" s="416">
        <f>'Loan 1'!D220</f>
        <v>-2.0604542372145412E-2</v>
      </c>
      <c r="G77" s="417">
        <f>'Loan 1'!E220</f>
        <v>5.0588336288356114E-2</v>
      </c>
      <c r="H77" s="416">
        <f>'Loan 1'!F220</f>
        <v>0.50007092471560743</v>
      </c>
      <c r="I77" s="416">
        <f>'Loan 1'!G220</f>
        <v>0.48161653369533364</v>
      </c>
      <c r="J77" s="416">
        <f>'Loan 1'!H220</f>
        <v>0.3495808548450835</v>
      </c>
      <c r="K77" s="417">
        <f>'Loan 1'!I220</f>
        <v>0.33440148415539189</v>
      </c>
      <c r="L77" s="199"/>
      <c r="N77" s="555"/>
      <c r="Q77" s="459"/>
    </row>
    <row r="78" spans="2:17" ht="14.15" hidden="1" customHeight="1">
      <c r="B78" s="400"/>
      <c r="C78" s="402"/>
      <c r="D78" s="335" t="s">
        <v>357</v>
      </c>
      <c r="E78" s="303"/>
      <c r="F78" s="416">
        <f>'Loan 1'!D221</f>
        <v>-2.0604542372145412E-2</v>
      </c>
      <c r="G78" s="417">
        <f>'Loan 1'!E221</f>
        <v>5.0588336288356114E-2</v>
      </c>
      <c r="H78" s="416">
        <f>'Loan 1'!F221</f>
        <v>0.50007092471560743</v>
      </c>
      <c r="I78" s="416">
        <f>'Loan 1'!G221</f>
        <v>0.48161653369533364</v>
      </c>
      <c r="J78" s="416">
        <f>'Loan 1'!H221</f>
        <v>0.3495808548450835</v>
      </c>
      <c r="K78" s="417">
        <f>'Loan 1'!I221</f>
        <v>0.33440148415539189</v>
      </c>
      <c r="L78" s="623"/>
      <c r="N78" s="555"/>
      <c r="Q78" s="459"/>
    </row>
    <row r="79" spans="2:17" ht="14.15" customHeight="1">
      <c r="B79" s="400"/>
      <c r="C79" s="402"/>
      <c r="D79" s="303"/>
      <c r="E79" s="303"/>
      <c r="F79" s="451"/>
      <c r="G79" s="419"/>
      <c r="H79" s="418"/>
      <c r="I79" s="418"/>
      <c r="J79" s="418"/>
      <c r="K79" s="419"/>
      <c r="L79" s="199"/>
      <c r="O79" s="684"/>
      <c r="Q79" s="459"/>
    </row>
    <row r="80" spans="2:17" ht="14.15" customHeight="1">
      <c r="B80" s="400"/>
      <c r="C80" s="402"/>
      <c r="D80" s="591" t="s">
        <v>1</v>
      </c>
      <c r="E80" s="303"/>
      <c r="F80" s="291"/>
      <c r="G80" s="405"/>
      <c r="H80" s="291"/>
      <c r="I80" s="291"/>
      <c r="J80" s="291"/>
      <c r="K80" s="405"/>
      <c r="L80" s="199"/>
      <c r="Q80" s="459"/>
    </row>
    <row r="81" spans="2:17" ht="14.15" customHeight="1">
      <c r="B81" s="400"/>
      <c r="C81" s="402"/>
      <c r="D81" s="335" t="s">
        <v>14</v>
      </c>
      <c r="E81" s="303"/>
      <c r="F81" s="604">
        <f>'DTI - Max loan calc'!C5</f>
        <v>6000</v>
      </c>
      <c r="G81" s="605">
        <f>'DTI - Max loan calc'!D5</f>
        <v>20000</v>
      </c>
      <c r="H81" s="165">
        <v>273000</v>
      </c>
      <c r="I81" s="165">
        <v>463269.23958276917</v>
      </c>
      <c r="J81" s="165">
        <v>1500000</v>
      </c>
      <c r="K81" s="166">
        <v>3000000</v>
      </c>
      <c r="L81" s="199"/>
      <c r="O81" s="684"/>
      <c r="Q81" s="459"/>
    </row>
    <row r="82" spans="2:17" hidden="1">
      <c r="B82" s="400"/>
      <c r="C82" s="402"/>
      <c r="D82" s="303" t="s">
        <v>13</v>
      </c>
      <c r="E82" s="303"/>
      <c r="F82" s="604">
        <v>1</v>
      </c>
      <c r="G82" s="605">
        <v>1</v>
      </c>
      <c r="H82" s="165">
        <v>1</v>
      </c>
      <c r="I82" s="165">
        <v>1</v>
      </c>
      <c r="J82" s="165">
        <v>1</v>
      </c>
      <c r="K82" s="166">
        <v>1</v>
      </c>
      <c r="L82" s="408"/>
      <c r="Q82" s="459"/>
    </row>
    <row r="83" spans="2:17" hidden="1">
      <c r="B83" s="400"/>
      <c r="C83" s="402"/>
      <c r="D83" s="303" t="s">
        <v>358</v>
      </c>
      <c r="E83" s="303"/>
      <c r="F83" s="631">
        <v>0.5</v>
      </c>
      <c r="G83" s="632">
        <v>0.5</v>
      </c>
      <c r="H83" s="241">
        <v>0.12</v>
      </c>
      <c r="I83" s="241">
        <v>0.19</v>
      </c>
      <c r="J83" s="241">
        <v>0.32</v>
      </c>
      <c r="K83" s="242">
        <v>0.25675675675675674</v>
      </c>
      <c r="L83" s="663">
        <v>3</v>
      </c>
      <c r="Q83" s="459"/>
    </row>
    <row r="84" spans="2:17" hidden="1">
      <c r="B84" s="400"/>
      <c r="C84" s="402"/>
      <c r="D84" s="659" t="s">
        <v>480</v>
      </c>
      <c r="E84" s="420"/>
      <c r="F84" s="253">
        <v>6.6246056782334389E-2</v>
      </c>
      <c r="G84" s="254">
        <v>7.0000000000000007E-2</v>
      </c>
      <c r="H84" s="253">
        <v>0.12760195001160721</v>
      </c>
      <c r="I84" s="253">
        <v>0.38174583436955983</v>
      </c>
      <c r="J84" s="253">
        <v>0.45191236539175639</v>
      </c>
      <c r="K84" s="254">
        <v>0.25675675675675674</v>
      </c>
      <c r="L84" s="431"/>
      <c r="O84" s="684"/>
      <c r="Q84" s="459"/>
    </row>
    <row r="85" spans="2:17" ht="14.15" hidden="1" customHeight="1">
      <c r="B85" s="400"/>
      <c r="C85" s="402"/>
      <c r="D85" s="303" t="s">
        <v>360</v>
      </c>
      <c r="E85" s="303"/>
      <c r="F85" s="406">
        <f>Assumption_Sheet!B300</f>
        <v>0.29999999999999971</v>
      </c>
      <c r="G85" s="407">
        <f>Assumption_Sheet!C300</f>
        <v>0.29999999999999971</v>
      </c>
      <c r="H85" s="406">
        <f>Assumption_Sheet!D300</f>
        <v>8.8123555729852698E-2</v>
      </c>
      <c r="I85" s="406">
        <f>Assumption_Sheet!E300</f>
        <v>8.5259380039840502E-2</v>
      </c>
      <c r="J85" s="406">
        <f>Assumption_Sheet!F300</f>
        <v>6.6153226409019689E-2</v>
      </c>
      <c r="K85" s="407">
        <f>Assumption_Sheet!G300</f>
        <v>6.3131644929473762E-2</v>
      </c>
      <c r="L85" s="199"/>
      <c r="Q85" s="459"/>
    </row>
    <row r="86" spans="2:17" ht="14.15" customHeight="1">
      <c r="B86" s="400"/>
      <c r="C86" s="402"/>
      <c r="D86" s="303" t="s">
        <v>361</v>
      </c>
      <c r="E86" s="303"/>
      <c r="F86" s="161">
        <v>0.3</v>
      </c>
      <c r="G86" s="602">
        <v>0.3</v>
      </c>
      <c r="H86" s="558">
        <v>5.5E-2</v>
      </c>
      <c r="I86" s="558">
        <v>5.2999999999999999E-2</v>
      </c>
      <c r="J86" s="558">
        <v>0.04</v>
      </c>
      <c r="K86" s="558">
        <v>3.7999999999999999E-2</v>
      </c>
      <c r="L86" s="199"/>
      <c r="M86" s="555"/>
      <c r="Q86" s="459"/>
    </row>
    <row r="87" spans="2:17" ht="14.15" hidden="1" customHeight="1">
      <c r="B87" s="400"/>
      <c r="C87" s="402"/>
      <c r="D87" s="420" t="s">
        <v>337</v>
      </c>
      <c r="E87" s="420"/>
      <c r="F87" s="267">
        <v>0.1239</v>
      </c>
      <c r="G87" s="268">
        <v>0.1239</v>
      </c>
      <c r="H87" s="267">
        <v>9.7299999999999998E-2</v>
      </c>
      <c r="I87" s="267">
        <v>8.48E-2</v>
      </c>
      <c r="J87" s="267">
        <v>6.4500000000000002E-2</v>
      </c>
      <c r="K87" s="268">
        <v>6.2700000000000006E-2</v>
      </c>
      <c r="L87" s="199"/>
      <c r="Q87" s="459"/>
    </row>
    <row r="88" spans="2:17" ht="14.15" hidden="1" customHeight="1">
      <c r="B88" s="400"/>
      <c r="C88" s="402"/>
      <c r="D88" s="420" t="s">
        <v>338</v>
      </c>
      <c r="E88" s="420"/>
      <c r="F88" s="257">
        <v>7.9000000000000001E-2</v>
      </c>
      <c r="G88" s="269">
        <v>7.9000000000000001E-2</v>
      </c>
      <c r="H88" s="257">
        <v>6.0999999999999999E-2</v>
      </c>
      <c r="I88" s="257">
        <v>5.2999999999999999E-2</v>
      </c>
      <c r="J88" s="257">
        <v>0.04</v>
      </c>
      <c r="K88" s="269">
        <v>3.7999999999999999E-2</v>
      </c>
      <c r="L88" s="199"/>
      <c r="Q88" s="273"/>
    </row>
    <row r="89" spans="2:17" ht="14.15" customHeight="1">
      <c r="B89" s="400"/>
      <c r="C89" s="402"/>
      <c r="D89" s="335" t="s">
        <v>10</v>
      </c>
      <c r="E89" s="303"/>
      <c r="F89" s="603">
        <v>1</v>
      </c>
      <c r="G89" s="164">
        <v>1</v>
      </c>
      <c r="H89" s="163">
        <v>12</v>
      </c>
      <c r="I89" s="163">
        <v>12</v>
      </c>
      <c r="J89" s="163">
        <v>12</v>
      </c>
      <c r="K89" s="163">
        <v>12</v>
      </c>
      <c r="L89" s="199"/>
      <c r="Q89" s="273"/>
    </row>
    <row r="90" spans="2:17" ht="14.15" customHeight="1">
      <c r="B90" s="400"/>
      <c r="C90" s="402"/>
      <c r="D90" s="303" t="s">
        <v>11</v>
      </c>
      <c r="E90" s="303"/>
      <c r="F90" s="406">
        <v>0.13500000000000001</v>
      </c>
      <c r="G90" s="407">
        <v>0.13500000000000001</v>
      </c>
      <c r="H90" s="406">
        <v>0.13500000000000001</v>
      </c>
      <c r="I90" s="406">
        <v>0.13500000000000001</v>
      </c>
      <c r="J90" s="406">
        <v>0.13500000000000001</v>
      </c>
      <c r="K90" s="406">
        <v>0.13500000000000001</v>
      </c>
      <c r="L90" s="199"/>
      <c r="Q90" s="273"/>
    </row>
    <row r="91" spans="2:17" ht="14.15" customHeight="1">
      <c r="B91" s="400"/>
      <c r="C91" s="402"/>
      <c r="D91" s="303" t="s">
        <v>362</v>
      </c>
      <c r="E91" s="303"/>
      <c r="F91" s="243">
        <f>F92*$L91</f>
        <v>0.15210000000000001</v>
      </c>
      <c r="G91" s="633">
        <f t="shared" ref="G91:K91" si="6">G92*$L91</f>
        <v>0.15210000000000001</v>
      </c>
      <c r="H91" s="644">
        <f t="shared" si="6"/>
        <v>6.0450000000000004E-2</v>
      </c>
      <c r="I91" s="633">
        <f t="shared" si="6"/>
        <v>5.5899999999999998E-2</v>
      </c>
      <c r="J91" s="633">
        <f t="shared" si="6"/>
        <v>3.5750000000000004E-2</v>
      </c>
      <c r="K91" s="633">
        <f t="shared" si="6"/>
        <v>3.2500000000000001E-2</v>
      </c>
      <c r="L91" s="261">
        <v>0.65</v>
      </c>
      <c r="Q91" s="273"/>
    </row>
    <row r="92" spans="2:17">
      <c r="B92" s="400"/>
      <c r="C92" s="409"/>
      <c r="D92" s="660" t="s">
        <v>481</v>
      </c>
      <c r="E92" s="421"/>
      <c r="F92" s="462">
        <v>0.23400000000000001</v>
      </c>
      <c r="G92" s="463">
        <v>0.23400000000000001</v>
      </c>
      <c r="H92" s="255">
        <v>9.2999999999999999E-2</v>
      </c>
      <c r="I92" s="255">
        <v>8.5999999999999993E-2</v>
      </c>
      <c r="J92" s="255">
        <v>5.5E-2</v>
      </c>
      <c r="K92" s="256">
        <v>0.05</v>
      </c>
      <c r="L92" s="261"/>
      <c r="Q92" s="273"/>
    </row>
    <row r="93" spans="2:17" ht="14.15" hidden="1" customHeight="1" thickBot="1">
      <c r="B93" s="200" t="s">
        <v>339</v>
      </c>
      <c r="C93" s="645"/>
      <c r="D93" s="646"/>
      <c r="E93" s="646"/>
      <c r="F93" s="647"/>
      <c r="G93" s="647"/>
      <c r="H93" s="412"/>
      <c r="I93" s="412"/>
      <c r="J93" s="411"/>
      <c r="K93" s="411"/>
      <c r="L93" s="413"/>
      <c r="Q93" s="273"/>
    </row>
    <row r="94" spans="2:17" ht="4" customHeight="1">
      <c r="B94" s="400"/>
      <c r="C94" s="303"/>
      <c r="D94" s="303"/>
      <c r="E94" s="303"/>
      <c r="F94" s="292"/>
      <c r="G94" s="292"/>
      <c r="H94" s="292"/>
      <c r="I94" s="292"/>
      <c r="J94" s="303"/>
      <c r="K94" s="303"/>
      <c r="L94" s="199"/>
      <c r="Q94" s="273"/>
    </row>
    <row r="95" spans="2:17" ht="14.5" hidden="1" customHeight="1" outlineLevel="1">
      <c r="B95" s="400"/>
      <c r="C95" s="181" t="s">
        <v>340</v>
      </c>
      <c r="D95" s="180"/>
      <c r="E95" s="303"/>
      <c r="F95" s="292"/>
      <c r="G95" s="292"/>
      <c r="H95" s="292"/>
      <c r="I95" s="292"/>
      <c r="J95" s="303"/>
      <c r="K95" s="303"/>
      <c r="L95" s="199"/>
      <c r="Q95" s="273"/>
    </row>
    <row r="96" spans="2:17" ht="4" hidden="1" customHeight="1" outlineLevel="1" thickBot="1">
      <c r="B96" s="400"/>
      <c r="C96" s="303"/>
      <c r="D96" s="180"/>
      <c r="E96" s="303"/>
      <c r="F96" s="292"/>
      <c r="G96" s="292"/>
      <c r="H96" s="292"/>
      <c r="I96" s="292"/>
      <c r="J96" s="303"/>
      <c r="K96" s="303"/>
      <c r="L96" s="199"/>
    </row>
    <row r="97" spans="2:12" ht="14.5" hidden="1" customHeight="1" outlineLevel="1">
      <c r="B97" s="400"/>
      <c r="C97" s="303"/>
      <c r="D97" s="183" t="s">
        <v>47</v>
      </c>
      <c r="E97" s="305"/>
      <c r="F97" s="410"/>
      <c r="G97" s="410"/>
      <c r="H97" s="410"/>
      <c r="I97" s="410"/>
      <c r="J97" s="305"/>
      <c r="K97" s="305"/>
      <c r="L97" s="199"/>
    </row>
    <row r="98" spans="2:12" ht="14.5" hidden="1" customHeight="1" outlineLevel="1">
      <c r="B98" s="400"/>
      <c r="C98" s="303"/>
      <c r="D98" s="176" t="s">
        <v>37</v>
      </c>
      <c r="E98" s="303"/>
      <c r="F98" s="177">
        <f>-'Loan 1'!D$179/'Loan 1'!D$12</f>
        <v>1.1250000000000003E-2</v>
      </c>
      <c r="G98" s="177">
        <f>-'Loan 1'!E$179/'Loan 1'!E$12</f>
        <v>1.1250000000000001E-2</v>
      </c>
      <c r="H98" s="177">
        <f>-'Loan 1'!F$179/'Loan 1'!F$12</f>
        <v>8.4256700021975647E-2</v>
      </c>
      <c r="I98" s="177">
        <f>-'Loan 1'!G$179/'Loan 1'!G$12</f>
        <v>8.3920385025756369E-2</v>
      </c>
      <c r="J98" s="177">
        <f>-'Loan 1'!H$179/'Loan 1'!H$12</f>
        <v>8.1628671693385724E-2</v>
      </c>
      <c r="K98" s="177">
        <f>-'Loan 1'!I$179/'Loan 1'!I$12</f>
        <v>8.1258772929666226E-2</v>
      </c>
      <c r="L98" s="199"/>
    </row>
    <row r="99" spans="2:12" ht="14.5" hidden="1" customHeight="1" outlineLevel="1">
      <c r="B99" s="400"/>
      <c r="C99" s="303"/>
      <c r="D99" s="176" t="s">
        <v>341</v>
      </c>
      <c r="E99" s="303"/>
      <c r="F99" s="177">
        <f>-SUM('Loan 1'!D$182:D$184)/'Loan 1'!D$12</f>
        <v>1.0837096666666662E-2</v>
      </c>
      <c r="G99" s="177">
        <f>-SUM('Loan 1'!E$182:E$184)/'Loan 1'!E$12</f>
        <v>1.0195429999999997E-2</v>
      </c>
      <c r="H99" s="177">
        <f>-SUM('Loan 1'!F$182:F$184)/'Loan 1'!F$12</f>
        <v>1.4057023520146561E-2</v>
      </c>
      <c r="I99" s="177">
        <f>-SUM('Loan 1'!G$182:G$184)/'Loan 1'!G$12</f>
        <v>1.3912800545893389E-2</v>
      </c>
      <c r="J99" s="177">
        <f>-SUM('Loan 1'!H$182:H$184)/'Loan 1'!H$12</f>
        <v>1.2847476666666731E-2</v>
      </c>
      <c r="K99" s="177">
        <f>-SUM('Loan 1'!I$182:I$184)/'Loan 1'!I$12</f>
        <v>7.7418333333333332E-3</v>
      </c>
      <c r="L99" s="199"/>
    </row>
    <row r="100" spans="2:12" ht="14.5" hidden="1" customHeight="1" outlineLevel="1">
      <c r="B100" s="400"/>
      <c r="C100" s="303"/>
      <c r="D100" s="186" t="s">
        <v>342</v>
      </c>
      <c r="E100" s="186"/>
      <c r="F100" s="186">
        <f t="shared" ref="F100:K100" si="7">SUM(F98:F99)</f>
        <v>2.2087096666666667E-2</v>
      </c>
      <c r="G100" s="186">
        <f t="shared" si="7"/>
        <v>2.1445429999999998E-2</v>
      </c>
      <c r="H100" s="186">
        <f t="shared" si="7"/>
        <v>9.8313723542122214E-2</v>
      </c>
      <c r="I100" s="186">
        <f t="shared" si="7"/>
        <v>9.7833185571649758E-2</v>
      </c>
      <c r="J100" s="186">
        <f t="shared" si="7"/>
        <v>9.4476148360052456E-2</v>
      </c>
      <c r="K100" s="186">
        <f t="shared" si="7"/>
        <v>8.9000606262999563E-2</v>
      </c>
      <c r="L100" s="202"/>
    </row>
    <row r="101" spans="2:12" ht="4" hidden="1" customHeight="1" outlineLevel="1" thickBot="1">
      <c r="B101" s="400"/>
      <c r="C101" s="303"/>
      <c r="D101" s="180"/>
      <c r="E101" s="303"/>
      <c r="F101" s="292"/>
      <c r="G101" s="292"/>
      <c r="H101" s="292"/>
      <c r="I101" s="292"/>
      <c r="J101" s="303"/>
      <c r="K101" s="303"/>
      <c r="L101" s="199"/>
    </row>
    <row r="102" spans="2:12" ht="14.5" hidden="1" customHeight="1" outlineLevel="1">
      <c r="B102" s="400"/>
      <c r="C102" s="303"/>
      <c r="D102" s="183" t="s">
        <v>343</v>
      </c>
      <c r="E102" s="305"/>
      <c r="F102" s="410"/>
      <c r="G102" s="410"/>
      <c r="H102" s="410"/>
      <c r="I102" s="410"/>
      <c r="J102" s="305"/>
      <c r="K102" s="305"/>
      <c r="L102" s="199"/>
    </row>
    <row r="103" spans="2:12" ht="14.5" hidden="1" customHeight="1" outlineLevel="1">
      <c r="B103" s="400"/>
      <c r="C103" s="303"/>
      <c r="D103" s="176" t="s">
        <v>52</v>
      </c>
      <c r="E103" s="303"/>
      <c r="F103" s="177" t="e">
        <f>-'Loan 1'!#REF!/'Loan 1'!D$12</f>
        <v>#REF!</v>
      </c>
      <c r="G103" s="177" t="e">
        <f>-'Loan 1'!#REF!/'Loan 1'!E$12</f>
        <v>#REF!</v>
      </c>
      <c r="H103" s="177" t="e">
        <f>-'Loan 1'!#REF!/'Loan 1'!F$12</f>
        <v>#REF!</v>
      </c>
      <c r="I103" s="177" t="e">
        <f>-'Loan 1'!#REF!/'Loan 1'!G$12</f>
        <v>#REF!</v>
      </c>
      <c r="J103" s="177" t="e">
        <f>-'Loan 1'!#REF!/'Loan 1'!H$12</f>
        <v>#REF!</v>
      </c>
      <c r="K103" s="177" t="e">
        <f>-'Loan 1'!#REF!/'Loan 1'!I$12</f>
        <v>#REF!</v>
      </c>
      <c r="L103" s="202"/>
    </row>
    <row r="104" spans="2:12" ht="14.5" hidden="1" customHeight="1" outlineLevel="1">
      <c r="B104" s="400"/>
      <c r="C104" s="303"/>
      <c r="D104" s="176" t="s">
        <v>53</v>
      </c>
      <c r="E104" s="303"/>
      <c r="F104" s="177" t="e">
        <f>-'Loan 1'!#REF!/'Loan 1'!D$12</f>
        <v>#REF!</v>
      </c>
      <c r="G104" s="177" t="e">
        <f>-'Loan 1'!#REF!/'Loan 1'!E$12</f>
        <v>#REF!</v>
      </c>
      <c r="H104" s="177" t="e">
        <f>-'Loan 1'!#REF!/'Loan 1'!F$12</f>
        <v>#REF!</v>
      </c>
      <c r="I104" s="177" t="e">
        <f>-'Loan 1'!#REF!/'Loan 1'!G$12</f>
        <v>#REF!</v>
      </c>
      <c r="J104" s="177" t="e">
        <f>-'Loan 1'!#REF!/'Loan 1'!H$12</f>
        <v>#REF!</v>
      </c>
      <c r="K104" s="177" t="e">
        <f>-'Loan 1'!#REF!/'Loan 1'!I$12</f>
        <v>#REF!</v>
      </c>
      <c r="L104" s="202"/>
    </row>
    <row r="105" spans="2:12" ht="14.5" hidden="1" customHeight="1" outlineLevel="1">
      <c r="B105" s="400"/>
      <c r="C105" s="303"/>
      <c r="D105" s="176" t="s">
        <v>54</v>
      </c>
      <c r="E105" s="303"/>
      <c r="F105" s="177" t="e">
        <f>-'Loan 1'!#REF!/'Loan 1'!D$12</f>
        <v>#REF!</v>
      </c>
      <c r="G105" s="177" t="e">
        <f>-'Loan 1'!#REF!/'Loan 1'!E$12</f>
        <v>#REF!</v>
      </c>
      <c r="H105" s="177" t="e">
        <f>-'Loan 1'!#REF!/'Loan 1'!F$12</f>
        <v>#REF!</v>
      </c>
      <c r="I105" s="177" t="e">
        <f>-'Loan 1'!#REF!/'Loan 1'!G$12</f>
        <v>#REF!</v>
      </c>
      <c r="J105" s="177" t="e">
        <f>-'Loan 1'!#REF!/'Loan 1'!H$12</f>
        <v>#REF!</v>
      </c>
      <c r="K105" s="177" t="e">
        <f>-'Loan 1'!#REF!/'Loan 1'!I$12</f>
        <v>#REF!</v>
      </c>
      <c r="L105" s="202"/>
    </row>
    <row r="106" spans="2:12" ht="14.5" hidden="1" customHeight="1" outlineLevel="1">
      <c r="B106" s="400"/>
      <c r="C106" s="303"/>
      <c r="D106" s="176" t="s">
        <v>55</v>
      </c>
      <c r="E106" s="303"/>
      <c r="F106" s="177" t="e">
        <f>-'Loan 1'!#REF!/'Loan 1'!D$12</f>
        <v>#REF!</v>
      </c>
      <c r="G106" s="177" t="e">
        <f>-'Loan 1'!#REF!/'Loan 1'!E$12</f>
        <v>#REF!</v>
      </c>
      <c r="H106" s="177" t="e">
        <f>-'Loan 1'!#REF!/'Loan 1'!F$12</f>
        <v>#REF!</v>
      </c>
      <c r="I106" s="177" t="e">
        <f>-'Loan 1'!#REF!/'Loan 1'!G$12</f>
        <v>#REF!</v>
      </c>
      <c r="J106" s="177" t="e">
        <f>-'Loan 1'!#REF!/'Loan 1'!H$12</f>
        <v>#REF!</v>
      </c>
      <c r="K106" s="177" t="e">
        <f>-'Loan 1'!#REF!/'Loan 1'!I$12</f>
        <v>#REF!</v>
      </c>
      <c r="L106" s="202"/>
    </row>
    <row r="107" spans="2:12" ht="14.5" hidden="1" customHeight="1" outlineLevel="1">
      <c r="B107" s="400"/>
      <c r="C107" s="303"/>
      <c r="D107" s="176" t="s">
        <v>56</v>
      </c>
      <c r="E107" s="303"/>
      <c r="F107" s="177">
        <f>-'Loan 1'!D189/'Loan 1'!D$12</f>
        <v>0</v>
      </c>
      <c r="G107" s="177">
        <f>-'Loan 1'!E189/'Loan 1'!E$12</f>
        <v>0</v>
      </c>
      <c r="H107" s="177">
        <f>-'Loan 1'!F189/'Loan 1'!F$12</f>
        <v>0</v>
      </c>
      <c r="I107" s="177">
        <f>-'Loan 1'!G189/'Loan 1'!G$12</f>
        <v>0</v>
      </c>
      <c r="J107" s="177">
        <f>-'Loan 1'!H189/'Loan 1'!H$12</f>
        <v>0</v>
      </c>
      <c r="K107" s="185">
        <f>-'Loan 1'!I189/'Loan 1'!I$12</f>
        <v>0</v>
      </c>
      <c r="L107" s="202"/>
    </row>
    <row r="108" spans="2:12" ht="14.5" hidden="1" customHeight="1" outlineLevel="1">
      <c r="B108" s="400"/>
      <c r="C108" s="303"/>
      <c r="D108" s="176" t="s">
        <v>57</v>
      </c>
      <c r="E108" s="303"/>
      <c r="F108" s="177">
        <f>-'Loan 1'!D190/'Loan 1'!D$12</f>
        <v>0</v>
      </c>
      <c r="G108" s="177">
        <f>-'Loan 1'!E190/'Loan 1'!E$12</f>
        <v>0</v>
      </c>
      <c r="H108" s="177">
        <f>-'Loan 1'!F190/'Loan 1'!F$12</f>
        <v>0</v>
      </c>
      <c r="I108" s="177">
        <f>-'Loan 1'!G190/'Loan 1'!G$12</f>
        <v>0</v>
      </c>
      <c r="J108" s="177">
        <f>-'Loan 1'!H190/'Loan 1'!H$12</f>
        <v>0</v>
      </c>
      <c r="K108" s="185">
        <f>-'Loan 1'!I190/'Loan 1'!I$12</f>
        <v>0</v>
      </c>
      <c r="L108" s="202"/>
    </row>
    <row r="109" spans="2:12" ht="14.5" hidden="1" customHeight="1" outlineLevel="1">
      <c r="B109" s="400"/>
      <c r="C109" s="303"/>
      <c r="D109" s="176" t="s">
        <v>58</v>
      </c>
      <c r="E109" s="303"/>
      <c r="F109" s="177">
        <f>-'Loan 1'!D191/'Loan 1'!D$12</f>
        <v>0</v>
      </c>
      <c r="G109" s="177">
        <f>-'Loan 1'!E191/'Loan 1'!E$12</f>
        <v>0</v>
      </c>
      <c r="H109" s="177">
        <f>-'Loan 1'!F191/'Loan 1'!F$12</f>
        <v>0</v>
      </c>
      <c r="I109" s="177">
        <f>-'Loan 1'!G191/'Loan 1'!G$12</f>
        <v>0</v>
      </c>
      <c r="J109" s="177">
        <f>-'Loan 1'!H191/'Loan 1'!H$12</f>
        <v>0</v>
      </c>
      <c r="K109" s="185">
        <f>-'Loan 1'!I191/'Loan 1'!I$12</f>
        <v>0</v>
      </c>
      <c r="L109" s="202"/>
    </row>
    <row r="110" spans="2:12" ht="14.5" hidden="1" customHeight="1" outlineLevel="1">
      <c r="B110" s="400"/>
      <c r="C110" s="303"/>
      <c r="D110" s="176" t="s">
        <v>59</v>
      </c>
      <c r="E110" s="303"/>
      <c r="F110" s="177" t="e">
        <f>-'Loan 1'!#REF!/'Loan 1'!D$12</f>
        <v>#REF!</v>
      </c>
      <c r="G110" s="177" t="e">
        <f>-'Loan 1'!#REF!/'Loan 1'!E$12</f>
        <v>#REF!</v>
      </c>
      <c r="H110" s="177" t="e">
        <f>-'Loan 1'!#REF!/'Loan 1'!F$12</f>
        <v>#REF!</v>
      </c>
      <c r="I110" s="177" t="e">
        <f>-'Loan 1'!#REF!/'Loan 1'!G$12</f>
        <v>#REF!</v>
      </c>
      <c r="J110" s="177" t="e">
        <f>-'Loan 1'!#REF!/'Loan 1'!H$12</f>
        <v>#REF!</v>
      </c>
      <c r="K110" s="177" t="e">
        <f>-'Loan 1'!#REF!/'Loan 1'!I$12</f>
        <v>#REF!</v>
      </c>
      <c r="L110" s="202"/>
    </row>
    <row r="111" spans="2:12" ht="14.5" hidden="1" customHeight="1" outlineLevel="1">
      <c r="B111" s="400"/>
      <c r="C111" s="303"/>
      <c r="D111" s="176" t="s">
        <v>344</v>
      </c>
      <c r="E111" s="303"/>
      <c r="F111" s="177" t="e">
        <f>-SUM('Loan 1'!#REF!)/'Loan 1'!D$12</f>
        <v>#REF!</v>
      </c>
      <c r="G111" s="177" t="e">
        <f>-SUM('Loan 1'!#REF!)/'Loan 1'!E$12</f>
        <v>#REF!</v>
      </c>
      <c r="H111" s="177" t="e">
        <f>-SUM('Loan 1'!#REF!)/'Loan 1'!F$12</f>
        <v>#REF!</v>
      </c>
      <c r="I111" s="177" t="e">
        <f>-SUM('Loan 1'!#REF!)/'Loan 1'!G$12</f>
        <v>#REF!</v>
      </c>
      <c r="J111" s="177" t="e">
        <f>-SUM('Loan 1'!#REF!)/'Loan 1'!H$12</f>
        <v>#REF!</v>
      </c>
      <c r="K111" s="177" t="e">
        <f>-SUM('Loan 1'!#REF!)/'Loan 1'!I$12</f>
        <v>#REF!</v>
      </c>
      <c r="L111" s="202"/>
    </row>
    <row r="112" spans="2:12" ht="14.5" hidden="1" customHeight="1" outlineLevel="1">
      <c r="B112" s="400"/>
      <c r="C112" s="303"/>
      <c r="D112" s="186" t="s">
        <v>342</v>
      </c>
      <c r="E112" s="186"/>
      <c r="F112" s="186" t="e">
        <f t="shared" ref="F112:K112" si="8">SUM(F103:F111)</f>
        <v>#REF!</v>
      </c>
      <c r="G112" s="186" t="e">
        <f t="shared" si="8"/>
        <v>#REF!</v>
      </c>
      <c r="H112" s="186" t="e">
        <f t="shared" si="8"/>
        <v>#REF!</v>
      </c>
      <c r="I112" s="186" t="e">
        <f t="shared" si="8"/>
        <v>#REF!</v>
      </c>
      <c r="J112" s="186" t="e">
        <f t="shared" si="8"/>
        <v>#REF!</v>
      </c>
      <c r="K112" s="186" t="e">
        <f t="shared" si="8"/>
        <v>#REF!</v>
      </c>
      <c r="L112" s="202"/>
    </row>
    <row r="113" spans="2:12" ht="4" hidden="1" customHeight="1" outlineLevel="1" thickBot="1">
      <c r="B113" s="400"/>
      <c r="C113" s="303"/>
      <c r="D113" s="180"/>
      <c r="E113" s="303"/>
      <c r="F113" s="292"/>
      <c r="G113" s="292"/>
      <c r="H113" s="292"/>
      <c r="I113" s="292"/>
      <c r="J113" s="303"/>
      <c r="K113" s="303"/>
      <c r="L113" s="199"/>
    </row>
    <row r="114" spans="2:12" ht="14.5" hidden="1" customHeight="1" outlineLevel="1">
      <c r="B114" s="400"/>
      <c r="C114" s="303"/>
      <c r="D114" s="183" t="s">
        <v>345</v>
      </c>
      <c r="E114" s="305"/>
      <c r="F114" s="410"/>
      <c r="G114" s="410"/>
      <c r="H114" s="410"/>
      <c r="I114" s="410"/>
      <c r="J114" s="305"/>
      <c r="K114" s="305"/>
      <c r="L114" s="199"/>
    </row>
    <row r="115" spans="2:12" ht="14.5" hidden="1" customHeight="1" outlineLevel="1">
      <c r="B115" s="400"/>
      <c r="C115" s="303"/>
      <c r="D115" s="176" t="s">
        <v>66</v>
      </c>
      <c r="E115" s="303"/>
      <c r="F115" s="177" t="e">
        <f>-'Loan 1'!#REF!/'Loan 1'!D$12</f>
        <v>#REF!</v>
      </c>
      <c r="G115" s="177" t="e">
        <f>-'Loan 1'!#REF!/'Loan 1'!E$12</f>
        <v>#REF!</v>
      </c>
      <c r="H115" s="177" t="e">
        <f>-'Loan 1'!#REF!/'Loan 1'!F$12</f>
        <v>#REF!</v>
      </c>
      <c r="I115" s="177" t="e">
        <f>-'Loan 1'!#REF!/'Loan 1'!G$12</f>
        <v>#REF!</v>
      </c>
      <c r="J115" s="177" t="e">
        <f>-'Loan 1'!#REF!/'Loan 1'!H$12</f>
        <v>#REF!</v>
      </c>
      <c r="K115" s="177" t="e">
        <f>-'Loan 1'!#REF!/'Loan 1'!I$12</f>
        <v>#REF!</v>
      </c>
      <c r="L115" s="202"/>
    </row>
    <row r="116" spans="2:12" ht="14.5" hidden="1" customHeight="1" outlineLevel="1">
      <c r="B116" s="400"/>
      <c r="C116" s="303"/>
      <c r="D116" s="176" t="s">
        <v>67</v>
      </c>
      <c r="E116" s="303"/>
      <c r="F116" s="177" t="e">
        <f>-'Loan 1'!#REF!/'Loan 1'!D$12</f>
        <v>#REF!</v>
      </c>
      <c r="G116" s="177" t="e">
        <f>-'Loan 1'!#REF!/'Loan 1'!E$12</f>
        <v>#REF!</v>
      </c>
      <c r="H116" s="177" t="e">
        <f>-'Loan 1'!#REF!/'Loan 1'!F$12</f>
        <v>#REF!</v>
      </c>
      <c r="I116" s="177" t="e">
        <f>-'Loan 1'!#REF!/'Loan 1'!G$12</f>
        <v>#REF!</v>
      </c>
      <c r="J116" s="177" t="e">
        <f>-'Loan 1'!#REF!/'Loan 1'!H$12</f>
        <v>#REF!</v>
      </c>
      <c r="K116" s="177" t="e">
        <f>-'Loan 1'!#REF!/'Loan 1'!I$12</f>
        <v>#REF!</v>
      </c>
      <c r="L116" s="202"/>
    </row>
    <row r="117" spans="2:12" ht="14.5" hidden="1" customHeight="1" outlineLevel="1">
      <c r="B117" s="400"/>
      <c r="C117" s="303"/>
      <c r="D117" s="176" t="s">
        <v>68</v>
      </c>
      <c r="E117" s="303"/>
      <c r="F117" s="177">
        <f>-'Loan 1'!D198/'Loan 1'!D$12</f>
        <v>0</v>
      </c>
      <c r="G117" s="177">
        <f>-'Loan 1'!E198/'Loan 1'!E$12</f>
        <v>0</v>
      </c>
      <c r="H117" s="177">
        <f>-'Loan 1'!F198/'Loan 1'!F$12</f>
        <v>0</v>
      </c>
      <c r="I117" s="177">
        <f>-'Loan 1'!G198/'Loan 1'!G$12</f>
        <v>0</v>
      </c>
      <c r="J117" s="177">
        <f>-'Loan 1'!H198/'Loan 1'!H$12</f>
        <v>0</v>
      </c>
      <c r="K117" s="177">
        <f>-'Loan 1'!I198/'Loan 1'!I$12</f>
        <v>0</v>
      </c>
      <c r="L117" s="202"/>
    </row>
    <row r="118" spans="2:12" ht="14.5" hidden="1" customHeight="1" outlineLevel="1">
      <c r="B118" s="400"/>
      <c r="C118" s="303"/>
      <c r="D118" s="186" t="s">
        <v>346</v>
      </c>
      <c r="E118" s="186"/>
      <c r="F118" s="186" t="e">
        <f t="shared" ref="F118:K118" si="9">SUM(F115:F117)</f>
        <v>#REF!</v>
      </c>
      <c r="G118" s="186" t="e">
        <f t="shared" si="9"/>
        <v>#REF!</v>
      </c>
      <c r="H118" s="186" t="e">
        <f t="shared" si="9"/>
        <v>#REF!</v>
      </c>
      <c r="I118" s="186" t="e">
        <f t="shared" si="9"/>
        <v>#REF!</v>
      </c>
      <c r="J118" s="186" t="e">
        <f t="shared" si="9"/>
        <v>#REF!</v>
      </c>
      <c r="K118" s="186" t="e">
        <f t="shared" si="9"/>
        <v>#REF!</v>
      </c>
      <c r="L118" s="202"/>
    </row>
    <row r="119" spans="2:12" ht="4" hidden="1" customHeight="1" outlineLevel="1" thickBot="1">
      <c r="B119" s="400"/>
      <c r="C119" s="303"/>
      <c r="D119" s="180"/>
      <c r="E119" s="303"/>
      <c r="F119" s="292"/>
      <c r="G119" s="292"/>
      <c r="H119" s="292"/>
      <c r="I119" s="292"/>
      <c r="J119" s="303"/>
      <c r="K119" s="303"/>
      <c r="L119" s="199"/>
    </row>
    <row r="120" spans="2:12" ht="14.5" hidden="1" customHeight="1" outlineLevel="1">
      <c r="B120" s="400"/>
      <c r="C120" s="303"/>
      <c r="D120" s="183" t="s">
        <v>70</v>
      </c>
      <c r="E120" s="305"/>
      <c r="F120" s="410"/>
      <c r="G120" s="410"/>
      <c r="H120" s="410"/>
      <c r="I120" s="410"/>
      <c r="J120" s="305"/>
      <c r="K120" s="305"/>
      <c r="L120" s="199"/>
    </row>
    <row r="121" spans="2:12" ht="14.5" hidden="1" customHeight="1" outlineLevel="1">
      <c r="B121" s="400"/>
      <c r="C121" s="303"/>
      <c r="D121" s="176" t="s">
        <v>347</v>
      </c>
      <c r="E121" s="303"/>
      <c r="F121" s="177">
        <f>-'Loan 1'!D203/'Loan 1'!D$12</f>
        <v>0</v>
      </c>
      <c r="G121" s="177">
        <f>-'Loan 1'!E203/'Loan 1'!E$12</f>
        <v>0</v>
      </c>
      <c r="H121" s="177">
        <f>-'Loan 1'!F203/'Loan 1'!F$12</f>
        <v>0</v>
      </c>
      <c r="I121" s="177">
        <f>-'Loan 1'!G203/'Loan 1'!G$12</f>
        <v>0</v>
      </c>
      <c r="J121" s="177">
        <f>-'Loan 1'!H203/'Loan 1'!H$12</f>
        <v>0</v>
      </c>
      <c r="K121" s="177">
        <f>-'Loan 1'!I203/'Loan 1'!I$12</f>
        <v>0</v>
      </c>
      <c r="L121" s="202"/>
    </row>
    <row r="122" spans="2:12" ht="14.5" hidden="1" customHeight="1" outlineLevel="1">
      <c r="B122" s="400"/>
      <c r="C122" s="303"/>
      <c r="D122" s="176" t="s">
        <v>348</v>
      </c>
      <c r="E122" s="303"/>
      <c r="F122" s="177">
        <f>-'Loan 1'!D204/'Loan 1'!D$12</f>
        <v>9.0769230769230769E-2</v>
      </c>
      <c r="G122" s="177">
        <f>-'Loan 1'!E204/'Loan 1'!E$12</f>
        <v>2.7230769230769232E-2</v>
      </c>
      <c r="H122" s="177">
        <f>-'Loan 1'!F204/'Loan 1'!F$12</f>
        <v>9.9746407438715138E-4</v>
      </c>
      <c r="I122" s="177">
        <f>-'Loan 1'!G204/'Loan 1'!G$12</f>
        <v>5.8779575469534485E-4</v>
      </c>
      <c r="J122" s="177">
        <f>-'Loan 1'!H204/'Loan 1'!H$12</f>
        <v>1.8153846153846155E-4</v>
      </c>
      <c r="K122" s="177">
        <f>-'Loan 1'!I204/'Loan 1'!I$12</f>
        <v>9.0769230769230776E-5</v>
      </c>
      <c r="L122" s="202"/>
    </row>
    <row r="123" spans="2:12" ht="14.5" hidden="1" customHeight="1" outlineLevel="1">
      <c r="B123" s="400"/>
      <c r="C123" s="303"/>
      <c r="D123" s="176" t="s">
        <v>349</v>
      </c>
      <c r="E123" s="303"/>
      <c r="F123" s="177">
        <f>-'Loan 1'!D205/'Loan 1'!D$12</f>
        <v>1.0018214936247723E-2</v>
      </c>
      <c r="G123" s="177">
        <f>-'Loan 1'!E205/'Loan 1'!E$12</f>
        <v>3.0054644808743172E-3</v>
      </c>
      <c r="H123" s="177">
        <f>-'Loan 1'!F205/'Loan 1'!F$12</f>
        <v>1.6788766788766789E-4</v>
      </c>
      <c r="I123" s="177">
        <f>-'Loan 1'!G205/'Loan 1'!G$12</f>
        <v>6.2484978383462917E-5</v>
      </c>
      <c r="J123" s="177">
        <f>-'Loan 1'!H205/'Loan 1'!H$12</f>
        <v>1.1458333333333333E-5</v>
      </c>
      <c r="K123" s="177">
        <f>-'Loan 1'!I205/'Loan 1'!I$12</f>
        <v>7.1403508771929828E-6</v>
      </c>
      <c r="L123" s="202"/>
    </row>
    <row r="124" spans="2:12" ht="14.5" hidden="1" customHeight="1" outlineLevel="1">
      <c r="B124" s="400"/>
      <c r="C124" s="303"/>
      <c r="D124" s="176" t="s">
        <v>350</v>
      </c>
      <c r="E124" s="303"/>
      <c r="F124" s="177">
        <f>-'Loan 1'!D206/'Loan 1'!D$12</f>
        <v>0</v>
      </c>
      <c r="G124" s="177">
        <f>-'Loan 1'!E206/'Loan 1'!E$12</f>
        <v>0</v>
      </c>
      <c r="H124" s="177">
        <f>-'Loan 1'!F206/'Loan 1'!F$12</f>
        <v>0</v>
      </c>
      <c r="I124" s="177">
        <f>-'Loan 1'!G206/'Loan 1'!G$12</f>
        <v>0</v>
      </c>
      <c r="J124" s="177">
        <f>-'Loan 1'!H206/'Loan 1'!H$12</f>
        <v>0</v>
      </c>
      <c r="K124" s="177">
        <f>-'Loan 1'!I206/'Loan 1'!I$12</f>
        <v>0</v>
      </c>
      <c r="L124" s="202"/>
    </row>
    <row r="125" spans="2:12" ht="14.5" hidden="1" customHeight="1" outlineLevel="1">
      <c r="B125" s="400"/>
      <c r="C125" s="303"/>
      <c r="D125" s="176" t="s">
        <v>351</v>
      </c>
      <c r="E125" s="303"/>
      <c r="F125" s="177">
        <f>-'Loan 1'!D207/'Loan 1'!D$12</f>
        <v>0</v>
      </c>
      <c r="G125" s="177">
        <f>-'Loan 1'!E207/'Loan 1'!E$12</f>
        <v>0</v>
      </c>
      <c r="H125" s="177">
        <f>-'Loan 1'!F207/'Loan 1'!F$12</f>
        <v>0</v>
      </c>
      <c r="I125" s="177">
        <f>-'Loan 1'!G207/'Loan 1'!G$12</f>
        <v>0</v>
      </c>
      <c r="J125" s="177">
        <f>-'Loan 1'!H207/'Loan 1'!H$12</f>
        <v>0</v>
      </c>
      <c r="K125" s="177">
        <f>-'Loan 1'!I207/'Loan 1'!I$12</f>
        <v>0</v>
      </c>
      <c r="L125" s="202"/>
    </row>
    <row r="126" spans="2:12" ht="14.5" hidden="1" customHeight="1" outlineLevel="1">
      <c r="B126" s="400"/>
      <c r="C126" s="303"/>
      <c r="D126" s="186" t="s">
        <v>352</v>
      </c>
      <c r="E126" s="186"/>
      <c r="F126" s="186">
        <f t="shared" ref="F126:K126" si="10">SUM(F121:F125)</f>
        <v>0.10078744570547848</v>
      </c>
      <c r="G126" s="186">
        <f t="shared" si="10"/>
        <v>3.0236233711643551E-2</v>
      </c>
      <c r="H126" s="186">
        <f t="shared" si="10"/>
        <v>1.1653517422748193E-3</v>
      </c>
      <c r="I126" s="186">
        <f t="shared" si="10"/>
        <v>6.5028073307880777E-4</v>
      </c>
      <c r="J126" s="186">
        <f t="shared" si="10"/>
        <v>1.929967948717949E-4</v>
      </c>
      <c r="K126" s="186">
        <f t="shared" si="10"/>
        <v>9.7909581646423761E-5</v>
      </c>
      <c r="L126" s="202"/>
    </row>
    <row r="127" spans="2:12" ht="4" hidden="1" customHeight="1" outlineLevel="1" thickBot="1">
      <c r="B127" s="400"/>
      <c r="C127" s="303"/>
      <c r="D127" s="180"/>
      <c r="E127" s="303"/>
      <c r="F127" s="292"/>
      <c r="G127" s="292"/>
      <c r="H127" s="292"/>
      <c r="I127" s="292"/>
      <c r="J127" s="303"/>
      <c r="K127" s="303"/>
      <c r="L127" s="199"/>
    </row>
    <row r="128" spans="2:12" ht="14.5" hidden="1" customHeight="1" outlineLevel="1">
      <c r="B128" s="400"/>
      <c r="C128" s="181" t="s">
        <v>353</v>
      </c>
      <c r="D128" s="182"/>
      <c r="E128" s="303"/>
      <c r="F128" s="292"/>
      <c r="G128" s="292"/>
      <c r="H128" s="292"/>
      <c r="I128" s="292"/>
      <c r="J128" s="303"/>
      <c r="K128" s="303"/>
      <c r="L128" s="199"/>
    </row>
    <row r="129" spans="2:17" ht="14.5" hidden="1" customHeight="1" outlineLevel="1">
      <c r="B129" s="400"/>
      <c r="C129" s="303"/>
      <c r="D129" s="190" t="s">
        <v>81</v>
      </c>
      <c r="E129" s="187"/>
      <c r="F129" s="187">
        <f>-'Loan 1'!D216/'Loan 1'!D$12</f>
        <v>0</v>
      </c>
      <c r="G129" s="187">
        <f>-'Loan 1'!E216/'Loan 1'!E$12</f>
        <v>0</v>
      </c>
      <c r="H129" s="187">
        <f>-'Loan 1'!F216/'Loan 1'!F$12</f>
        <v>0</v>
      </c>
      <c r="I129" s="187">
        <f>-'Loan 1'!G216/'Loan 1'!G$12</f>
        <v>0</v>
      </c>
      <c r="J129" s="187">
        <f>-'Loan 1'!H216/'Loan 1'!H$12</f>
        <v>0</v>
      </c>
      <c r="K129" s="187">
        <f>-'Loan 1'!I216/'Loan 1'!I$12</f>
        <v>0</v>
      </c>
      <c r="L129" s="202"/>
    </row>
    <row r="130" spans="2:17" ht="14.5" hidden="1" customHeight="1" outlineLevel="1">
      <c r="B130" s="400"/>
      <c r="C130" s="303"/>
      <c r="D130" s="187"/>
      <c r="E130" s="187"/>
      <c r="F130" s="187"/>
      <c r="G130" s="187"/>
      <c r="H130" s="187"/>
      <c r="I130" s="187"/>
      <c r="J130" s="187"/>
      <c r="K130" s="187"/>
      <c r="L130" s="202"/>
    </row>
    <row r="131" spans="2:17" ht="15" hidden="1" customHeight="1" outlineLevel="1" thickBot="1">
      <c r="B131" s="400"/>
      <c r="C131" s="303"/>
      <c r="D131" s="189" t="s">
        <v>342</v>
      </c>
      <c r="E131" s="189"/>
      <c r="F131" s="189" t="e">
        <f t="shared" ref="F131:K131" si="11">SUM(F100,F112,F118,F126,F129)</f>
        <v>#REF!</v>
      </c>
      <c r="G131" s="189" t="e">
        <f t="shared" si="11"/>
        <v>#REF!</v>
      </c>
      <c r="H131" s="189" t="e">
        <f t="shared" si="11"/>
        <v>#REF!</v>
      </c>
      <c r="I131" s="189" t="e">
        <f t="shared" si="11"/>
        <v>#REF!</v>
      </c>
      <c r="J131" s="189" t="e">
        <f t="shared" si="11"/>
        <v>#REF!</v>
      </c>
      <c r="K131" s="189" t="e">
        <f t="shared" si="11"/>
        <v>#REF!</v>
      </c>
      <c r="L131" s="202"/>
    </row>
    <row r="132" spans="2:17" ht="14.5" hidden="1" customHeight="1" outlineLevel="1">
      <c r="B132" s="400"/>
      <c r="C132" s="303"/>
      <c r="D132" s="191"/>
      <c r="E132" s="218" t="s">
        <v>354</v>
      </c>
      <c r="F132" s="216" t="e">
        <f>ROUND(('Loan 1'!D$176/'Loan 1'!D$12)-Model_Summary!F131-Model_Summary!F78,0)</f>
        <v>#REF!</v>
      </c>
      <c r="G132" s="216" t="e">
        <f>ROUND(('Loan 1'!E$176/'Loan 1'!E$12)-Model_Summary!G131-Model_Summary!G78,0)</f>
        <v>#REF!</v>
      </c>
      <c r="H132" s="216" t="e">
        <f>ROUND(('Loan 1'!F$176/'Loan 1'!F$12)-Model_Summary!H131-Model_Summary!H78,0)</f>
        <v>#REF!</v>
      </c>
      <c r="I132" s="216" t="e">
        <f>ROUND(('Loan 1'!G$176/'Loan 1'!G$12)-Model_Summary!I131-Model_Summary!I78,0)</f>
        <v>#REF!</v>
      </c>
      <c r="J132" s="216" t="e">
        <f>ROUND(('Loan 1'!H$176/'Loan 1'!H$12)-Model_Summary!J131-Model_Summary!J78,0)</f>
        <v>#REF!</v>
      </c>
      <c r="K132" s="216" t="e">
        <f>ROUND(('Loan 1'!I$176/'Loan 1'!I$12)-Model_Summary!K131-Model_Summary!K78,0)</f>
        <v>#REF!</v>
      </c>
      <c r="L132" s="202"/>
    </row>
    <row r="133" spans="2:17" ht="15" collapsed="1" thickBot="1">
      <c r="B133" s="414"/>
      <c r="C133" s="334"/>
      <c r="D133" s="203"/>
      <c r="E133" s="203"/>
      <c r="F133" s="203"/>
      <c r="G133" s="203"/>
      <c r="H133" s="203"/>
      <c r="I133" s="203"/>
      <c r="J133" s="203"/>
      <c r="K133" s="203"/>
      <c r="L133" s="204"/>
    </row>
    <row r="134" spans="2:17" ht="14.15" customHeight="1" thickBot="1">
      <c r="B134" s="303"/>
      <c r="C134" s="303"/>
      <c r="D134" s="191"/>
      <c r="E134" s="191"/>
      <c r="F134" s="191"/>
      <c r="G134" s="191"/>
      <c r="H134" s="191"/>
      <c r="I134" s="191"/>
      <c r="J134" s="191"/>
      <c r="K134" s="191"/>
      <c r="L134" s="177"/>
    </row>
    <row r="135" spans="2:17">
      <c r="B135" s="195"/>
      <c r="C135" s="193" t="s">
        <v>526</v>
      </c>
      <c r="D135" s="386"/>
      <c r="E135" s="386"/>
      <c r="F135" s="386"/>
      <c r="G135" s="386"/>
      <c r="H135" s="386"/>
      <c r="I135" s="386"/>
      <c r="J135" s="386"/>
      <c r="K135" s="386"/>
      <c r="L135" s="196"/>
      <c r="N135" s="198"/>
    </row>
    <row r="136" spans="2:17" ht="4" customHeight="1">
      <c r="B136" s="197"/>
      <c r="C136" s="303"/>
      <c r="D136" s="303"/>
      <c r="E136" s="303"/>
      <c r="F136" s="303"/>
      <c r="G136" s="303"/>
      <c r="H136" s="303"/>
      <c r="I136" s="303"/>
      <c r="J136" s="303"/>
      <c r="K136" s="303"/>
      <c r="L136" s="623"/>
      <c r="N136" s="198"/>
    </row>
    <row r="137" spans="2:17" ht="14.15" customHeight="1">
      <c r="B137" s="400"/>
      <c r="C137" s="401"/>
      <c r="D137" s="622"/>
      <c r="E137" s="415"/>
      <c r="F137" s="415"/>
      <c r="G137" s="368"/>
      <c r="H137" s="382"/>
      <c r="I137" s="382"/>
      <c r="J137" s="382"/>
      <c r="K137" s="368"/>
      <c r="L137" s="623"/>
      <c r="N137" s="198"/>
    </row>
    <row r="138" spans="2:17" ht="14.15" customHeight="1">
      <c r="B138" s="400"/>
      <c r="C138" s="402"/>
      <c r="D138" s="586" t="s">
        <v>329</v>
      </c>
      <c r="E138" s="586"/>
      <c r="F138" s="587" t="str">
        <f>'Loan 2'!D2</f>
        <v>5k - 19,999</v>
      </c>
      <c r="G138" s="601" t="str">
        <f>'Loan 2'!E2</f>
        <v>20k - 50k</v>
      </c>
      <c r="H138" s="587" t="str">
        <f t="shared" ref="H138:K138" si="12">H73</f>
        <v>200k-319k</v>
      </c>
      <c r="I138" s="587" t="str">
        <f t="shared" si="12"/>
        <v>320k-679k</v>
      </c>
      <c r="J138" s="587" t="str">
        <f t="shared" si="12"/>
        <v>680k-1.999m</v>
      </c>
      <c r="K138" s="601" t="str">
        <f t="shared" si="12"/>
        <v>Above 2m</v>
      </c>
      <c r="L138" s="623"/>
      <c r="N138" s="198"/>
    </row>
    <row r="139" spans="2:17" ht="14.15" customHeight="1">
      <c r="B139" s="400"/>
      <c r="C139" s="402"/>
      <c r="D139" s="615" t="s">
        <v>331</v>
      </c>
      <c r="E139" s="403"/>
      <c r="F139" s="291"/>
      <c r="G139" s="405"/>
      <c r="H139" s="291"/>
      <c r="I139" s="291"/>
      <c r="J139" s="291"/>
      <c r="K139" s="405"/>
      <c r="L139" s="623"/>
      <c r="N139" s="198"/>
    </row>
    <row r="140" spans="2:17" ht="14.15" customHeight="1">
      <c r="B140" s="400"/>
      <c r="C140" s="402"/>
      <c r="D140" s="335" t="s">
        <v>332</v>
      </c>
      <c r="E140" s="303"/>
      <c r="F140" s="291">
        <f>'Loan 2'!D195</f>
        <v>310.1258490000007</v>
      </c>
      <c r="G140" s="405">
        <f>'Loan 2'!E195</f>
        <v>2516.6292449999992</v>
      </c>
      <c r="H140" s="291">
        <f>'Loan 2'!F195</f>
        <v>102658.72037038722</v>
      </c>
      <c r="I140" s="291">
        <f>'Loan 2'!G195</f>
        <v>190328.21162679454</v>
      </c>
      <c r="J140" s="291">
        <f>'Loan 2'!H195</f>
        <v>446731.75231163687</v>
      </c>
      <c r="K140" s="405">
        <f>'Loan 2'!I195</f>
        <v>854878.7351961825</v>
      </c>
      <c r="L140" s="623"/>
      <c r="N140" s="198"/>
    </row>
    <row r="141" spans="2:17" ht="14.15" hidden="1" customHeight="1">
      <c r="B141" s="400"/>
      <c r="C141" s="402"/>
      <c r="D141" s="335" t="s">
        <v>333</v>
      </c>
      <c r="E141" s="303"/>
      <c r="F141" s="291">
        <f>'Loan 2'!D199</f>
        <v>310.1258490000007</v>
      </c>
      <c r="G141" s="405">
        <f>'Loan 2'!E199</f>
        <v>2516.6292449999992</v>
      </c>
      <c r="H141" s="291">
        <f>'Loan 2'!F199</f>
        <v>102658.72037038722</v>
      </c>
      <c r="I141" s="291">
        <f>'Loan 2'!G199</f>
        <v>190328.21162679454</v>
      </c>
      <c r="J141" s="291">
        <f>'Loan 2'!H199</f>
        <v>446731.75231163687</v>
      </c>
      <c r="K141" s="405">
        <f>'Loan 2'!I199</f>
        <v>854878.7351961825</v>
      </c>
      <c r="L141" s="623"/>
      <c r="N141" s="198"/>
    </row>
    <row r="142" spans="2:17" ht="14.15" customHeight="1">
      <c r="B142" s="400"/>
      <c r="C142" s="402"/>
      <c r="D142" s="335" t="s">
        <v>356</v>
      </c>
      <c r="E142" s="303"/>
      <c r="F142" s="416">
        <f>'Loan 2'!D201</f>
        <v>5.1687641500000117E-2</v>
      </c>
      <c r="G142" s="417">
        <f>'Loan 2'!E201</f>
        <v>8.3887641499999971E-2</v>
      </c>
      <c r="H142" s="416">
        <f>'Loan 2'!F201</f>
        <v>0.42599954032849285</v>
      </c>
      <c r="I142" s="416">
        <f>'Loan 2'!G201</f>
        <v>0.42210736665955761</v>
      </c>
      <c r="J142" s="416">
        <f>'Loan 2'!H201</f>
        <v>0.29782116820775789</v>
      </c>
      <c r="K142" s="417">
        <f>'Loan 2'!I201</f>
        <v>0.28495957839872749</v>
      </c>
      <c r="L142" s="623"/>
      <c r="N142" s="198"/>
    </row>
    <row r="143" spans="2:17" ht="14.15" hidden="1" customHeight="1">
      <c r="B143" s="400"/>
      <c r="C143" s="402"/>
      <c r="D143" s="335" t="s">
        <v>357</v>
      </c>
      <c r="E143" s="303"/>
      <c r="F143" s="416">
        <f>'Loan 2'!D202</f>
        <v>5.1687641500000117E-2</v>
      </c>
      <c r="G143" s="417">
        <f>'Loan 2'!E202</f>
        <v>8.3887641499999971E-2</v>
      </c>
      <c r="H143" s="416">
        <f>'Loan 2'!F202</f>
        <v>0.42599954032849285</v>
      </c>
      <c r="I143" s="416">
        <f>'Loan 2'!G202</f>
        <v>0.42210736665955761</v>
      </c>
      <c r="J143" s="416">
        <f>'Loan 2'!H202</f>
        <v>0.29782116820775789</v>
      </c>
      <c r="K143" s="417">
        <f>'Loan 2'!I202</f>
        <v>0.28495957839872749</v>
      </c>
      <c r="L143" s="552"/>
      <c r="N143" s="198"/>
    </row>
    <row r="144" spans="2:17" ht="14.15" customHeight="1">
      <c r="B144" s="400"/>
      <c r="C144" s="402"/>
      <c r="D144" s="303"/>
      <c r="E144" s="303"/>
      <c r="F144" s="291"/>
      <c r="G144" s="405"/>
      <c r="H144" s="291"/>
      <c r="I144" s="291"/>
      <c r="J144" s="291"/>
      <c r="K144" s="405"/>
      <c r="L144" s="623"/>
      <c r="N144" s="198"/>
      <c r="Q144" s="273"/>
    </row>
    <row r="145" spans="2:17" ht="14.15" customHeight="1">
      <c r="B145" s="400"/>
      <c r="C145" s="402"/>
      <c r="D145" s="591" t="s">
        <v>1</v>
      </c>
      <c r="E145" s="303"/>
      <c r="F145" s="291"/>
      <c r="G145" s="405"/>
      <c r="H145" s="291"/>
      <c r="I145" s="291"/>
      <c r="J145" s="291"/>
      <c r="K145" s="405"/>
      <c r="L145" s="623"/>
      <c r="N145" s="198"/>
      <c r="Q145" s="273"/>
    </row>
    <row r="146" spans="2:17" ht="14.15" customHeight="1">
      <c r="B146" s="400"/>
      <c r="C146" s="402"/>
      <c r="D146" s="303" t="s">
        <v>14</v>
      </c>
      <c r="E146" s="303"/>
      <c r="F146" s="604">
        <v>6000</v>
      </c>
      <c r="G146" s="605">
        <v>30000</v>
      </c>
      <c r="H146" s="604">
        <v>240983.1716983215</v>
      </c>
      <c r="I146" s="604">
        <v>450900</v>
      </c>
      <c r="J146" s="604">
        <v>1500000</v>
      </c>
      <c r="K146" s="605">
        <v>3000000</v>
      </c>
      <c r="L146" s="623"/>
      <c r="N146" s="198"/>
      <c r="Q146" s="273"/>
    </row>
    <row r="147" spans="2:17" hidden="1">
      <c r="B147" s="400"/>
      <c r="C147" s="402"/>
      <c r="D147" s="303" t="s">
        <v>13</v>
      </c>
      <c r="E147" s="303"/>
      <c r="F147" s="604">
        <v>1</v>
      </c>
      <c r="G147" s="605">
        <v>1</v>
      </c>
      <c r="H147" s="604">
        <v>1</v>
      </c>
      <c r="I147" s="604">
        <v>1</v>
      </c>
      <c r="J147" s="604">
        <v>1</v>
      </c>
      <c r="K147" s="605">
        <v>1</v>
      </c>
      <c r="L147" s="408"/>
      <c r="Q147" s="459"/>
    </row>
    <row r="148" spans="2:17" hidden="1">
      <c r="B148" s="400"/>
      <c r="C148" s="402"/>
      <c r="D148" s="303" t="s">
        <v>358</v>
      </c>
      <c r="E148" s="303"/>
      <c r="F148" s="631">
        <v>0.9</v>
      </c>
      <c r="G148" s="632">
        <v>0.9</v>
      </c>
      <c r="H148" s="631">
        <v>0.89029003783102145</v>
      </c>
      <c r="I148" s="631">
        <v>0.90071942446043163</v>
      </c>
      <c r="J148" s="631">
        <v>0.88692098092643057</v>
      </c>
      <c r="K148" s="632">
        <v>0.85359116022099446</v>
      </c>
      <c r="L148" s="408"/>
      <c r="Q148" s="459"/>
    </row>
    <row r="149" spans="2:17" ht="14.15" hidden="1" customHeight="1">
      <c r="B149" s="400"/>
      <c r="C149" s="402"/>
      <c r="D149" s="465" t="s">
        <v>374</v>
      </c>
      <c r="E149" s="303"/>
      <c r="F149" s="406">
        <f>Assumption_Sheet!B317</f>
        <v>0.22500000000000028</v>
      </c>
      <c r="G149" s="407">
        <f>Assumption_Sheet!C317</f>
        <v>0.22500000000000028</v>
      </c>
      <c r="H149" s="406">
        <f>Assumption_Sheet!D317</f>
        <v>7.6550827397645904E-2</v>
      </c>
      <c r="I149" s="406">
        <f>Assumption_Sheet!E317</f>
        <v>7.3607288877850674E-2</v>
      </c>
      <c r="J149" s="406">
        <f>Assumption_Sheet!F317</f>
        <v>5.7015761698186812E-2</v>
      </c>
      <c r="K149" s="406">
        <f>Assumption_Sheet!G317</f>
        <v>5.391980220160545E-2</v>
      </c>
      <c r="L149" s="623"/>
      <c r="N149" s="198"/>
      <c r="Q149" s="273"/>
    </row>
    <row r="150" spans="2:17" ht="14.15" customHeight="1">
      <c r="B150" s="400"/>
      <c r="C150" s="402"/>
      <c r="D150" s="303" t="s">
        <v>364</v>
      </c>
      <c r="E150" s="303"/>
      <c r="F150" s="161">
        <f>F86*$L$150</f>
        <v>0.22499999999999998</v>
      </c>
      <c r="G150" s="602">
        <f>G86*$L$150</f>
        <v>0.22499999999999998</v>
      </c>
      <c r="H150" s="602">
        <v>4.7E-2</v>
      </c>
      <c r="I150" s="602">
        <v>4.4999999999999998E-2</v>
      </c>
      <c r="J150" s="602">
        <f t="shared" ref="J150" si="13">J86*85%</f>
        <v>3.4000000000000002E-2</v>
      </c>
      <c r="K150" s="602">
        <v>3.2000000000000001E-2</v>
      </c>
      <c r="L150" s="261">
        <v>0.75</v>
      </c>
      <c r="M150" s="555"/>
      <c r="N150" s="553"/>
      <c r="Q150" s="273"/>
    </row>
    <row r="151" spans="2:17" ht="14.15" hidden="1" customHeight="1">
      <c r="B151" s="400"/>
      <c r="C151" s="402"/>
      <c r="D151" s="420" t="s">
        <v>8</v>
      </c>
      <c r="E151" s="420"/>
      <c r="F151" s="267">
        <v>0.1051</v>
      </c>
      <c r="G151" s="268">
        <v>0.1051</v>
      </c>
      <c r="H151" s="267">
        <v>8.3500000000000005E-2</v>
      </c>
      <c r="I151" s="267">
        <v>7.2700000000000001E-2</v>
      </c>
      <c r="J151" s="267">
        <v>5.5800000000000002E-2</v>
      </c>
      <c r="K151" s="268">
        <v>5.5800000000000002E-2</v>
      </c>
      <c r="L151" s="623"/>
      <c r="N151" s="198"/>
      <c r="Q151" s="273"/>
    </row>
    <row r="152" spans="2:17" ht="14.15" hidden="1" customHeight="1">
      <c r="B152" s="400"/>
      <c r="C152" s="402"/>
      <c r="D152" s="420" t="s">
        <v>9</v>
      </c>
      <c r="E152" s="420"/>
      <c r="F152" s="257">
        <v>6.7000000000000004E-2</v>
      </c>
      <c r="G152" s="269">
        <v>6.7000000000000004E-2</v>
      </c>
      <c r="H152" s="257">
        <v>5.0999999999999997E-2</v>
      </c>
      <c r="I152" s="257">
        <v>4.6800000000000001E-2</v>
      </c>
      <c r="J152" s="257">
        <v>3.4000000000000002E-2</v>
      </c>
      <c r="K152" s="269">
        <v>3.4000000000000002E-2</v>
      </c>
      <c r="L152" s="623"/>
      <c r="N152" s="198"/>
      <c r="Q152" s="273"/>
    </row>
    <row r="153" spans="2:17" ht="14.15" customHeight="1">
      <c r="B153" s="400"/>
      <c r="C153" s="402"/>
      <c r="D153" s="303" t="s">
        <v>10</v>
      </c>
      <c r="E153" s="303"/>
      <c r="F153" s="603">
        <v>1</v>
      </c>
      <c r="G153" s="164">
        <v>1</v>
      </c>
      <c r="H153" s="603">
        <v>12</v>
      </c>
      <c r="I153" s="603">
        <v>12</v>
      </c>
      <c r="J153" s="603">
        <v>12</v>
      </c>
      <c r="K153" s="603">
        <v>12</v>
      </c>
      <c r="L153" s="623"/>
      <c r="N153" s="198"/>
      <c r="Q153" s="273"/>
    </row>
    <row r="154" spans="2:17" ht="14.15" customHeight="1">
      <c r="B154" s="400"/>
      <c r="C154" s="402"/>
      <c r="D154" s="303" t="s">
        <v>11</v>
      </c>
      <c r="E154" s="303"/>
      <c r="F154" s="406">
        <f>F90</f>
        <v>0.13500000000000001</v>
      </c>
      <c r="G154" s="407">
        <f>G90</f>
        <v>0.13500000000000001</v>
      </c>
      <c r="H154" s="406">
        <v>0.13500000000000001</v>
      </c>
      <c r="I154" s="406">
        <v>0.13500000000000001</v>
      </c>
      <c r="J154" s="406">
        <v>0.13500000000000001</v>
      </c>
      <c r="K154" s="406">
        <v>0.13500000000000001</v>
      </c>
      <c r="L154" s="623"/>
      <c r="N154" s="198"/>
      <c r="Q154" s="273"/>
    </row>
    <row r="155" spans="2:17" ht="14.15" customHeight="1">
      <c r="B155" s="400"/>
      <c r="C155" s="409"/>
      <c r="D155" s="305" t="s">
        <v>362</v>
      </c>
      <c r="E155" s="305"/>
      <c r="F155" s="739">
        <f>F91*$L$155</f>
        <v>9.1260000000000008E-2</v>
      </c>
      <c r="G155" s="740">
        <f>G91*$L$155</f>
        <v>9.1260000000000008E-2</v>
      </c>
      <c r="H155" s="633">
        <v>3.9E-2</v>
      </c>
      <c r="I155" s="633">
        <f t="shared" ref="I155:J155" si="14">I156*$L155</f>
        <v>2.0400000000000001E-2</v>
      </c>
      <c r="J155" s="633">
        <f t="shared" si="14"/>
        <v>1.6799999999999999E-2</v>
      </c>
      <c r="K155" s="633">
        <f>K156*$L155</f>
        <v>1.0799999999999999E-2</v>
      </c>
      <c r="L155" s="261">
        <v>0.6</v>
      </c>
      <c r="N155" s="198"/>
      <c r="Q155" s="273"/>
    </row>
    <row r="156" spans="2:17" ht="14.15" hidden="1" customHeight="1">
      <c r="B156" s="400"/>
      <c r="C156" s="409"/>
      <c r="D156" s="733" t="s">
        <v>481</v>
      </c>
      <c r="E156" s="421"/>
      <c r="F156" s="462">
        <v>8.4000000000000005E-2</v>
      </c>
      <c r="G156" s="463">
        <v>8.4000000000000005E-2</v>
      </c>
      <c r="H156" s="255">
        <v>6.5000000000000002E-2</v>
      </c>
      <c r="I156" s="255">
        <v>3.4000000000000002E-2</v>
      </c>
      <c r="J156" s="255">
        <v>2.8000000000000001E-2</v>
      </c>
      <c r="K156" s="256">
        <v>1.7999999999999999E-2</v>
      </c>
      <c r="L156" s="623"/>
      <c r="N156" s="198"/>
      <c r="Q156" s="273"/>
    </row>
    <row r="157" spans="2:17" ht="14.15" customHeight="1" thickBot="1">
      <c r="B157" s="414"/>
      <c r="C157" s="334"/>
      <c r="D157" s="334"/>
      <c r="E157" s="334"/>
      <c r="F157" s="422"/>
      <c r="G157" s="422"/>
      <c r="H157" s="422"/>
      <c r="I157" s="422"/>
      <c r="J157" s="422"/>
      <c r="K157" s="334"/>
      <c r="L157" s="201"/>
      <c r="N157" s="198"/>
      <c r="Q157" s="273"/>
    </row>
    <row r="158" spans="2:17" ht="15" hidden="1" customHeight="1" thickBot="1">
      <c r="B158" s="661" t="s">
        <v>339</v>
      </c>
      <c r="C158" s="645"/>
      <c r="D158" s="646"/>
      <c r="E158" s="646"/>
      <c r="F158" s="647"/>
      <c r="G158" s="647"/>
      <c r="H158" s="647"/>
      <c r="I158" s="647"/>
      <c r="J158" s="646"/>
      <c r="K158" s="646"/>
      <c r="L158" s="662"/>
      <c r="N158" s="198"/>
      <c r="Q158" s="273"/>
    </row>
    <row r="159" spans="2:17" ht="4" hidden="1" customHeight="1">
      <c r="B159" s="400"/>
      <c r="C159" s="303"/>
      <c r="D159" s="303"/>
      <c r="E159" s="303"/>
      <c r="F159" s="292"/>
      <c r="G159" s="292"/>
      <c r="H159" s="292"/>
      <c r="I159" s="292"/>
      <c r="J159" s="303"/>
      <c r="K159" s="303"/>
      <c r="L159" s="199"/>
      <c r="N159" s="198"/>
      <c r="Q159" s="273"/>
    </row>
    <row r="160" spans="2:17" ht="14.5" hidden="1" customHeight="1" outlineLevel="1">
      <c r="B160" s="400"/>
      <c r="C160" s="181" t="s">
        <v>340</v>
      </c>
      <c r="D160" s="180"/>
      <c r="E160" s="303"/>
      <c r="F160" s="292"/>
      <c r="G160" s="292"/>
      <c r="H160" s="292"/>
      <c r="I160" s="292"/>
      <c r="J160" s="303"/>
      <c r="K160" s="303"/>
      <c r="L160" s="199"/>
      <c r="N160" s="198"/>
    </row>
    <row r="161" spans="2:14" ht="4" hidden="1" customHeight="1" outlineLevel="1">
      <c r="B161" s="400"/>
      <c r="C161" s="303"/>
      <c r="D161" s="180"/>
      <c r="E161" s="303"/>
      <c r="F161" s="292"/>
      <c r="G161" s="292"/>
      <c r="H161" s="292"/>
      <c r="I161" s="292"/>
      <c r="J161" s="303"/>
      <c r="K161" s="303"/>
      <c r="L161" s="199"/>
      <c r="N161" s="198"/>
    </row>
    <row r="162" spans="2:14" ht="14.5" hidden="1" customHeight="1" outlineLevel="1">
      <c r="B162" s="400"/>
      <c r="C162" s="303"/>
      <c r="D162" s="183" t="s">
        <v>47</v>
      </c>
      <c r="E162" s="305"/>
      <c r="F162" s="410"/>
      <c r="G162" s="410"/>
      <c r="H162" s="410"/>
      <c r="I162" s="410"/>
      <c r="J162" s="305"/>
      <c r="K162" s="305"/>
      <c r="L162" s="199"/>
      <c r="N162" s="198"/>
    </row>
    <row r="163" spans="2:14" ht="14.5" hidden="1" customHeight="1" outlineLevel="1">
      <c r="B163" s="400"/>
      <c r="C163" s="303"/>
      <c r="D163" s="176" t="s">
        <v>37</v>
      </c>
      <c r="E163" s="303"/>
      <c r="F163" s="177">
        <f>-'Loan 2'!D$163/'Loan 2'!D$11</f>
        <v>1.1250000000000003E-2</v>
      </c>
      <c r="G163" s="177">
        <f>-'Loan 2'!E$163/'Loan 2'!E$11</f>
        <v>1.1250000000000022E-2</v>
      </c>
      <c r="H163" s="177">
        <f>-'Loan 2'!F$163/'Loan 2'!F$11</f>
        <v>8.2886106077478178E-2</v>
      </c>
      <c r="I163" s="177">
        <f>-'Loan 2'!G$163/'Loan 2'!G$11</f>
        <v>8.2532587364836763E-2</v>
      </c>
      <c r="J163" s="177">
        <f>-'Loan 2'!H$163/'Loan 2'!H$11</f>
        <v>8.0504054726206198E-2</v>
      </c>
      <c r="K163" s="177">
        <f>-'Loan 2'!I$163/'Loan 2'!I$11</f>
        <v>8.0118988267938548E-2</v>
      </c>
      <c r="L163" s="199"/>
      <c r="N163" s="198"/>
    </row>
    <row r="164" spans="2:14" ht="14.5" hidden="1" customHeight="1" outlineLevel="1">
      <c r="B164" s="400"/>
      <c r="C164" s="303"/>
      <c r="D164" s="176" t="s">
        <v>341</v>
      </c>
      <c r="E164" s="303"/>
      <c r="F164" s="177">
        <f>-SUM('Loan 2'!D$165:D$167)/'Loan 2'!D$11</f>
        <v>1.0935525166666666E-2</v>
      </c>
      <c r="G164" s="177">
        <f>-SUM('Loan 2'!E$165:E$167)/'Loan 2'!E$11</f>
        <v>1.0202191833333334E-2</v>
      </c>
      <c r="H164" s="177">
        <f>-SUM('Loan 2'!F$165:F$167)/'Loan 2'!F$11</f>
        <v>1.3549859170436506E-2</v>
      </c>
      <c r="I164" s="177">
        <f>-SUM('Loan 2'!G$165:G$167)/'Loan 2'!G$11</f>
        <v>1.3589453826569073E-2</v>
      </c>
      <c r="J164" s="177">
        <f>-SUM('Loan 2'!H$165:H$167)/'Loan 2'!H$11</f>
        <v>1.2462777066672299E-2</v>
      </c>
      <c r="K164" s="177">
        <f>-SUM('Loan 2'!I$165:I$167)/'Loan 2'!I$11</f>
        <v>7.9154333333333327E-3</v>
      </c>
      <c r="L164" s="199"/>
      <c r="N164" s="198"/>
    </row>
    <row r="165" spans="2:14" ht="14.5" hidden="1" customHeight="1" outlineLevel="1">
      <c r="B165" s="400"/>
      <c r="C165" s="303"/>
      <c r="D165" s="186" t="s">
        <v>342</v>
      </c>
      <c r="E165" s="186"/>
      <c r="F165" s="186">
        <f t="shared" ref="F165:K165" si="15">SUM(F163:F164)</f>
        <v>2.2185525166666671E-2</v>
      </c>
      <c r="G165" s="186">
        <f t="shared" si="15"/>
        <v>2.1452191833333356E-2</v>
      </c>
      <c r="H165" s="186">
        <f t="shared" si="15"/>
        <v>9.6435965247914687E-2</v>
      </c>
      <c r="I165" s="186">
        <f t="shared" si="15"/>
        <v>9.6122041191405841E-2</v>
      </c>
      <c r="J165" s="186">
        <f t="shared" si="15"/>
        <v>9.2966831792878499E-2</v>
      </c>
      <c r="K165" s="186">
        <f t="shared" si="15"/>
        <v>8.8034421601271881E-2</v>
      </c>
      <c r="L165" s="202"/>
      <c r="N165" s="198"/>
    </row>
    <row r="166" spans="2:14" ht="4" hidden="1" customHeight="1" outlineLevel="1">
      <c r="B166" s="400"/>
      <c r="C166" s="303"/>
      <c r="D166" s="180"/>
      <c r="E166" s="303"/>
      <c r="F166" s="292"/>
      <c r="G166" s="292"/>
      <c r="H166" s="292"/>
      <c r="I166" s="292"/>
      <c r="J166" s="303"/>
      <c r="K166" s="303"/>
      <c r="L166" s="199"/>
      <c r="N166" s="198"/>
    </row>
    <row r="167" spans="2:14" ht="14.5" hidden="1" customHeight="1" outlineLevel="1">
      <c r="B167" s="400"/>
      <c r="C167" s="303"/>
      <c r="D167" s="183" t="s">
        <v>343</v>
      </c>
      <c r="E167" s="305"/>
      <c r="F167" s="410"/>
      <c r="G167" s="410"/>
      <c r="H167" s="410"/>
      <c r="I167" s="410"/>
      <c r="J167" s="305"/>
      <c r="K167" s="305"/>
      <c r="L167" s="199"/>
      <c r="N167" s="198"/>
    </row>
    <row r="168" spans="2:14" ht="14.5" hidden="1" customHeight="1" outlineLevel="1">
      <c r="B168" s="400"/>
      <c r="C168" s="303"/>
      <c r="D168" s="176" t="s">
        <v>52</v>
      </c>
      <c r="E168" s="303"/>
      <c r="F168" s="177" t="e">
        <f>-'Loan 2'!#REF!/'Loan 2'!D$11</f>
        <v>#REF!</v>
      </c>
      <c r="G168" s="177" t="e">
        <f>-'Loan 2'!#REF!/'Loan 2'!E$11</f>
        <v>#REF!</v>
      </c>
      <c r="H168" s="177" t="e">
        <f>-'Loan 2'!#REF!/'Loan 2'!F$11</f>
        <v>#REF!</v>
      </c>
      <c r="I168" s="177" t="e">
        <f>-'Loan 2'!#REF!/'Loan 2'!G$11</f>
        <v>#REF!</v>
      </c>
      <c r="J168" s="177" t="e">
        <f>-'Loan 2'!#REF!/'Loan 2'!H$11</f>
        <v>#REF!</v>
      </c>
      <c r="K168" s="177" t="e">
        <f>-'Loan 2'!#REF!/'Loan 2'!I$11</f>
        <v>#REF!</v>
      </c>
      <c r="L168" s="202"/>
      <c r="N168" s="198"/>
    </row>
    <row r="169" spans="2:14" ht="14.5" hidden="1" customHeight="1" outlineLevel="1">
      <c r="B169" s="400"/>
      <c r="C169" s="303"/>
      <c r="D169" s="176" t="s">
        <v>53</v>
      </c>
      <c r="E169" s="303"/>
      <c r="F169" s="177" t="e">
        <f>-'Loan 2'!#REF!/'Loan 2'!D$11</f>
        <v>#REF!</v>
      </c>
      <c r="G169" s="177" t="e">
        <f>-'Loan 2'!#REF!/'Loan 2'!E$11</f>
        <v>#REF!</v>
      </c>
      <c r="H169" s="177" t="e">
        <f>-'Loan 2'!#REF!/'Loan 2'!F$11</f>
        <v>#REF!</v>
      </c>
      <c r="I169" s="177" t="e">
        <f>-'Loan 2'!#REF!/'Loan 2'!G$11</f>
        <v>#REF!</v>
      </c>
      <c r="J169" s="177" t="e">
        <f>-'Loan 2'!#REF!/'Loan 2'!H$11</f>
        <v>#REF!</v>
      </c>
      <c r="K169" s="177" t="e">
        <f>-'Loan 2'!#REF!/'Loan 2'!I$11</f>
        <v>#REF!</v>
      </c>
      <c r="L169" s="202"/>
      <c r="N169" s="198"/>
    </row>
    <row r="170" spans="2:14" ht="14.5" hidden="1" customHeight="1" outlineLevel="1">
      <c r="B170" s="400"/>
      <c r="C170" s="303"/>
      <c r="D170" s="176" t="s">
        <v>54</v>
      </c>
      <c r="E170" s="303"/>
      <c r="F170" s="177" t="e">
        <f>-'Loan 2'!#REF!/'Loan 2'!D$11</f>
        <v>#REF!</v>
      </c>
      <c r="G170" s="177" t="e">
        <f>-'Loan 2'!#REF!/'Loan 2'!E$11</f>
        <v>#REF!</v>
      </c>
      <c r="H170" s="177" t="e">
        <f>-'Loan 2'!#REF!/'Loan 2'!F$11</f>
        <v>#REF!</v>
      </c>
      <c r="I170" s="177" t="e">
        <f>-'Loan 2'!#REF!/'Loan 2'!G$11</f>
        <v>#REF!</v>
      </c>
      <c r="J170" s="177" t="e">
        <f>-'Loan 2'!#REF!/'Loan 2'!H$11</f>
        <v>#REF!</v>
      </c>
      <c r="K170" s="177" t="e">
        <f>-'Loan 2'!#REF!/'Loan 2'!I$11</f>
        <v>#REF!</v>
      </c>
      <c r="L170" s="202"/>
      <c r="N170" s="198"/>
    </row>
    <row r="171" spans="2:14" ht="14.5" hidden="1" customHeight="1" outlineLevel="1">
      <c r="B171" s="400"/>
      <c r="C171" s="303"/>
      <c r="D171" s="176" t="s">
        <v>55</v>
      </c>
      <c r="E171" s="303"/>
      <c r="F171" s="177" t="e">
        <f>-'Loan 2'!#REF!/'Loan 2'!D$11</f>
        <v>#REF!</v>
      </c>
      <c r="G171" s="177" t="e">
        <f>-'Loan 2'!#REF!/'Loan 2'!E$11</f>
        <v>#REF!</v>
      </c>
      <c r="H171" s="177" t="e">
        <f>-'Loan 2'!#REF!/'Loan 2'!F$11</f>
        <v>#REF!</v>
      </c>
      <c r="I171" s="177" t="e">
        <f>-'Loan 2'!#REF!/'Loan 2'!G$11</f>
        <v>#REF!</v>
      </c>
      <c r="J171" s="177" t="e">
        <f>-'Loan 2'!#REF!/'Loan 2'!H$11</f>
        <v>#REF!</v>
      </c>
      <c r="K171" s="177" t="e">
        <f>-'Loan 2'!#REF!/'Loan 2'!I$11</f>
        <v>#REF!</v>
      </c>
      <c r="L171" s="202"/>
      <c r="N171" s="198"/>
    </row>
    <row r="172" spans="2:14" ht="14.5" hidden="1" customHeight="1" outlineLevel="1">
      <c r="B172" s="400"/>
      <c r="C172" s="303"/>
      <c r="D172" s="176" t="s">
        <v>56</v>
      </c>
      <c r="E172" s="303"/>
      <c r="F172" s="177">
        <f>-'Loan 2'!D172/'Loan 2'!D$11</f>
        <v>0</v>
      </c>
      <c r="G172" s="177">
        <f>-'Loan 2'!E172/'Loan 2'!E$11</f>
        <v>0</v>
      </c>
      <c r="H172" s="177">
        <f>-'Loan 2'!F172/'Loan 2'!F$11</f>
        <v>0</v>
      </c>
      <c r="I172" s="177">
        <f>-'Loan 2'!G172/'Loan 2'!G$11</f>
        <v>0</v>
      </c>
      <c r="J172" s="177">
        <f>-'Loan 2'!H172/'Loan 2'!H$11</f>
        <v>0</v>
      </c>
      <c r="K172" s="185">
        <f>-'Loan 2'!I172/'Loan 2'!I$11</f>
        <v>0</v>
      </c>
      <c r="L172" s="202"/>
      <c r="N172" s="198"/>
    </row>
    <row r="173" spans="2:14" ht="14.5" hidden="1" customHeight="1" outlineLevel="1">
      <c r="B173" s="400"/>
      <c r="C173" s="303"/>
      <c r="D173" s="176" t="s">
        <v>57</v>
      </c>
      <c r="E173" s="303"/>
      <c r="F173" s="177">
        <f>-'Loan 2'!D173/'Loan 2'!D$11</f>
        <v>0</v>
      </c>
      <c r="G173" s="177">
        <f>-'Loan 2'!E173/'Loan 2'!E$11</f>
        <v>0</v>
      </c>
      <c r="H173" s="177">
        <f>-'Loan 2'!F173/'Loan 2'!F$11</f>
        <v>0</v>
      </c>
      <c r="I173" s="177">
        <f>-'Loan 2'!G173/'Loan 2'!G$11</f>
        <v>0</v>
      </c>
      <c r="J173" s="177">
        <f>-'Loan 2'!H173/'Loan 2'!H$11</f>
        <v>0</v>
      </c>
      <c r="K173" s="185">
        <f>-'Loan 2'!I173/'Loan 2'!I$11</f>
        <v>0</v>
      </c>
      <c r="L173" s="202"/>
      <c r="N173" s="198"/>
    </row>
    <row r="174" spans="2:14" ht="14.5" hidden="1" customHeight="1" outlineLevel="1">
      <c r="B174" s="400"/>
      <c r="C174" s="303"/>
      <c r="D174" s="176" t="s">
        <v>58</v>
      </c>
      <c r="E174" s="303"/>
      <c r="F174" s="177">
        <f>-'Loan 2'!D174/'Loan 2'!D$11</f>
        <v>0</v>
      </c>
      <c r="G174" s="177">
        <f>-'Loan 2'!E174/'Loan 2'!E$11</f>
        <v>0</v>
      </c>
      <c r="H174" s="177">
        <f>-'Loan 2'!F174/'Loan 2'!F$11</f>
        <v>0</v>
      </c>
      <c r="I174" s="177">
        <f>-'Loan 2'!G174/'Loan 2'!G$11</f>
        <v>0</v>
      </c>
      <c r="J174" s="177">
        <f>-'Loan 2'!H174/'Loan 2'!H$11</f>
        <v>0</v>
      </c>
      <c r="K174" s="185">
        <f>-'Loan 2'!I174/'Loan 2'!I$11</f>
        <v>0</v>
      </c>
      <c r="L174" s="202"/>
      <c r="N174" s="198"/>
    </row>
    <row r="175" spans="2:14" ht="14.5" hidden="1" customHeight="1" outlineLevel="1">
      <c r="B175" s="400"/>
      <c r="C175" s="303"/>
      <c r="D175" s="176" t="s">
        <v>59</v>
      </c>
      <c r="E175" s="303"/>
      <c r="F175" s="177" t="e">
        <f>-'Loan 2'!#REF!/'Loan 2'!D$11</f>
        <v>#REF!</v>
      </c>
      <c r="G175" s="177" t="e">
        <f>-'Loan 2'!#REF!/'Loan 2'!E$11</f>
        <v>#REF!</v>
      </c>
      <c r="H175" s="177" t="e">
        <f>-'Loan 2'!#REF!/'Loan 2'!F$11</f>
        <v>#REF!</v>
      </c>
      <c r="I175" s="177" t="e">
        <f>-'Loan 2'!#REF!/'Loan 2'!G$11</f>
        <v>#REF!</v>
      </c>
      <c r="J175" s="177" t="e">
        <f>-'Loan 2'!#REF!/'Loan 2'!H$11</f>
        <v>#REF!</v>
      </c>
      <c r="K175" s="177" t="e">
        <f>-'Loan 2'!#REF!/'Loan 2'!I$11</f>
        <v>#REF!</v>
      </c>
      <c r="L175" s="202"/>
      <c r="N175" s="198"/>
    </row>
    <row r="176" spans="2:14" ht="14.5" hidden="1" customHeight="1" outlineLevel="1">
      <c r="B176" s="400"/>
      <c r="C176" s="303"/>
      <c r="D176" s="176" t="s">
        <v>344</v>
      </c>
      <c r="E176" s="303"/>
      <c r="F176" s="177" t="e">
        <f>-SUM('Loan 2'!#REF!)/'Loan 2'!D$11</f>
        <v>#REF!</v>
      </c>
      <c r="G176" s="177" t="e">
        <f>-SUM('Loan 2'!#REF!)/'Loan 2'!E$11</f>
        <v>#REF!</v>
      </c>
      <c r="H176" s="177" t="e">
        <f>-SUM('Loan 2'!#REF!)/'Loan 2'!F$11</f>
        <v>#REF!</v>
      </c>
      <c r="I176" s="177" t="e">
        <f>-SUM('Loan 2'!#REF!)/'Loan 2'!G$11</f>
        <v>#REF!</v>
      </c>
      <c r="J176" s="177" t="e">
        <f>-SUM('Loan 2'!#REF!)/'Loan 2'!H$11</f>
        <v>#REF!</v>
      </c>
      <c r="K176" s="177" t="e">
        <f>-SUM('Loan 2'!#REF!)/'Loan 2'!I$11</f>
        <v>#REF!</v>
      </c>
      <c r="L176" s="202"/>
      <c r="N176" s="198"/>
    </row>
    <row r="177" spans="2:17" ht="14.5" hidden="1" customHeight="1" outlineLevel="1">
      <c r="B177" s="400"/>
      <c r="C177" s="303"/>
      <c r="D177" s="186" t="s">
        <v>342</v>
      </c>
      <c r="E177" s="186"/>
      <c r="F177" s="186" t="e">
        <f t="shared" ref="F177:K177" si="16">SUM(F168:F176)</f>
        <v>#REF!</v>
      </c>
      <c r="G177" s="186" t="e">
        <f t="shared" si="16"/>
        <v>#REF!</v>
      </c>
      <c r="H177" s="186" t="e">
        <f t="shared" si="16"/>
        <v>#REF!</v>
      </c>
      <c r="I177" s="186" t="e">
        <f t="shared" si="16"/>
        <v>#REF!</v>
      </c>
      <c r="J177" s="186" t="e">
        <f t="shared" si="16"/>
        <v>#REF!</v>
      </c>
      <c r="K177" s="186" t="e">
        <f t="shared" si="16"/>
        <v>#REF!</v>
      </c>
      <c r="L177" s="202"/>
      <c r="N177" s="198"/>
    </row>
    <row r="178" spans="2:17" ht="4" hidden="1" customHeight="1" outlineLevel="1">
      <c r="B178" s="400"/>
      <c r="C178" s="303"/>
      <c r="D178" s="180"/>
      <c r="E178" s="303"/>
      <c r="F178" s="292"/>
      <c r="G178" s="292"/>
      <c r="H178" s="292"/>
      <c r="I178" s="292"/>
      <c r="J178" s="303"/>
      <c r="K178" s="303"/>
      <c r="L178" s="199"/>
      <c r="N178" s="198"/>
    </row>
    <row r="179" spans="2:17" ht="14.5" hidden="1" customHeight="1" outlineLevel="1">
      <c r="B179" s="400"/>
      <c r="C179" s="303"/>
      <c r="D179" s="183" t="s">
        <v>345</v>
      </c>
      <c r="E179" s="305"/>
      <c r="F179" s="410"/>
      <c r="G179" s="410"/>
      <c r="H179" s="410"/>
      <c r="I179" s="410"/>
      <c r="J179" s="305"/>
      <c r="K179" s="305"/>
      <c r="L179" s="199"/>
      <c r="N179" s="198"/>
    </row>
    <row r="180" spans="2:17" ht="14.5" hidden="1" customHeight="1" outlineLevel="1">
      <c r="B180" s="400"/>
      <c r="C180" s="303"/>
      <c r="D180" s="176" t="s">
        <v>66</v>
      </c>
      <c r="E180" s="303"/>
      <c r="F180" s="177" t="e">
        <f>-'Loan 2'!#REF!/'Loan 2'!D$11</f>
        <v>#REF!</v>
      </c>
      <c r="G180" s="177" t="e">
        <f>-'Loan 2'!#REF!/'Loan 2'!E$11</f>
        <v>#REF!</v>
      </c>
      <c r="H180" s="177" t="e">
        <f>-'Loan 2'!#REF!/'Loan 2'!F$11</f>
        <v>#REF!</v>
      </c>
      <c r="I180" s="177" t="e">
        <f>-'Loan 2'!#REF!/'Loan 2'!G$11</f>
        <v>#REF!</v>
      </c>
      <c r="J180" s="177" t="e">
        <f>-'Loan 2'!#REF!/'Loan 2'!H$11</f>
        <v>#REF!</v>
      </c>
      <c r="K180" s="177" t="e">
        <f>-'Loan 2'!#REF!/'Loan 2'!I$11</f>
        <v>#REF!</v>
      </c>
      <c r="L180" s="202"/>
      <c r="N180" s="198"/>
    </row>
    <row r="181" spans="2:17" ht="14.5" hidden="1" customHeight="1" outlineLevel="1">
      <c r="B181" s="400"/>
      <c r="C181" s="303"/>
      <c r="D181" s="176" t="s">
        <v>67</v>
      </c>
      <c r="E181" s="303"/>
      <c r="F181" s="177" t="e">
        <f>-'Loan 2'!#REF!/'Loan 2'!D$11</f>
        <v>#REF!</v>
      </c>
      <c r="G181" s="177" t="e">
        <f>-'Loan 2'!#REF!/'Loan 2'!E$11</f>
        <v>#REF!</v>
      </c>
      <c r="H181" s="177" t="e">
        <f>-'Loan 2'!#REF!/'Loan 2'!F$11</f>
        <v>#REF!</v>
      </c>
      <c r="I181" s="177" t="e">
        <f>-'Loan 2'!#REF!/'Loan 2'!G$11</f>
        <v>#REF!</v>
      </c>
      <c r="J181" s="177" t="e">
        <f>-'Loan 2'!#REF!/'Loan 2'!H$11</f>
        <v>#REF!</v>
      </c>
      <c r="K181" s="177" t="e">
        <f>-'Loan 2'!#REF!/'Loan 2'!I$11</f>
        <v>#REF!</v>
      </c>
      <c r="L181" s="202"/>
      <c r="N181" s="198"/>
    </row>
    <row r="182" spans="2:17" ht="14.5" hidden="1" customHeight="1" outlineLevel="1">
      <c r="B182" s="400"/>
      <c r="C182" s="303"/>
      <c r="D182" s="176" t="s">
        <v>68</v>
      </c>
      <c r="E182" s="303"/>
      <c r="F182" s="177">
        <f>-'Loan 2'!D179/'Loan 2'!D$11</f>
        <v>0</v>
      </c>
      <c r="G182" s="177">
        <f>-'Loan 2'!E179/'Loan 2'!E$11</f>
        <v>0</v>
      </c>
      <c r="H182" s="177">
        <f>-'Loan 2'!F179/'Loan 2'!F$11</f>
        <v>0</v>
      </c>
      <c r="I182" s="177">
        <f>-'Loan 2'!G179/'Loan 2'!G$11</f>
        <v>0</v>
      </c>
      <c r="J182" s="177">
        <f>-'Loan 2'!H179/'Loan 2'!H$11</f>
        <v>0</v>
      </c>
      <c r="K182" s="177">
        <f>-'Loan 2'!I179/'Loan 2'!I$11</f>
        <v>0</v>
      </c>
      <c r="L182" s="202"/>
      <c r="N182" s="198"/>
    </row>
    <row r="183" spans="2:17" ht="14.5" hidden="1" customHeight="1" outlineLevel="1">
      <c r="B183" s="400"/>
      <c r="C183" s="303"/>
      <c r="D183" s="186" t="s">
        <v>346</v>
      </c>
      <c r="E183" s="186"/>
      <c r="F183" s="186" t="e">
        <f t="shared" ref="F183:K183" si="17">SUM(F180:F182)</f>
        <v>#REF!</v>
      </c>
      <c r="G183" s="186" t="e">
        <f t="shared" si="17"/>
        <v>#REF!</v>
      </c>
      <c r="H183" s="186" t="e">
        <f t="shared" si="17"/>
        <v>#REF!</v>
      </c>
      <c r="I183" s="186" t="e">
        <f t="shared" si="17"/>
        <v>#REF!</v>
      </c>
      <c r="J183" s="186" t="e">
        <f t="shared" si="17"/>
        <v>#REF!</v>
      </c>
      <c r="K183" s="186" t="e">
        <f t="shared" si="17"/>
        <v>#REF!</v>
      </c>
      <c r="L183" s="202"/>
      <c r="N183" s="198"/>
    </row>
    <row r="184" spans="2:17" ht="4" hidden="1" customHeight="1" outlineLevel="1">
      <c r="B184" s="400"/>
      <c r="C184" s="303"/>
      <c r="D184" s="180"/>
      <c r="E184" s="303"/>
      <c r="F184" s="292"/>
      <c r="G184" s="292"/>
      <c r="H184" s="292"/>
      <c r="I184" s="292"/>
      <c r="J184" s="303"/>
      <c r="K184" s="303"/>
      <c r="L184" s="199"/>
      <c r="N184" s="198"/>
    </row>
    <row r="185" spans="2:17" ht="14.5" hidden="1" customHeight="1" outlineLevel="1">
      <c r="B185" s="400"/>
      <c r="C185" s="303"/>
      <c r="D185" s="183" t="s">
        <v>70</v>
      </c>
      <c r="E185" s="305"/>
      <c r="F185" s="410"/>
      <c r="G185" s="410"/>
      <c r="H185" s="410"/>
      <c r="I185" s="410"/>
      <c r="J185" s="305"/>
      <c r="K185" s="305"/>
      <c r="L185" s="199"/>
      <c r="N185" s="198"/>
    </row>
    <row r="186" spans="2:17" ht="14.5" hidden="1" customHeight="1" outlineLevel="1">
      <c r="B186" s="400"/>
      <c r="C186" s="303"/>
      <c r="D186" s="176" t="s">
        <v>347</v>
      </c>
      <c r="E186" s="303"/>
      <c r="F186" s="177">
        <f>-'Loan 2'!D184/'Loan 2'!D$11</f>
        <v>0</v>
      </c>
      <c r="G186" s="177">
        <f>-'Loan 2'!E184/'Loan 2'!E$11</f>
        <v>0</v>
      </c>
      <c r="H186" s="177">
        <f>-'Loan 2'!F184/'Loan 2'!F$11</f>
        <v>0</v>
      </c>
      <c r="I186" s="177">
        <f>-'Loan 2'!G184/'Loan 2'!G$11</f>
        <v>0</v>
      </c>
      <c r="J186" s="177">
        <f>-'Loan 2'!H184/'Loan 2'!H$11</f>
        <v>0</v>
      </c>
      <c r="K186" s="177">
        <f>-'Loan 2'!I184/'Loan 2'!I$11</f>
        <v>0</v>
      </c>
      <c r="L186" s="202"/>
      <c r="N186" s="198"/>
    </row>
    <row r="187" spans="2:17" ht="14.5" hidden="1" customHeight="1" outlineLevel="1">
      <c r="B187" s="400"/>
      <c r="C187" s="303"/>
      <c r="D187" s="176" t="s">
        <v>348</v>
      </c>
      <c r="E187" s="303"/>
      <c r="F187" s="177">
        <f>-'Loan 2'!D185/'Loan 2'!D$11</f>
        <v>3.9333333333333331E-2</v>
      </c>
      <c r="G187" s="177">
        <f>-'Loan 2'!E185/'Loan 2'!E$11</f>
        <v>7.8666666666666659E-3</v>
      </c>
      <c r="H187" s="177">
        <f>-'Loan 2'!F185/'Loan 2'!F$11</f>
        <v>4.8966074754680435E-4</v>
      </c>
      <c r="I187" s="177">
        <f>-'Loan 2'!G185/'Loan 2'!G$11</f>
        <v>2.6169882457307609E-4</v>
      </c>
      <c r="J187" s="177">
        <f>-'Loan 2'!H185/'Loan 2'!H$11</f>
        <v>7.8666666666666663E-5</v>
      </c>
      <c r="K187" s="177">
        <f>-'Loan 2'!I185/'Loan 2'!I$11</f>
        <v>3.9333333333333332E-5</v>
      </c>
      <c r="L187" s="202"/>
      <c r="N187" s="198"/>
    </row>
    <row r="188" spans="2:17" ht="14.5" hidden="1" customHeight="1" outlineLevel="1">
      <c r="B188" s="400"/>
      <c r="C188" s="303"/>
      <c r="D188" s="176" t="s">
        <v>349</v>
      </c>
      <c r="E188" s="303"/>
      <c r="F188" s="177">
        <f>-'Loan 2'!D186/'Loan 2'!D$11</f>
        <v>0</v>
      </c>
      <c r="G188" s="177">
        <f>-'Loan 2'!E186/'Loan 2'!E$11</f>
        <v>0</v>
      </c>
      <c r="H188" s="177">
        <f>-'Loan 2'!F186/'Loan 2'!F$11</f>
        <v>0</v>
      </c>
      <c r="I188" s="177">
        <f>-'Loan 2'!G186/'Loan 2'!G$11</f>
        <v>0</v>
      </c>
      <c r="J188" s="177">
        <f>-'Loan 2'!H186/'Loan 2'!H$11</f>
        <v>0</v>
      </c>
      <c r="K188" s="177">
        <f>-'Loan 2'!I186/'Loan 2'!I$11</f>
        <v>0</v>
      </c>
      <c r="L188" s="202"/>
      <c r="N188" s="198"/>
    </row>
    <row r="189" spans="2:17" ht="14.5" hidden="1" customHeight="1" outlineLevel="1">
      <c r="B189" s="400"/>
      <c r="C189" s="303"/>
      <c r="D189" s="176" t="s">
        <v>350</v>
      </c>
      <c r="E189" s="303"/>
      <c r="F189" s="177">
        <f>-'Loan 2'!D187/'Loan 2'!D$11</f>
        <v>0</v>
      </c>
      <c r="G189" s="177">
        <f>-'Loan 2'!E187/'Loan 2'!E$11</f>
        <v>0</v>
      </c>
      <c r="H189" s="177">
        <f>-'Loan 2'!F187/'Loan 2'!F$11</f>
        <v>2.0748336760457809E-3</v>
      </c>
      <c r="I189" s="177">
        <f>-'Loan 2'!G187/'Loan 2'!G$11</f>
        <v>1.1088933244621868E-3</v>
      </c>
      <c r="J189" s="177">
        <f>-'Loan 2'!H187/'Loan 2'!H$11</f>
        <v>3.3333333333333332E-4</v>
      </c>
      <c r="K189" s="177">
        <f>-'Loan 2'!I187/'Loan 2'!I$11</f>
        <v>1.6666666666666666E-4</v>
      </c>
      <c r="L189" s="202"/>
      <c r="N189" s="198"/>
    </row>
    <row r="190" spans="2:17" ht="14.5" hidden="1" customHeight="1" outlineLevel="1">
      <c r="B190" s="400"/>
      <c r="C190" s="303"/>
      <c r="D190" s="176" t="s">
        <v>351</v>
      </c>
      <c r="E190" s="303"/>
      <c r="F190" s="177">
        <f>-'Loan 2'!D188/'Loan 2'!D$11</f>
        <v>0</v>
      </c>
      <c r="G190" s="177">
        <f>-'Loan 2'!E188/'Loan 2'!E$11</f>
        <v>0</v>
      </c>
      <c r="H190" s="177">
        <f>-'Loan 2'!F188/'Loan 2'!F$11</f>
        <v>0</v>
      </c>
      <c r="I190" s="177">
        <f>-'Loan 2'!G188/'Loan 2'!G$11</f>
        <v>0</v>
      </c>
      <c r="J190" s="177">
        <f>-'Loan 2'!H188/'Loan 2'!H$11</f>
        <v>0</v>
      </c>
      <c r="K190" s="177">
        <f>-'Loan 2'!I188/'Loan 2'!I$11</f>
        <v>0</v>
      </c>
      <c r="L190" s="202"/>
      <c r="N190" s="198"/>
    </row>
    <row r="191" spans="2:17" ht="14.5" hidden="1" customHeight="1" outlineLevel="1">
      <c r="B191" s="400"/>
      <c r="C191" s="303"/>
      <c r="D191" s="186" t="s">
        <v>352</v>
      </c>
      <c r="E191" s="186"/>
      <c r="F191" s="186">
        <f t="shared" ref="F191:K191" si="18">SUM(F186:F190)</f>
        <v>3.9333333333333331E-2</v>
      </c>
      <c r="G191" s="186">
        <f t="shared" si="18"/>
        <v>7.8666666666666659E-3</v>
      </c>
      <c r="H191" s="186">
        <f t="shared" si="18"/>
        <v>2.5644944235925851E-3</v>
      </c>
      <c r="I191" s="186">
        <f t="shared" si="18"/>
        <v>1.370592149035263E-3</v>
      </c>
      <c r="J191" s="186">
        <f t="shared" si="18"/>
        <v>4.1199999999999999E-4</v>
      </c>
      <c r="K191" s="186">
        <f t="shared" si="18"/>
        <v>2.0599999999999999E-4</v>
      </c>
      <c r="L191" s="202"/>
      <c r="N191" s="198"/>
    </row>
    <row r="192" spans="2:17" ht="14.5" hidden="1" customHeight="1" outlineLevel="1">
      <c r="B192" s="400"/>
      <c r="C192" s="303"/>
      <c r="D192" s="180"/>
      <c r="E192" s="303"/>
      <c r="F192" s="292"/>
      <c r="G192" s="292"/>
      <c r="H192" s="292"/>
      <c r="I192" s="292"/>
      <c r="J192" s="303"/>
      <c r="K192" s="303"/>
      <c r="L192" s="199"/>
      <c r="N192" s="198"/>
      <c r="Q192" s="273"/>
    </row>
    <row r="193" spans="2:17" ht="14.5" hidden="1" customHeight="1" outlineLevel="1">
      <c r="B193" s="400"/>
      <c r="C193" s="181" t="s">
        <v>353</v>
      </c>
      <c r="D193" s="182"/>
      <c r="E193" s="303"/>
      <c r="F193" s="292"/>
      <c r="G193" s="292"/>
      <c r="H193" s="292"/>
      <c r="I193" s="292"/>
      <c r="J193" s="303"/>
      <c r="K193" s="303"/>
      <c r="L193" s="199"/>
      <c r="N193" s="198"/>
      <c r="Q193" s="273"/>
    </row>
    <row r="194" spans="2:17" ht="14.5" hidden="1" customHeight="1" outlineLevel="1">
      <c r="B194" s="400"/>
      <c r="C194" s="303"/>
      <c r="D194" s="190" t="s">
        <v>81</v>
      </c>
      <c r="E194" s="187"/>
      <c r="F194" s="187">
        <f>-'Loan 2'!D$197/'Loan 2'!D$11</f>
        <v>0</v>
      </c>
      <c r="G194" s="187">
        <f>-'Loan 2'!E$197/'Loan 2'!E$11</f>
        <v>0</v>
      </c>
      <c r="H194" s="187">
        <f>-'Loan 2'!F$197/'Loan 2'!F$11</f>
        <v>0</v>
      </c>
      <c r="I194" s="187">
        <f>-'Loan 2'!G$197/'Loan 2'!G$11</f>
        <v>0</v>
      </c>
      <c r="J194" s="187">
        <f>-'Loan 2'!H$197/'Loan 2'!H$11</f>
        <v>0</v>
      </c>
      <c r="K194" s="187">
        <f>-'Loan 2'!I$197/'Loan 2'!I$11</f>
        <v>0</v>
      </c>
      <c r="L194" s="202"/>
      <c r="N194" s="198"/>
      <c r="Q194" s="273"/>
    </row>
    <row r="195" spans="2:17" ht="14.5" hidden="1" customHeight="1" outlineLevel="1">
      <c r="B195" s="400"/>
      <c r="C195" s="303"/>
      <c r="D195" s="187"/>
      <c r="E195" s="187"/>
      <c r="F195" s="187"/>
      <c r="G195" s="187"/>
      <c r="H195" s="187"/>
      <c r="I195" s="187"/>
      <c r="J195" s="187"/>
      <c r="K195" s="187"/>
      <c r="L195" s="202"/>
      <c r="N195" s="198"/>
      <c r="Q195" s="273"/>
    </row>
    <row r="196" spans="2:17" ht="15" hidden="1" customHeight="1" outlineLevel="1" thickBot="1">
      <c r="B196" s="400"/>
      <c r="C196" s="303"/>
      <c r="D196" s="189" t="s">
        <v>342</v>
      </c>
      <c r="E196" s="189"/>
      <c r="F196" s="189" t="e">
        <f t="shared" ref="F196:K196" si="19">SUM(F165,F177,F183,F191,F194)</f>
        <v>#REF!</v>
      </c>
      <c r="G196" s="189" t="e">
        <f t="shared" si="19"/>
        <v>#REF!</v>
      </c>
      <c r="H196" s="189" t="e">
        <f t="shared" si="19"/>
        <v>#REF!</v>
      </c>
      <c r="I196" s="189" t="e">
        <f t="shared" si="19"/>
        <v>#REF!</v>
      </c>
      <c r="J196" s="189" t="e">
        <f t="shared" si="19"/>
        <v>#REF!</v>
      </c>
      <c r="K196" s="189" t="e">
        <f t="shared" si="19"/>
        <v>#REF!</v>
      </c>
      <c r="L196" s="202"/>
      <c r="N196" s="198"/>
      <c r="Q196" s="273"/>
    </row>
    <row r="197" spans="2:17" ht="14.5" hidden="1" customHeight="1" outlineLevel="1" thickTop="1">
      <c r="B197" s="400"/>
      <c r="C197" s="303"/>
      <c r="D197" s="191"/>
      <c r="E197" s="218" t="s">
        <v>354</v>
      </c>
      <c r="F197" s="216" t="e">
        <f>ROUND(('Loan 2'!D160/'Loan 2'!D11)-Model_Summary!F196-Model_Summary!F143,0)</f>
        <v>#REF!</v>
      </c>
      <c r="G197" s="216" t="e">
        <f>ROUND(('Loan 2'!E160/'Loan 2'!E11)-Model_Summary!G196-Model_Summary!G143,0)</f>
        <v>#REF!</v>
      </c>
      <c r="H197" s="216" t="e">
        <f>ROUND(('Loan 2'!F160/'Loan 2'!F11)-Model_Summary!H196-Model_Summary!H143,0)</f>
        <v>#REF!</v>
      </c>
      <c r="I197" s="216" t="e">
        <f>ROUND(('Loan 2'!G160/'Loan 2'!G11)-Model_Summary!I196-Model_Summary!I143,0)</f>
        <v>#REF!</v>
      </c>
      <c r="J197" s="216" t="e">
        <f>ROUND(('Loan 2'!H160/'Loan 2'!H11)-Model_Summary!J196-Model_Summary!J143,0)</f>
        <v>#REF!</v>
      </c>
      <c r="K197" s="216" t="e">
        <f>ROUND(('Loan 2'!I160/'Loan 2'!I11)-Model_Summary!K196-Model_Summary!K143,0)</f>
        <v>#REF!</v>
      </c>
      <c r="L197" s="202"/>
      <c r="N197" s="198"/>
      <c r="Q197" s="273"/>
    </row>
    <row r="198" spans="2:17" ht="15" hidden="1" customHeight="1" collapsed="1" thickBot="1">
      <c r="B198" s="414"/>
      <c r="C198" s="334"/>
      <c r="D198" s="334"/>
      <c r="E198" s="334"/>
      <c r="F198" s="422"/>
      <c r="G198" s="422"/>
      <c r="H198" s="422"/>
      <c r="I198" s="422"/>
      <c r="J198" s="422"/>
      <c r="K198" s="334"/>
      <c r="L198" s="423"/>
      <c r="N198" s="198"/>
      <c r="Q198" s="273"/>
    </row>
    <row r="199" spans="2:17" ht="14.5" customHeight="1" thickBot="1">
      <c r="B199" s="386"/>
      <c r="C199" s="386"/>
      <c r="D199" s="386"/>
      <c r="E199" s="386"/>
      <c r="F199" s="424"/>
      <c r="G199" s="424"/>
      <c r="H199" s="424"/>
      <c r="I199" s="424"/>
      <c r="J199" s="424"/>
      <c r="K199" s="386"/>
      <c r="L199" s="425"/>
      <c r="N199" s="198"/>
      <c r="Q199" s="273"/>
    </row>
    <row r="200" spans="2:17" ht="14.5" customHeight="1">
      <c r="B200" s="399"/>
      <c r="C200" s="212" t="s">
        <v>527</v>
      </c>
      <c r="D200" s="212"/>
      <c r="E200" s="747"/>
      <c r="F200" s="747"/>
      <c r="G200" s="747"/>
      <c r="H200" s="747"/>
      <c r="I200" s="747"/>
      <c r="J200" s="747"/>
      <c r="K200" s="747"/>
      <c r="L200" s="196"/>
      <c r="M200" s="198"/>
      <c r="N200" s="198"/>
      <c r="P200" s="685"/>
      <c r="Q200" s="335"/>
    </row>
    <row r="201" spans="2:17" ht="14.5" customHeight="1">
      <c r="B201" s="400"/>
      <c r="C201" s="303"/>
      <c r="D201" s="184"/>
      <c r="E201" s="748"/>
      <c r="F201" s="748"/>
      <c r="G201" s="748"/>
      <c r="H201" s="748"/>
      <c r="I201" s="748"/>
      <c r="J201" s="748"/>
      <c r="K201" s="748"/>
      <c r="L201" s="199"/>
      <c r="M201" s="198"/>
      <c r="N201" s="198"/>
      <c r="P201" s="685"/>
      <c r="Q201" s="335"/>
    </row>
    <row r="202" spans="2:17" ht="14.5" customHeight="1">
      <c r="B202" s="400"/>
      <c r="C202" s="401"/>
      <c r="D202" s="622"/>
      <c r="E202" s="415"/>
      <c r="F202" s="382"/>
      <c r="G202" s="368"/>
      <c r="H202" s="382"/>
      <c r="I202" s="382"/>
      <c r="J202" s="382"/>
      <c r="K202" s="368"/>
      <c r="L202" s="199"/>
      <c r="M202" s="198"/>
      <c r="N202" s="198"/>
      <c r="P202" s="685"/>
      <c r="Q202" s="335"/>
    </row>
    <row r="203" spans="2:17" ht="14.5" customHeight="1">
      <c r="B203" s="400"/>
      <c r="C203" s="402"/>
      <c r="D203" s="586" t="s">
        <v>329</v>
      </c>
      <c r="E203" s="586"/>
      <c r="F203" s="587" t="str">
        <f>'Loan 3'!D2</f>
        <v>5k - 29,999</v>
      </c>
      <c r="G203" s="587" t="str">
        <f>'Loan 3'!E2</f>
        <v>30k-100k</v>
      </c>
      <c r="H203" s="587" t="str">
        <f>'Loan 3'!F2</f>
        <v>200k-319k</v>
      </c>
      <c r="I203" s="587" t="str">
        <f>'Loan 3'!G2</f>
        <v>320k-679k</v>
      </c>
      <c r="J203" s="587" t="str">
        <f>'Loan 3'!H2</f>
        <v>680k-1.999m</v>
      </c>
      <c r="K203" s="587" t="str">
        <f>'Loan 3'!I2</f>
        <v>Above 2m</v>
      </c>
      <c r="L203" s="199"/>
      <c r="N203" s="198"/>
      <c r="Q203" s="273"/>
    </row>
    <row r="204" spans="2:17" ht="14.5" customHeight="1">
      <c r="B204" s="400"/>
      <c r="C204" s="402"/>
      <c r="D204" s="615" t="s">
        <v>331</v>
      </c>
      <c r="E204" s="403"/>
      <c r="F204" s="291"/>
      <c r="G204" s="405"/>
      <c r="H204" s="291"/>
      <c r="I204" s="291"/>
      <c r="J204" s="291"/>
      <c r="K204" s="405"/>
      <c r="L204" s="199"/>
      <c r="N204" s="198"/>
      <c r="Q204" s="273"/>
    </row>
    <row r="205" spans="2:17" ht="14.5" customHeight="1">
      <c r="B205" s="400"/>
      <c r="C205" s="402"/>
      <c r="D205" s="335" t="s">
        <v>332</v>
      </c>
      <c r="E205" s="303"/>
      <c r="F205" s="291">
        <f>'Loan 3'!D203</f>
        <v>439.03907231999807</v>
      </c>
      <c r="G205" s="405">
        <f>'Loan 3'!E203</f>
        <v>4562.8589359999851</v>
      </c>
      <c r="H205" s="291">
        <f>'Loan 3'!F203</f>
        <v>126189.9022990513</v>
      </c>
      <c r="I205" s="291">
        <f>'Loan 3'!G203</f>
        <v>239067.40459421533</v>
      </c>
      <c r="J205" s="291">
        <f>'Loan 3'!H203</f>
        <v>548190.53681686509</v>
      </c>
      <c r="K205" s="405">
        <f>'Loan 3'!I203</f>
        <v>1016559.5985777816</v>
      </c>
      <c r="L205" s="199"/>
      <c r="N205" s="198"/>
      <c r="O205" s="685"/>
      <c r="Q205" s="273"/>
    </row>
    <row r="206" spans="2:17" ht="14.5" hidden="1" customHeight="1">
      <c r="B206" s="400"/>
      <c r="C206" s="402"/>
      <c r="D206" s="335" t="s">
        <v>333</v>
      </c>
      <c r="E206" s="303"/>
      <c r="F206" s="291">
        <f>'Loan 3'!D207</f>
        <v>-448.96092768000204</v>
      </c>
      <c r="G206" s="405">
        <f>'Loan 3'!E207</f>
        <v>-2837.1410640000158</v>
      </c>
      <c r="H206" s="291">
        <f>'Loan 3'!F207</f>
        <v>89760.860625740563</v>
      </c>
      <c r="I206" s="291">
        <f>'Loan 3'!G207</f>
        <v>170024.1608964586</v>
      </c>
      <c r="J206" s="291">
        <f>'Loan 3'!H207</f>
        <v>326190.53681686509</v>
      </c>
      <c r="K206" s="405">
        <f>'Loan 3'!I207</f>
        <v>572559.59857778158</v>
      </c>
      <c r="L206" s="199"/>
      <c r="N206" s="198"/>
      <c r="O206" s="685"/>
      <c r="Q206" s="273"/>
    </row>
    <row r="207" spans="2:17" ht="14.5" customHeight="1">
      <c r="B207" s="400"/>
      <c r="C207" s="402"/>
      <c r="D207" s="335" t="s">
        <v>356</v>
      </c>
      <c r="E207" s="303"/>
      <c r="F207" s="416">
        <f>'Loan 3'!D209</f>
        <v>7.3173178719999676E-2</v>
      </c>
      <c r="G207" s="417">
        <f>'Loan 3'!E209</f>
        <v>9.1257178719999707E-2</v>
      </c>
      <c r="H207" s="416">
        <f>'Loan 3'!F209</f>
        <v>0.51267078908480868</v>
      </c>
      <c r="I207" s="416">
        <f>'Loan 3'!G209</f>
        <v>0.51246108938380397</v>
      </c>
      <c r="J207" s="416">
        <f>'Loan 3'!H209</f>
        <v>0.36546035787791004</v>
      </c>
      <c r="K207" s="417">
        <f>'Loan 3'!I209</f>
        <v>0.33885319952592718</v>
      </c>
      <c r="L207" s="199"/>
      <c r="N207" s="198"/>
      <c r="O207" s="685"/>
      <c r="Q207" s="273"/>
    </row>
    <row r="208" spans="2:17" ht="14.5" hidden="1" customHeight="1">
      <c r="B208" s="400"/>
      <c r="C208" s="402"/>
      <c r="D208" s="335" t="s">
        <v>357</v>
      </c>
      <c r="E208" s="303"/>
      <c r="F208" s="416">
        <f>'Loan 3'!D210</f>
        <v>-7.4826821280000344E-2</v>
      </c>
      <c r="G208" s="417">
        <f>'Loan 3'!E210</f>
        <v>-5.6742821280000313E-2</v>
      </c>
      <c r="H208" s="416">
        <f>'Loan 3'!F210</f>
        <v>0.36467078908480866</v>
      </c>
      <c r="I208" s="416">
        <f>'Loan 3'!G210</f>
        <v>0.36446108938380395</v>
      </c>
      <c r="J208" s="416">
        <f>'Loan 3'!H210</f>
        <v>0.21746035787791007</v>
      </c>
      <c r="K208" s="417">
        <f>'Loan 3'!I210</f>
        <v>0.19085319952592719</v>
      </c>
      <c r="L208" s="199"/>
      <c r="N208" s="198"/>
      <c r="Q208" s="273"/>
    </row>
    <row r="209" spans="2:17" ht="14.5" customHeight="1">
      <c r="B209" s="400"/>
      <c r="C209" s="402"/>
      <c r="D209" s="303"/>
      <c r="E209" s="303"/>
      <c r="F209" s="291"/>
      <c r="G209" s="405"/>
      <c r="H209" s="291"/>
      <c r="I209" s="291"/>
      <c r="J209" s="291"/>
      <c r="K209" s="405"/>
      <c r="L209" s="199"/>
      <c r="N209" s="198"/>
      <c r="Q209" s="273"/>
    </row>
    <row r="210" spans="2:17" ht="14.5" customHeight="1">
      <c r="B210" s="400"/>
      <c r="C210" s="402"/>
      <c r="D210" s="591" t="s">
        <v>1</v>
      </c>
      <c r="E210" s="303"/>
      <c r="F210" s="291"/>
      <c r="G210" s="405"/>
      <c r="H210" s="291"/>
      <c r="I210" s="291"/>
      <c r="J210" s="291"/>
      <c r="K210" s="405"/>
      <c r="L210" s="199"/>
      <c r="N210" s="198"/>
      <c r="Q210" s="273"/>
    </row>
    <row r="211" spans="2:17" ht="14.5" customHeight="1">
      <c r="B211" s="400"/>
      <c r="C211" s="402"/>
      <c r="D211" s="303" t="s">
        <v>14</v>
      </c>
      <c r="E211" s="303"/>
      <c r="F211" s="604">
        <v>6000</v>
      </c>
      <c r="G211" s="605">
        <v>50000</v>
      </c>
      <c r="H211" s="165">
        <v>246142.17346831577</v>
      </c>
      <c r="I211" s="165">
        <v>466508.40336322115</v>
      </c>
      <c r="J211" s="165">
        <v>1500000</v>
      </c>
      <c r="K211" s="166">
        <v>3000000</v>
      </c>
      <c r="L211" s="199"/>
      <c r="N211" s="198"/>
      <c r="Q211" s="273"/>
    </row>
    <row r="212" spans="2:17" ht="14.5" hidden="1" customHeight="1">
      <c r="B212" s="400"/>
      <c r="C212" s="402"/>
      <c r="D212" s="303" t="s">
        <v>13</v>
      </c>
      <c r="E212" s="303"/>
      <c r="F212" s="604">
        <v>1</v>
      </c>
      <c r="G212" s="605">
        <v>1</v>
      </c>
      <c r="H212" s="165">
        <v>1</v>
      </c>
      <c r="I212" s="165">
        <v>1</v>
      </c>
      <c r="J212" s="165">
        <v>1</v>
      </c>
      <c r="K212" s="166">
        <v>1</v>
      </c>
      <c r="L212" s="408"/>
      <c r="Q212" s="459"/>
    </row>
    <row r="213" spans="2:17" ht="14.5" hidden="1" customHeight="1">
      <c r="B213" s="400"/>
      <c r="C213" s="402"/>
      <c r="D213" s="303" t="s">
        <v>358</v>
      </c>
      <c r="E213" s="303"/>
      <c r="F213" s="631">
        <v>0.84571428571428575</v>
      </c>
      <c r="G213" s="632">
        <v>0.891156462585034</v>
      </c>
      <c r="H213" s="241">
        <v>0.92535211267605633</v>
      </c>
      <c r="I213" s="241">
        <v>0.91745283018867929</v>
      </c>
      <c r="J213" s="241">
        <v>0.90884718498659522</v>
      </c>
      <c r="K213" s="242">
        <v>0.84168336673346689</v>
      </c>
      <c r="L213" s="408"/>
      <c r="Q213" s="459"/>
    </row>
    <row r="214" spans="2:17" ht="14.5" hidden="1" customHeight="1">
      <c r="B214" s="400"/>
      <c r="C214" s="402"/>
      <c r="D214" s="465" t="s">
        <v>374</v>
      </c>
      <c r="E214" s="303"/>
      <c r="F214" s="407">
        <f>Assumption_Sheet!B334</f>
        <v>0.17999999999999994</v>
      </c>
      <c r="G214" s="407">
        <f>Assumption_Sheet!C334</f>
        <v>0.17999999999999994</v>
      </c>
      <c r="H214" s="407">
        <f>Assumption_Sheet!D334</f>
        <v>8.8123555729852698E-2</v>
      </c>
      <c r="I214" s="407">
        <f>Assumption_Sheet!E334</f>
        <v>8.5259380039840502E-2</v>
      </c>
      <c r="J214" s="407">
        <f>Assumption_Sheet!F334</f>
        <v>6.6153226409019689E-2</v>
      </c>
      <c r="K214" s="407">
        <f>Assumption_Sheet!G334</f>
        <v>6.3131644929473762E-2</v>
      </c>
      <c r="L214" s="199"/>
      <c r="N214" s="198"/>
      <c r="Q214" s="273"/>
    </row>
    <row r="215" spans="2:17" ht="14.5" customHeight="1">
      <c r="B215" s="400"/>
      <c r="C215" s="402"/>
      <c r="D215" s="303" t="s">
        <v>364</v>
      </c>
      <c r="E215" s="303"/>
      <c r="F215" s="161">
        <f>F150*$L$215</f>
        <v>0.18</v>
      </c>
      <c r="G215" s="602">
        <f>G150*$L$215</f>
        <v>0.18</v>
      </c>
      <c r="H215" s="162">
        <f t="shared" ref="H215:K215" si="20">H86</f>
        <v>5.5E-2</v>
      </c>
      <c r="I215" s="162">
        <f t="shared" si="20"/>
        <v>5.2999999999999999E-2</v>
      </c>
      <c r="J215" s="162">
        <f t="shared" si="20"/>
        <v>0.04</v>
      </c>
      <c r="K215" s="162">
        <f t="shared" si="20"/>
        <v>3.7999999999999999E-2</v>
      </c>
      <c r="L215" s="261">
        <v>0.8</v>
      </c>
      <c r="M215" s="556"/>
      <c r="N215" s="551"/>
      <c r="Q215" s="273"/>
    </row>
    <row r="216" spans="2:17" ht="14.5" hidden="1" customHeight="1">
      <c r="B216" s="400"/>
      <c r="C216" s="402"/>
      <c r="D216" s="420" t="s">
        <v>8</v>
      </c>
      <c r="E216" s="420"/>
      <c r="F216" s="267">
        <v>0.21190000000000001</v>
      </c>
      <c r="G216" s="268">
        <v>0.159</v>
      </c>
      <c r="H216" s="267">
        <v>9.7299999999999998E-2</v>
      </c>
      <c r="I216" s="267">
        <v>8.48E-2</v>
      </c>
      <c r="J216" s="267">
        <v>6.4500000000000002E-2</v>
      </c>
      <c r="K216" s="268">
        <v>6.2700000000000006E-2</v>
      </c>
      <c r="L216" s="199"/>
      <c r="N216" s="198"/>
      <c r="Q216" s="273"/>
    </row>
    <row r="217" spans="2:17" ht="14.5" hidden="1" customHeight="1">
      <c r="B217" s="400"/>
      <c r="C217" s="402"/>
      <c r="D217" s="420" t="s">
        <v>9</v>
      </c>
      <c r="E217" s="420"/>
      <c r="F217" s="257">
        <v>0.14299999999999999</v>
      </c>
      <c r="G217" s="269">
        <v>0.104</v>
      </c>
      <c r="H217" s="257">
        <v>6.0999999999999999E-2</v>
      </c>
      <c r="I217" s="257">
        <v>5.2999999999999999E-2</v>
      </c>
      <c r="J217" s="257">
        <v>0.04</v>
      </c>
      <c r="K217" s="269">
        <v>3.7999999999999999E-2</v>
      </c>
      <c r="L217" s="199"/>
      <c r="N217" s="198"/>
      <c r="Q217" s="273"/>
    </row>
    <row r="218" spans="2:17" ht="14.5" customHeight="1">
      <c r="B218" s="400"/>
      <c r="C218" s="402"/>
      <c r="D218" s="303" t="s">
        <v>10</v>
      </c>
      <c r="E218" s="303"/>
      <c r="F218" s="603">
        <v>1</v>
      </c>
      <c r="G218" s="164">
        <v>1</v>
      </c>
      <c r="H218" s="163">
        <v>12</v>
      </c>
      <c r="I218" s="163">
        <v>12</v>
      </c>
      <c r="J218" s="163">
        <v>12</v>
      </c>
      <c r="K218" s="163">
        <v>12</v>
      </c>
      <c r="L218" s="199"/>
      <c r="N218" s="198"/>
      <c r="Q218" s="273"/>
    </row>
    <row r="219" spans="2:17" ht="14.5" customHeight="1">
      <c r="B219" s="400"/>
      <c r="C219" s="402"/>
      <c r="D219" s="303" t="s">
        <v>11</v>
      </c>
      <c r="E219" s="303"/>
      <c r="F219" s="406">
        <f>F90</f>
        <v>0.13500000000000001</v>
      </c>
      <c r="G219" s="407">
        <f>G90</f>
        <v>0.13500000000000001</v>
      </c>
      <c r="H219" s="406">
        <f t="shared" ref="H219:K219" si="21">H$19</f>
        <v>0.13500000000000001</v>
      </c>
      <c r="I219" s="406">
        <f t="shared" si="21"/>
        <v>0.13500000000000001</v>
      </c>
      <c r="J219" s="406">
        <f t="shared" si="21"/>
        <v>0.13500000000000001</v>
      </c>
      <c r="K219" s="407">
        <f t="shared" si="21"/>
        <v>0.13500000000000001</v>
      </c>
      <c r="L219" s="199"/>
      <c r="N219" s="198"/>
      <c r="Q219" s="273"/>
    </row>
    <row r="220" spans="2:17" ht="14.5" customHeight="1">
      <c r="B220" s="400"/>
      <c r="C220" s="409"/>
      <c r="D220" s="305" t="s">
        <v>12</v>
      </c>
      <c r="E220" s="305"/>
      <c r="F220" s="739">
        <f>F155*$L$220</f>
        <v>5.4756000000000006E-2</v>
      </c>
      <c r="G220" s="740">
        <f>G155*$L$220</f>
        <v>5.4756000000000006E-2</v>
      </c>
      <c r="H220" s="633">
        <f t="shared" ref="H220:I220" si="22">H221*$L220</f>
        <v>4.6800000000000001E-2</v>
      </c>
      <c r="I220" s="244">
        <f t="shared" si="22"/>
        <v>2.4E-2</v>
      </c>
      <c r="J220" s="633">
        <f>J221*$L220</f>
        <v>1.9199999999999998E-2</v>
      </c>
      <c r="K220" s="244">
        <f>K221*$L220</f>
        <v>2.76E-2</v>
      </c>
      <c r="L220" s="261">
        <v>0.6</v>
      </c>
      <c r="N220" s="198"/>
      <c r="Q220" s="273"/>
    </row>
    <row r="221" spans="2:17" ht="14.5" hidden="1" customHeight="1">
      <c r="B221" s="400"/>
      <c r="C221" s="409"/>
      <c r="D221" s="421" t="s">
        <v>363</v>
      </c>
      <c r="E221" s="421"/>
      <c r="F221" s="255">
        <v>6.0999999999999999E-2</v>
      </c>
      <c r="G221" s="255">
        <v>0.12</v>
      </c>
      <c r="H221" s="255">
        <v>7.8E-2</v>
      </c>
      <c r="I221" s="255">
        <v>0.04</v>
      </c>
      <c r="J221" s="255">
        <v>3.2000000000000001E-2</v>
      </c>
      <c r="K221" s="256">
        <v>4.5999999999999999E-2</v>
      </c>
      <c r="L221" s="199"/>
      <c r="N221" s="198"/>
      <c r="Q221" s="273"/>
    </row>
    <row r="222" spans="2:17" ht="14.5" customHeight="1">
      <c r="B222" s="400"/>
      <c r="C222" s="303"/>
      <c r="D222" s="303"/>
      <c r="E222" s="303"/>
      <c r="F222" s="303"/>
      <c r="G222" s="303"/>
      <c r="H222" s="303"/>
      <c r="I222" s="303"/>
      <c r="J222" s="303"/>
      <c r="K222" s="303"/>
      <c r="L222" s="199"/>
      <c r="N222" s="198"/>
      <c r="Q222" s="273"/>
    </row>
    <row r="223" spans="2:17" ht="15" hidden="1" customHeight="1" thickBot="1">
      <c r="B223" s="200" t="s">
        <v>339</v>
      </c>
      <c r="C223" s="179"/>
      <c r="D223" s="411"/>
      <c r="E223" s="411"/>
      <c r="F223" s="412"/>
      <c r="G223" s="412"/>
      <c r="H223" s="412"/>
      <c r="I223" s="412"/>
      <c r="J223" s="411"/>
      <c r="K223" s="411"/>
      <c r="L223" s="413"/>
      <c r="N223" s="198"/>
      <c r="Q223" s="273"/>
    </row>
    <row r="224" spans="2:17" ht="14.5" hidden="1" customHeight="1" outlineLevel="1">
      <c r="B224" s="400"/>
      <c r="C224" s="303"/>
      <c r="D224" s="303"/>
      <c r="E224" s="303"/>
      <c r="F224" s="292"/>
      <c r="G224" s="292"/>
      <c r="H224" s="292"/>
      <c r="I224" s="292"/>
      <c r="J224" s="303"/>
      <c r="K224" s="303"/>
      <c r="L224" s="199"/>
      <c r="N224" s="198"/>
    </row>
    <row r="225" spans="2:14" ht="14.5" hidden="1" customHeight="1" outlineLevel="1">
      <c r="B225" s="400"/>
      <c r="C225" s="181" t="s">
        <v>340</v>
      </c>
      <c r="D225" s="180"/>
      <c r="E225" s="303"/>
      <c r="F225" s="292"/>
      <c r="G225" s="292"/>
      <c r="H225" s="292"/>
      <c r="I225" s="292"/>
      <c r="J225" s="303"/>
      <c r="K225" s="303"/>
      <c r="L225" s="199"/>
      <c r="N225" s="198"/>
    </row>
    <row r="226" spans="2:14" ht="14.5" hidden="1" customHeight="1" outlineLevel="1">
      <c r="B226" s="400"/>
      <c r="C226" s="303"/>
      <c r="D226" s="180"/>
      <c r="E226" s="303"/>
      <c r="F226" s="292"/>
      <c r="G226" s="292"/>
      <c r="H226" s="292"/>
      <c r="I226" s="292"/>
      <c r="J226" s="303"/>
      <c r="K226" s="303"/>
      <c r="L226" s="199"/>
      <c r="N226" s="198"/>
    </row>
    <row r="227" spans="2:14" ht="14.5" hidden="1" customHeight="1" outlineLevel="1">
      <c r="B227" s="400"/>
      <c r="C227" s="303"/>
      <c r="D227" s="183" t="s">
        <v>47</v>
      </c>
      <c r="E227" s="305"/>
      <c r="F227" s="410"/>
      <c r="G227" s="410"/>
      <c r="H227" s="410"/>
      <c r="I227" s="410"/>
      <c r="J227" s="305"/>
      <c r="K227" s="305"/>
      <c r="L227" s="199"/>
      <c r="N227" s="198"/>
    </row>
    <row r="228" spans="2:14" ht="14.5" hidden="1" customHeight="1" outlineLevel="1">
      <c r="B228" s="400"/>
      <c r="C228" s="303"/>
      <c r="D228" s="176" t="s">
        <v>37</v>
      </c>
      <c r="E228" s="303"/>
      <c r="F228" s="177">
        <f>-'Loan 3'!D$170/'Loan 3'!D$11</f>
        <v>1.1250000000000029E-2</v>
      </c>
      <c r="G228" s="177">
        <f>-'Loan 3'!E$170/'Loan 3'!E$11</f>
        <v>1.1250000000000027E-2</v>
      </c>
      <c r="H228" s="177">
        <f>-'Loan 3'!F$170/'Loan 3'!F$11</f>
        <v>8.425670002197562E-2</v>
      </c>
      <c r="I228" s="177">
        <f>-'Loan 3'!G$170/'Loan 3'!G$11</f>
        <v>8.3920385025756356E-2</v>
      </c>
      <c r="J228" s="177">
        <f>-'Loan 3'!H$170/'Loan 3'!H$11</f>
        <v>8.1628671693385724E-2</v>
      </c>
      <c r="K228" s="177">
        <f>-'Loan 3'!I$170/'Loan 3'!I$11</f>
        <v>8.1258772929666226E-2</v>
      </c>
      <c r="L228" s="199"/>
      <c r="N228" s="198"/>
    </row>
    <row r="229" spans="2:14" ht="14.5" hidden="1" customHeight="1" outlineLevel="1">
      <c r="B229" s="400"/>
      <c r="C229" s="303"/>
      <c r="D229" s="176" t="s">
        <v>341</v>
      </c>
      <c r="E229" s="303"/>
      <c r="F229" s="177">
        <f>-SUM('Loan 3'!D$172:D$174)/'Loan 3'!D$11</f>
        <v>1.1331407946666663E-2</v>
      </c>
      <c r="G229" s="177">
        <f>-SUM('Loan 3'!E$172:E$174)/'Loan 3'!E$11</f>
        <v>1.0524741279999994E-2</v>
      </c>
      <c r="H229" s="177">
        <f>-SUM('Loan 3'!F$172:F$174)/'Loan 3'!F$11</f>
        <v>1.4639402809597279E-2</v>
      </c>
      <c r="I229" s="177">
        <f>-SUM('Loan 3'!G$172:G$174)/'Loan 3'!G$11</f>
        <v>1.4758663712598107E-2</v>
      </c>
      <c r="J229" s="177">
        <f>-SUM('Loan 3'!H$172:H$174)/'Loan 3'!H$11</f>
        <v>1.3444172666666731E-2</v>
      </c>
      <c r="K229" s="177">
        <f>-SUM('Loan 3'!I$172:I$174)/'Loan 3'!I$11</f>
        <v>8.1572833333333344E-3</v>
      </c>
      <c r="L229" s="199"/>
      <c r="N229" s="198"/>
    </row>
    <row r="230" spans="2:14" ht="14.5" hidden="1" customHeight="1" outlineLevel="1">
      <c r="B230" s="400"/>
      <c r="C230" s="303"/>
      <c r="D230" s="186" t="s">
        <v>342</v>
      </c>
      <c r="E230" s="186"/>
      <c r="F230" s="186">
        <f t="shared" ref="F230:K230" si="23">SUM(F228:F229)</f>
        <v>2.2581407946666694E-2</v>
      </c>
      <c r="G230" s="186">
        <f t="shared" si="23"/>
        <v>2.1774741280000023E-2</v>
      </c>
      <c r="H230" s="186">
        <f t="shared" si="23"/>
        <v>9.8896102831572893E-2</v>
      </c>
      <c r="I230" s="186">
        <f t="shared" si="23"/>
        <v>9.8679048738354466E-2</v>
      </c>
      <c r="J230" s="186">
        <f t="shared" si="23"/>
        <v>9.507284436005245E-2</v>
      </c>
      <c r="K230" s="186">
        <f t="shared" si="23"/>
        <v>8.941605626299956E-2</v>
      </c>
      <c r="L230" s="202"/>
      <c r="N230" s="198"/>
    </row>
    <row r="231" spans="2:14" ht="14.5" hidden="1" customHeight="1" outlineLevel="1">
      <c r="B231" s="400"/>
      <c r="C231" s="303"/>
      <c r="D231" s="180"/>
      <c r="E231" s="303"/>
      <c r="F231" s="292"/>
      <c r="G231" s="292"/>
      <c r="H231" s="292"/>
      <c r="I231" s="292"/>
      <c r="J231" s="303"/>
      <c r="K231" s="303"/>
      <c r="L231" s="199"/>
      <c r="N231" s="198"/>
    </row>
    <row r="232" spans="2:14" ht="14.5" hidden="1" customHeight="1" outlineLevel="1">
      <c r="B232" s="400"/>
      <c r="C232" s="303"/>
      <c r="D232" s="183" t="s">
        <v>343</v>
      </c>
      <c r="E232" s="305"/>
      <c r="F232" s="410"/>
      <c r="G232" s="410"/>
      <c r="H232" s="410"/>
      <c r="I232" s="410"/>
      <c r="J232" s="305"/>
      <c r="K232" s="305"/>
      <c r="L232" s="199"/>
      <c r="N232" s="198"/>
    </row>
    <row r="233" spans="2:14" ht="14.5" hidden="1" customHeight="1" outlineLevel="1">
      <c r="B233" s="400"/>
      <c r="C233" s="303"/>
      <c r="D233" s="176" t="s">
        <v>52</v>
      </c>
      <c r="E233" s="303"/>
      <c r="F233" s="177" t="e">
        <f>-'Loan 3'!#REF!/'Loan 3'!D$11</f>
        <v>#REF!</v>
      </c>
      <c r="G233" s="177" t="e">
        <f>-'Loan 3'!#REF!/'Loan 3'!E$11</f>
        <v>#REF!</v>
      </c>
      <c r="H233" s="177" t="e">
        <f>-'Loan 3'!#REF!/'Loan 3'!F$11</f>
        <v>#REF!</v>
      </c>
      <c r="I233" s="177" t="e">
        <f>-'Loan 3'!#REF!/'Loan 3'!G$11</f>
        <v>#REF!</v>
      </c>
      <c r="J233" s="177" t="e">
        <f>-'Loan 3'!#REF!/'Loan 3'!H$11</f>
        <v>#REF!</v>
      </c>
      <c r="K233" s="177" t="e">
        <f>-'Loan 3'!#REF!/'Loan 3'!I$11</f>
        <v>#REF!</v>
      </c>
      <c r="L233" s="202"/>
      <c r="N233" s="198"/>
    </row>
    <row r="234" spans="2:14" ht="14.5" hidden="1" customHeight="1" outlineLevel="1">
      <c r="B234" s="400"/>
      <c r="C234" s="303"/>
      <c r="D234" s="176" t="s">
        <v>53</v>
      </c>
      <c r="E234" s="303"/>
      <c r="F234" s="177" t="e">
        <f>-'Loan 3'!#REF!/'Loan 3'!D$11</f>
        <v>#REF!</v>
      </c>
      <c r="G234" s="177" t="e">
        <f>-'Loan 3'!#REF!/'Loan 3'!E$11</f>
        <v>#REF!</v>
      </c>
      <c r="H234" s="177" t="e">
        <f>-'Loan 3'!#REF!/'Loan 3'!F$11</f>
        <v>#REF!</v>
      </c>
      <c r="I234" s="177" t="e">
        <f>-'Loan 3'!#REF!/'Loan 3'!G$11</f>
        <v>#REF!</v>
      </c>
      <c r="J234" s="177" t="e">
        <f>-'Loan 3'!#REF!/'Loan 3'!H$11</f>
        <v>#REF!</v>
      </c>
      <c r="K234" s="177" t="e">
        <f>-'Loan 3'!#REF!/'Loan 3'!I$11</f>
        <v>#REF!</v>
      </c>
      <c r="L234" s="202"/>
      <c r="N234" s="198"/>
    </row>
    <row r="235" spans="2:14" ht="14.5" hidden="1" customHeight="1" outlineLevel="1">
      <c r="B235" s="400"/>
      <c r="C235" s="303"/>
      <c r="D235" s="176" t="s">
        <v>54</v>
      </c>
      <c r="E235" s="303"/>
      <c r="F235" s="177" t="e">
        <f>-'Loan 3'!#REF!/'Loan 3'!D$11</f>
        <v>#REF!</v>
      </c>
      <c r="G235" s="177" t="e">
        <f>-'Loan 3'!#REF!/'Loan 3'!E$11</f>
        <v>#REF!</v>
      </c>
      <c r="H235" s="177" t="e">
        <f>-'Loan 3'!#REF!/'Loan 3'!F$11</f>
        <v>#REF!</v>
      </c>
      <c r="I235" s="177" t="e">
        <f>-'Loan 3'!#REF!/'Loan 3'!G$11</f>
        <v>#REF!</v>
      </c>
      <c r="J235" s="177" t="e">
        <f>-'Loan 3'!#REF!/'Loan 3'!H$11</f>
        <v>#REF!</v>
      </c>
      <c r="K235" s="177" t="e">
        <f>-'Loan 3'!#REF!/'Loan 3'!I$11</f>
        <v>#REF!</v>
      </c>
      <c r="L235" s="202"/>
      <c r="N235" s="198"/>
    </row>
    <row r="236" spans="2:14" ht="14.5" hidden="1" customHeight="1" outlineLevel="1">
      <c r="B236" s="400"/>
      <c r="C236" s="303"/>
      <c r="D236" s="176" t="s">
        <v>55</v>
      </c>
      <c r="E236" s="303"/>
      <c r="F236" s="177" t="e">
        <f>-'Loan 3'!#REF!/'Loan 3'!D$11</f>
        <v>#REF!</v>
      </c>
      <c r="G236" s="177" t="e">
        <f>-'Loan 3'!#REF!/'Loan 3'!E$11</f>
        <v>#REF!</v>
      </c>
      <c r="H236" s="177" t="e">
        <f>-'Loan 3'!#REF!/'Loan 3'!F$11</f>
        <v>#REF!</v>
      </c>
      <c r="I236" s="177" t="e">
        <f>-'Loan 3'!#REF!/'Loan 3'!G$11</f>
        <v>#REF!</v>
      </c>
      <c r="J236" s="177" t="e">
        <f>-'Loan 3'!#REF!/'Loan 3'!H$11</f>
        <v>#REF!</v>
      </c>
      <c r="K236" s="177" t="e">
        <f>-'Loan 3'!#REF!/'Loan 3'!I$11</f>
        <v>#REF!</v>
      </c>
      <c r="L236" s="202"/>
      <c r="N236" s="198"/>
    </row>
    <row r="237" spans="2:14" ht="14.5" hidden="1" customHeight="1" outlineLevel="1">
      <c r="B237" s="400"/>
      <c r="C237" s="303"/>
      <c r="D237" s="176" t="s">
        <v>56</v>
      </c>
      <c r="E237" s="303"/>
      <c r="F237" s="177">
        <f>-'Loan 3'!D179/'Loan 3'!D$11</f>
        <v>0</v>
      </c>
      <c r="G237" s="177">
        <f>-'Loan 3'!E179/'Loan 3'!E$11</f>
        <v>0</v>
      </c>
      <c r="H237" s="177">
        <f>-'Loan 3'!F179/'Loan 3'!F$11</f>
        <v>0</v>
      </c>
      <c r="I237" s="177">
        <f>-'Loan 3'!G179/'Loan 3'!G$11</f>
        <v>0</v>
      </c>
      <c r="J237" s="177">
        <f>-'Loan 3'!H179/'Loan 3'!H$11</f>
        <v>0</v>
      </c>
      <c r="K237" s="185">
        <f>-'Loan 3'!I179/'Loan 3'!I$11</f>
        <v>0</v>
      </c>
      <c r="L237" s="202"/>
      <c r="N237" s="198"/>
    </row>
    <row r="238" spans="2:14" ht="14.5" hidden="1" customHeight="1" outlineLevel="1">
      <c r="B238" s="400"/>
      <c r="C238" s="303"/>
      <c r="D238" s="176" t="s">
        <v>57</v>
      </c>
      <c r="E238" s="303"/>
      <c r="F238" s="177">
        <f>-'Loan 3'!D180/'Loan 3'!D$11</f>
        <v>0</v>
      </c>
      <c r="G238" s="177">
        <f>-'Loan 3'!E180/'Loan 3'!E$11</f>
        <v>0</v>
      </c>
      <c r="H238" s="177">
        <f>-'Loan 3'!F180/'Loan 3'!F$11</f>
        <v>0</v>
      </c>
      <c r="I238" s="177">
        <f>-'Loan 3'!G180/'Loan 3'!G$11</f>
        <v>0</v>
      </c>
      <c r="J238" s="177">
        <f>-'Loan 3'!H180/'Loan 3'!H$11</f>
        <v>0</v>
      </c>
      <c r="K238" s="185">
        <f>-'Loan 3'!I180/'Loan 3'!I$11</f>
        <v>0</v>
      </c>
      <c r="L238" s="202"/>
      <c r="N238" s="198"/>
    </row>
    <row r="239" spans="2:14" ht="14.5" hidden="1" customHeight="1" outlineLevel="1">
      <c r="B239" s="400"/>
      <c r="C239" s="303"/>
      <c r="D239" s="176" t="s">
        <v>58</v>
      </c>
      <c r="E239" s="303"/>
      <c r="F239" s="177">
        <f>-'Loan 3'!D181/'Loan 3'!D$11</f>
        <v>0</v>
      </c>
      <c r="G239" s="177">
        <f>-'Loan 3'!E181/'Loan 3'!E$11</f>
        <v>0</v>
      </c>
      <c r="H239" s="177">
        <f>-'Loan 3'!F181/'Loan 3'!F$11</f>
        <v>0</v>
      </c>
      <c r="I239" s="177">
        <f>-'Loan 3'!G181/'Loan 3'!G$11</f>
        <v>0</v>
      </c>
      <c r="J239" s="177">
        <f>-'Loan 3'!H181/'Loan 3'!H$11</f>
        <v>0</v>
      </c>
      <c r="K239" s="185">
        <f>-'Loan 3'!I181/'Loan 3'!I$11</f>
        <v>0</v>
      </c>
      <c r="L239" s="202"/>
      <c r="N239" s="198"/>
    </row>
    <row r="240" spans="2:14" ht="14.5" hidden="1" customHeight="1" outlineLevel="1">
      <c r="B240" s="400"/>
      <c r="C240" s="303"/>
      <c r="D240" s="176" t="s">
        <v>59</v>
      </c>
      <c r="E240" s="303"/>
      <c r="F240" s="177" t="e">
        <f>-'Loan 3'!#REF!/'Loan 3'!D$11</f>
        <v>#REF!</v>
      </c>
      <c r="G240" s="177" t="e">
        <f>-'Loan 3'!#REF!/'Loan 3'!E$11</f>
        <v>#REF!</v>
      </c>
      <c r="H240" s="177" t="e">
        <f>-'Loan 3'!#REF!/'Loan 3'!F$11</f>
        <v>#REF!</v>
      </c>
      <c r="I240" s="177" t="e">
        <f>-'Loan 3'!#REF!/'Loan 3'!G$11</f>
        <v>#REF!</v>
      </c>
      <c r="J240" s="177" t="e">
        <f>-'Loan 3'!#REF!/'Loan 3'!H$11</f>
        <v>#REF!</v>
      </c>
      <c r="K240" s="177" t="e">
        <f>-'Loan 3'!#REF!/'Loan 3'!I$11</f>
        <v>#REF!</v>
      </c>
      <c r="L240" s="202"/>
      <c r="N240" s="198"/>
    </row>
    <row r="241" spans="1:17" ht="14.5" hidden="1" customHeight="1" outlineLevel="1">
      <c r="B241" s="400"/>
      <c r="C241" s="303"/>
      <c r="D241" s="176" t="s">
        <v>344</v>
      </c>
      <c r="E241" s="303"/>
      <c r="F241" s="177" t="e">
        <f>-SUM('Loan 3'!#REF!)/'Loan 3'!D$11</f>
        <v>#REF!</v>
      </c>
      <c r="G241" s="177" t="e">
        <f>-SUM('Loan 3'!#REF!)/'Loan 3'!E$11</f>
        <v>#REF!</v>
      </c>
      <c r="H241" s="177" t="e">
        <f>-SUM('Loan 3'!#REF!)/'Loan 3'!F$11</f>
        <v>#REF!</v>
      </c>
      <c r="I241" s="177" t="e">
        <f>-SUM('Loan 3'!#REF!)/'Loan 3'!G$11</f>
        <v>#REF!</v>
      </c>
      <c r="J241" s="177" t="e">
        <f>-SUM('Loan 3'!#REF!)/'Loan 3'!H$11</f>
        <v>#REF!</v>
      </c>
      <c r="K241" s="177" t="e">
        <f>-SUM('Loan 3'!#REF!)/'Loan 3'!I$11</f>
        <v>#REF!</v>
      </c>
      <c r="L241" s="202"/>
      <c r="N241" s="198"/>
    </row>
    <row r="242" spans="1:17" ht="14.5" hidden="1" customHeight="1" outlineLevel="1">
      <c r="B242" s="400"/>
      <c r="C242" s="303"/>
      <c r="D242" s="186" t="s">
        <v>342</v>
      </c>
      <c r="E242" s="186"/>
      <c r="F242" s="186" t="e">
        <f t="shared" ref="F242:K242" si="24">SUM(F233:F241)</f>
        <v>#REF!</v>
      </c>
      <c r="G242" s="186" t="e">
        <f t="shared" si="24"/>
        <v>#REF!</v>
      </c>
      <c r="H242" s="186" t="e">
        <f t="shared" si="24"/>
        <v>#REF!</v>
      </c>
      <c r="I242" s="186" t="e">
        <f t="shared" si="24"/>
        <v>#REF!</v>
      </c>
      <c r="J242" s="186" t="e">
        <f t="shared" si="24"/>
        <v>#REF!</v>
      </c>
      <c r="K242" s="186" t="e">
        <f t="shared" si="24"/>
        <v>#REF!</v>
      </c>
      <c r="L242" s="202"/>
      <c r="N242" s="198"/>
    </row>
    <row r="243" spans="1:17" ht="14.5" hidden="1" customHeight="1" outlineLevel="1">
      <c r="B243" s="400"/>
      <c r="C243" s="303"/>
      <c r="D243" s="180"/>
      <c r="E243" s="303"/>
      <c r="F243" s="292"/>
      <c r="G243" s="292"/>
      <c r="H243" s="292"/>
      <c r="I243" s="292"/>
      <c r="J243" s="303"/>
      <c r="K243" s="303"/>
      <c r="L243" s="199"/>
      <c r="N243" s="198"/>
    </row>
    <row r="244" spans="1:17" ht="14.5" hidden="1" customHeight="1" outlineLevel="1">
      <c r="B244" s="400"/>
      <c r="C244" s="303"/>
      <c r="D244" s="183" t="s">
        <v>345</v>
      </c>
      <c r="E244" s="305"/>
      <c r="F244" s="410"/>
      <c r="G244" s="410"/>
      <c r="H244" s="410"/>
      <c r="I244" s="410"/>
      <c r="J244" s="305"/>
      <c r="K244" s="305"/>
      <c r="L244" s="199"/>
      <c r="N244" s="198"/>
    </row>
    <row r="245" spans="1:17" ht="14.5" hidden="1" customHeight="1" outlineLevel="1">
      <c r="B245" s="400"/>
      <c r="C245" s="303"/>
      <c r="D245" s="176" t="s">
        <v>66</v>
      </c>
      <c r="E245" s="303"/>
      <c r="F245" s="177" t="e">
        <f>-'Loan 3'!#REF!/'Loan 3'!D$11</f>
        <v>#REF!</v>
      </c>
      <c r="G245" s="177" t="e">
        <f>-'Loan 3'!#REF!/'Loan 3'!E$11</f>
        <v>#REF!</v>
      </c>
      <c r="H245" s="177" t="e">
        <f>-'Loan 3'!#REF!/'Loan 3'!F$11</f>
        <v>#REF!</v>
      </c>
      <c r="I245" s="177" t="e">
        <f>-'Loan 3'!#REF!/'Loan 3'!G$11</f>
        <v>#REF!</v>
      </c>
      <c r="J245" s="177" t="e">
        <f>-'Loan 3'!#REF!/'Loan 3'!H$11</f>
        <v>#REF!</v>
      </c>
      <c r="K245" s="177" t="e">
        <f>-'Loan 3'!#REF!/'Loan 3'!I$11</f>
        <v>#REF!</v>
      </c>
      <c r="L245" s="202"/>
      <c r="N245" s="198"/>
    </row>
    <row r="246" spans="1:17" ht="14.5" hidden="1" customHeight="1" outlineLevel="1">
      <c r="B246" s="400"/>
      <c r="C246" s="303"/>
      <c r="D246" s="176" t="s">
        <v>67</v>
      </c>
      <c r="E246" s="303"/>
      <c r="F246" s="177" t="e">
        <f>-'Loan 3'!#REF!/'Loan 3'!D$11</f>
        <v>#REF!</v>
      </c>
      <c r="G246" s="177" t="e">
        <f>-'Loan 3'!#REF!/'Loan 3'!E$11</f>
        <v>#REF!</v>
      </c>
      <c r="H246" s="177" t="e">
        <f>-'Loan 3'!#REF!/'Loan 3'!F$11</f>
        <v>#REF!</v>
      </c>
      <c r="I246" s="177" t="e">
        <f>-'Loan 3'!#REF!/'Loan 3'!G$11</f>
        <v>#REF!</v>
      </c>
      <c r="J246" s="177" t="e">
        <f>-'Loan 3'!#REF!/'Loan 3'!H$11</f>
        <v>#REF!</v>
      </c>
      <c r="K246" s="177" t="e">
        <f>-'Loan 3'!#REF!/'Loan 3'!I$11</f>
        <v>#REF!</v>
      </c>
      <c r="L246" s="202"/>
      <c r="N246" s="198"/>
    </row>
    <row r="247" spans="1:17" ht="14.5" hidden="1" customHeight="1" outlineLevel="1">
      <c r="B247" s="400"/>
      <c r="C247" s="303"/>
      <c r="D247" s="176" t="s">
        <v>68</v>
      </c>
      <c r="E247" s="303"/>
      <c r="F247" s="177">
        <f>-'Loan 3'!D187/'Loan 3'!D$11</f>
        <v>0</v>
      </c>
      <c r="G247" s="177">
        <f>-'Loan 3'!E187/'Loan 3'!E$11</f>
        <v>0</v>
      </c>
      <c r="H247" s="177">
        <f>-'Loan 3'!F187/'Loan 3'!F$11</f>
        <v>0</v>
      </c>
      <c r="I247" s="177">
        <f>-'Loan 3'!G187/'Loan 3'!G$11</f>
        <v>0</v>
      </c>
      <c r="J247" s="177">
        <f>-'Loan 3'!H187/'Loan 3'!H$11</f>
        <v>0</v>
      </c>
      <c r="K247" s="177">
        <f>-'Loan 3'!I187/'Loan 3'!I$11</f>
        <v>0</v>
      </c>
      <c r="L247" s="202"/>
      <c r="N247" s="198"/>
    </row>
    <row r="248" spans="1:17" ht="14.5" hidden="1" customHeight="1" outlineLevel="1">
      <c r="B248" s="400"/>
      <c r="C248" s="303"/>
      <c r="D248" s="186" t="s">
        <v>346</v>
      </c>
      <c r="E248" s="186"/>
      <c r="F248" s="186" t="e">
        <f t="shared" ref="F248:K248" si="25">SUM(F245:F247)</f>
        <v>#REF!</v>
      </c>
      <c r="G248" s="186" t="e">
        <f t="shared" si="25"/>
        <v>#REF!</v>
      </c>
      <c r="H248" s="186" t="e">
        <f t="shared" si="25"/>
        <v>#REF!</v>
      </c>
      <c r="I248" s="186" t="e">
        <f t="shared" si="25"/>
        <v>#REF!</v>
      </c>
      <c r="J248" s="186" t="e">
        <f t="shared" si="25"/>
        <v>#REF!</v>
      </c>
      <c r="K248" s="186" t="e">
        <f t="shared" si="25"/>
        <v>#REF!</v>
      </c>
      <c r="L248" s="202"/>
      <c r="N248" s="198"/>
    </row>
    <row r="249" spans="1:17" ht="14.5" hidden="1" customHeight="1" outlineLevel="1">
      <c r="B249" s="400"/>
      <c r="C249" s="303"/>
      <c r="D249" s="180"/>
      <c r="E249" s="303"/>
      <c r="F249" s="292"/>
      <c r="G249" s="292"/>
      <c r="H249" s="292"/>
      <c r="I249" s="292"/>
      <c r="J249" s="303"/>
      <c r="K249" s="303"/>
      <c r="L249" s="199"/>
      <c r="N249" s="198"/>
    </row>
    <row r="250" spans="1:17" ht="14.5" hidden="1" customHeight="1" outlineLevel="1">
      <c r="B250" s="400"/>
      <c r="C250" s="303"/>
      <c r="D250" s="183" t="s">
        <v>70</v>
      </c>
      <c r="E250" s="305"/>
      <c r="F250" s="410"/>
      <c r="G250" s="410"/>
      <c r="H250" s="410"/>
      <c r="I250" s="410"/>
      <c r="J250" s="305"/>
      <c r="K250" s="305"/>
      <c r="L250" s="199"/>
      <c r="N250" s="198"/>
    </row>
    <row r="251" spans="1:17" ht="14.5" hidden="1" customHeight="1" outlineLevel="1">
      <c r="B251" s="400"/>
      <c r="C251" s="303"/>
      <c r="D251" s="176" t="s">
        <v>347</v>
      </c>
      <c r="E251" s="303"/>
      <c r="F251" s="177">
        <f>-'Loan 3'!D192/'Loan 3'!D$11</f>
        <v>0</v>
      </c>
      <c r="G251" s="177">
        <f>-'Loan 3'!E192/'Loan 3'!E$11</f>
        <v>0</v>
      </c>
      <c r="H251" s="177">
        <f>-'Loan 3'!F192/'Loan 3'!F$11</f>
        <v>0</v>
      </c>
      <c r="I251" s="177">
        <f>-'Loan 3'!G192/'Loan 3'!G$11</f>
        <v>0</v>
      </c>
      <c r="J251" s="177">
        <f>-'Loan 3'!H192/'Loan 3'!H$11</f>
        <v>0</v>
      </c>
      <c r="K251" s="177">
        <f>-'Loan 3'!I192/'Loan 3'!I$11</f>
        <v>0</v>
      </c>
      <c r="L251" s="202"/>
      <c r="N251" s="198"/>
    </row>
    <row r="252" spans="1:17" ht="14.5" hidden="1" customHeight="1" outlineLevel="1">
      <c r="B252" s="400"/>
      <c r="C252" s="303"/>
      <c r="D252" s="176" t="s">
        <v>348</v>
      </c>
      <c r="E252" s="303"/>
      <c r="F252" s="177">
        <f>-'Loan 3'!D193/'Loan 3'!D$11</f>
        <v>1.9633333333333336E-2</v>
      </c>
      <c r="G252" s="177">
        <f>-'Loan 3'!E193/'Loan 3'!E$11</f>
        <v>2.356E-3</v>
      </c>
      <c r="H252" s="177">
        <f>-'Loan 3'!F193/'Loan 3'!F$11</f>
        <v>-3.9823824339899294E-4</v>
      </c>
      <c r="I252" s="177">
        <f>-'Loan 3'!G193/'Loan 3'!G$11</f>
        <v>-2.1193017642008813E-4</v>
      </c>
      <c r="J252" s="177">
        <f>-'Loan 3'!H193/'Loan 3'!H$11</f>
        <v>-6.6535571288102259E-5</v>
      </c>
      <c r="K252" s="177">
        <f>-'Loan 3'!I193/'Loan 3'!I$11</f>
        <v>-3.5922455555555558E-5</v>
      </c>
      <c r="L252" s="202"/>
      <c r="N252" s="198"/>
    </row>
    <row r="253" spans="1:17" ht="14.5" hidden="1" customHeight="1" outlineLevel="1">
      <c r="B253" s="400"/>
      <c r="C253" s="303"/>
      <c r="D253" s="176" t="s">
        <v>349</v>
      </c>
      <c r="E253" s="303"/>
      <c r="F253" s="177">
        <f>-'Loan 3'!D194/'Loan 3'!D$11</f>
        <v>0</v>
      </c>
      <c r="G253" s="177">
        <f>-'Loan 3'!E194/'Loan 3'!E$11</f>
        <v>0</v>
      </c>
      <c r="H253" s="177">
        <f>-'Loan 3'!F194/'Loan 3'!F$11</f>
        <v>0</v>
      </c>
      <c r="I253" s="177">
        <f>-'Loan 3'!G194/'Loan 3'!G$11</f>
        <v>0</v>
      </c>
      <c r="J253" s="177">
        <f>-'Loan 3'!H194/'Loan 3'!H$11</f>
        <v>0</v>
      </c>
      <c r="K253" s="177">
        <f>-'Loan 3'!I194/'Loan 3'!I$11</f>
        <v>0</v>
      </c>
      <c r="L253" s="202"/>
      <c r="N253" s="198"/>
    </row>
    <row r="254" spans="1:17" ht="14.5" hidden="1" customHeight="1" outlineLevel="1">
      <c r="B254" s="400"/>
      <c r="C254" s="303"/>
      <c r="D254" s="176" t="s">
        <v>350</v>
      </c>
      <c r="E254" s="303"/>
      <c r="F254" s="177">
        <f>-'Loan 3'!D195/'Loan 3'!D$11</f>
        <v>0</v>
      </c>
      <c r="G254" s="177">
        <f>-'Loan 3'!E195/'Loan 3'!E$11</f>
        <v>0</v>
      </c>
      <c r="H254" s="177">
        <f>-'Loan 3'!F195/'Loan 3'!F$11</f>
        <v>2.0313463270216943E-3</v>
      </c>
      <c r="I254" s="177">
        <f>-'Loan 3'!G195/'Loan 3'!G$11</f>
        <v>1.0717920543238369E-3</v>
      </c>
      <c r="J254" s="177">
        <f>-'Loan 3'!H195/'Loan 3'!H$11</f>
        <v>3.3333333333333332E-4</v>
      </c>
      <c r="K254" s="177">
        <f>-'Loan 3'!I195/'Loan 3'!I$11</f>
        <v>1.6666666666666666E-4</v>
      </c>
      <c r="L254" s="202"/>
      <c r="N254" s="198"/>
    </row>
    <row r="255" spans="1:17" ht="14.5" hidden="1" customHeight="1" outlineLevel="1">
      <c r="B255" s="400"/>
      <c r="C255" s="303"/>
      <c r="D255" s="176" t="s">
        <v>351</v>
      </c>
      <c r="E255" s="303"/>
      <c r="F255" s="177">
        <f>-'Loan 3'!D196/'Loan 3'!D$11</f>
        <v>0</v>
      </c>
      <c r="G255" s="177">
        <f>-'Loan 3'!E196/'Loan 3'!E$11</f>
        <v>0</v>
      </c>
      <c r="H255" s="177">
        <f>-'Loan 3'!F196/'Loan 3'!F$11</f>
        <v>0</v>
      </c>
      <c r="I255" s="177">
        <f>-'Loan 3'!G196/'Loan 3'!G$11</f>
        <v>0</v>
      </c>
      <c r="J255" s="177">
        <f>-'Loan 3'!H196/'Loan 3'!H$11</f>
        <v>0</v>
      </c>
      <c r="K255" s="177">
        <f>-'Loan 3'!I196/'Loan 3'!I$11</f>
        <v>0</v>
      </c>
      <c r="L255" s="202"/>
      <c r="N255" s="198"/>
    </row>
    <row r="256" spans="1:17" ht="14.5" hidden="1" customHeight="1" outlineLevel="1">
      <c r="A256" s="260"/>
      <c r="B256" s="400"/>
      <c r="C256" s="303"/>
      <c r="D256" s="186" t="s">
        <v>352</v>
      </c>
      <c r="E256" s="186"/>
      <c r="F256" s="186">
        <f t="shared" ref="F256:K256" si="26">SUM(F251:F255)</f>
        <v>1.9633333333333336E-2</v>
      </c>
      <c r="G256" s="186">
        <f t="shared" si="26"/>
        <v>2.356E-3</v>
      </c>
      <c r="H256" s="186">
        <f t="shared" si="26"/>
        <v>1.6331080836227013E-3</v>
      </c>
      <c r="I256" s="186">
        <f t="shared" si="26"/>
        <v>8.5986187790374879E-4</v>
      </c>
      <c r="J256" s="186">
        <f t="shared" si="26"/>
        <v>2.6679776204523105E-4</v>
      </c>
      <c r="K256" s="186">
        <f t="shared" si="26"/>
        <v>1.3074421111111109E-4</v>
      </c>
      <c r="L256" s="202"/>
      <c r="N256" s="198"/>
      <c r="Q256" s="273"/>
    </row>
    <row r="257" spans="1:17" ht="14.5" hidden="1" customHeight="1" outlineLevel="1">
      <c r="A257" s="260"/>
      <c r="B257" s="400"/>
      <c r="C257" s="303"/>
      <c r="D257" s="180"/>
      <c r="E257" s="303"/>
      <c r="F257" s="292"/>
      <c r="G257" s="292"/>
      <c r="H257" s="292"/>
      <c r="I257" s="292"/>
      <c r="J257" s="303"/>
      <c r="K257" s="303"/>
      <c r="L257" s="199"/>
      <c r="N257" s="198"/>
      <c r="Q257" s="273"/>
    </row>
    <row r="258" spans="1:17" ht="14.5" hidden="1" customHeight="1" outlineLevel="1">
      <c r="A258" s="260"/>
      <c r="B258" s="400"/>
      <c r="C258" s="181" t="s">
        <v>353</v>
      </c>
      <c r="D258" s="182"/>
      <c r="E258" s="303"/>
      <c r="F258" s="292"/>
      <c r="G258" s="292"/>
      <c r="H258" s="292"/>
      <c r="I258" s="292"/>
      <c r="J258" s="303"/>
      <c r="K258" s="303"/>
      <c r="L258" s="199"/>
      <c r="N258" s="198"/>
      <c r="Q258" s="273"/>
    </row>
    <row r="259" spans="1:17" ht="14.5" hidden="1" customHeight="1" outlineLevel="1">
      <c r="A259" s="260"/>
      <c r="B259" s="400"/>
      <c r="C259" s="303"/>
      <c r="D259" s="190" t="s">
        <v>81</v>
      </c>
      <c r="E259" s="187"/>
      <c r="F259" s="187">
        <f>-'Loan 3'!D$205/'Loan 3'!D$11</f>
        <v>0.14800000000000002</v>
      </c>
      <c r="G259" s="187">
        <f>-'Loan 3'!E$205/'Loan 3'!E$11</f>
        <v>0.14800000000000002</v>
      </c>
      <c r="H259" s="187">
        <f>-'Loan 3'!F$205/'Loan 3'!F$11</f>
        <v>0.14800000000000002</v>
      </c>
      <c r="I259" s="187">
        <f>-'Loan 3'!G$205/'Loan 3'!G$11</f>
        <v>0.14800000000000002</v>
      </c>
      <c r="J259" s="187">
        <f>-'Loan 3'!H$205/'Loan 3'!H$11</f>
        <v>0.14800000000000002</v>
      </c>
      <c r="K259" s="187">
        <f>-'Loan 3'!I$205/'Loan 3'!I$11</f>
        <v>0.14800000000000002</v>
      </c>
      <c r="L259" s="202"/>
      <c r="N259" s="198"/>
      <c r="Q259" s="273"/>
    </row>
    <row r="260" spans="1:17" ht="14.5" hidden="1" customHeight="1" outlineLevel="1">
      <c r="A260" s="260"/>
      <c r="B260" s="400"/>
      <c r="C260" s="303"/>
      <c r="D260" s="187"/>
      <c r="E260" s="187"/>
      <c r="F260" s="187"/>
      <c r="G260" s="187"/>
      <c r="H260" s="187"/>
      <c r="I260" s="187"/>
      <c r="J260" s="187"/>
      <c r="K260" s="187"/>
      <c r="L260" s="202"/>
      <c r="N260" s="198"/>
      <c r="Q260" s="273"/>
    </row>
    <row r="261" spans="1:17" ht="15" hidden="1" customHeight="1" outlineLevel="1" thickBot="1">
      <c r="A261" s="260"/>
      <c r="B261" s="400"/>
      <c r="C261" s="303"/>
      <c r="D261" s="189" t="s">
        <v>342</v>
      </c>
      <c r="E261" s="189"/>
      <c r="F261" s="189" t="e">
        <f t="shared" ref="F261:K261" si="27">SUM(F230,F242,F248,F256,F259)</f>
        <v>#REF!</v>
      </c>
      <c r="G261" s="189" t="e">
        <f t="shared" si="27"/>
        <v>#REF!</v>
      </c>
      <c r="H261" s="189" t="e">
        <f t="shared" si="27"/>
        <v>#REF!</v>
      </c>
      <c r="I261" s="189" t="e">
        <f t="shared" si="27"/>
        <v>#REF!</v>
      </c>
      <c r="J261" s="189" t="e">
        <f t="shared" si="27"/>
        <v>#REF!</v>
      </c>
      <c r="K261" s="189" t="e">
        <f t="shared" si="27"/>
        <v>#REF!</v>
      </c>
      <c r="L261" s="202"/>
      <c r="N261" s="198"/>
      <c r="Q261" s="273"/>
    </row>
    <row r="262" spans="1:17" ht="14.5" hidden="1" customHeight="1" outlineLevel="1" thickTop="1">
      <c r="A262" s="260"/>
      <c r="B262" s="400"/>
      <c r="C262" s="303"/>
      <c r="D262" s="191"/>
      <c r="E262" s="214" t="s">
        <v>354</v>
      </c>
      <c r="F262" s="214" t="e">
        <f>ROUND(('Loan 3'!D167/'Loan 3'!D11)-Model_Summary!F261-Model_Summary!F208,0)</f>
        <v>#REF!</v>
      </c>
      <c r="G262" s="214" t="e">
        <f>ROUND(('Loan 3'!E167/'Loan 3'!E11)-Model_Summary!G261-Model_Summary!G208,0)</f>
        <v>#REF!</v>
      </c>
      <c r="H262" s="214" t="e">
        <f>ROUND(('Loan 3'!F167/'Loan 3'!F11)-Model_Summary!H261-Model_Summary!H208,0)</f>
        <v>#REF!</v>
      </c>
      <c r="I262" s="214" t="e">
        <f>ROUND(('Loan 3'!G167/'Loan 3'!G11)-Model_Summary!I261-Model_Summary!I208,0)</f>
        <v>#REF!</v>
      </c>
      <c r="J262" s="214" t="e">
        <f>ROUND(('Loan 3'!H167/'Loan 3'!H11)-Model_Summary!J261-Model_Summary!J208,0)</f>
        <v>#REF!</v>
      </c>
      <c r="K262" s="214" t="e">
        <f>ROUND(('Loan 3'!I167/'Loan 3'!I11)-Model_Summary!K261-Model_Summary!K208,0)</f>
        <v>#REF!</v>
      </c>
      <c r="L262" s="202"/>
      <c r="N262" s="198"/>
      <c r="Q262" s="273"/>
    </row>
    <row r="263" spans="1:17" ht="0.65" hidden="1" customHeight="1" collapsed="1" thickBot="1">
      <c r="A263" s="260"/>
      <c r="B263" s="400"/>
      <c r="C263" s="303"/>
      <c r="D263" s="191"/>
      <c r="E263" s="191"/>
      <c r="F263" s="191"/>
      <c r="G263" s="191"/>
      <c r="H263" s="191"/>
      <c r="I263" s="191"/>
      <c r="J263" s="191"/>
      <c r="K263" s="203"/>
      <c r="L263" s="204"/>
      <c r="N263" s="198"/>
      <c r="Q263" s="273"/>
    </row>
    <row r="264" spans="1:17" ht="17.5" hidden="1" customHeight="1">
      <c r="A264" s="260"/>
      <c r="B264" s="386"/>
      <c r="C264" s="386"/>
      <c r="D264" s="116"/>
      <c r="E264" s="116"/>
      <c r="F264" s="116"/>
      <c r="G264" s="116"/>
      <c r="H264" s="116"/>
      <c r="I264" s="116"/>
      <c r="J264" s="386"/>
      <c r="K264" s="386"/>
      <c r="L264" s="194"/>
      <c r="N264" s="198"/>
      <c r="Q264" s="273"/>
    </row>
    <row r="265" spans="1:17" ht="14.5" hidden="1" customHeight="1">
      <c r="A265" s="205" t="s">
        <v>365</v>
      </c>
      <c r="B265" s="205"/>
      <c r="C265" s="208"/>
      <c r="D265" s="209"/>
      <c r="E265" s="209"/>
      <c r="F265" s="209"/>
      <c r="G265" s="209"/>
      <c r="H265" s="209"/>
      <c r="I265" s="209"/>
      <c r="J265" s="208"/>
      <c r="K265" s="208"/>
      <c r="L265" s="207"/>
      <c r="Q265" s="273"/>
    </row>
    <row r="266" spans="1:17" ht="4" hidden="1" customHeight="1" thickBot="1">
      <c r="A266" s="260"/>
      <c r="B266" s="2"/>
      <c r="C266" s="303"/>
      <c r="D266" s="175"/>
      <c r="E266" s="175"/>
      <c r="F266" s="175"/>
      <c r="G266" s="175"/>
      <c r="H266" s="175"/>
      <c r="I266" s="175"/>
      <c r="J266" s="303"/>
      <c r="K266" s="303"/>
      <c r="Q266" s="273"/>
    </row>
    <row r="267" spans="1:17" ht="14.5" hidden="1" customHeight="1">
      <c r="A267" s="260"/>
      <c r="B267" s="399"/>
      <c r="C267" s="212" t="s">
        <v>366</v>
      </c>
      <c r="D267" s="212"/>
      <c r="E267" s="426"/>
      <c r="F267" s="426"/>
      <c r="G267" s="426"/>
      <c r="H267" s="386"/>
      <c r="I267" s="386"/>
      <c r="J267" s="427"/>
      <c r="K267" s="427"/>
      <c r="L267" s="425"/>
      <c r="Q267" s="459"/>
    </row>
    <row r="268" spans="1:17" ht="4" hidden="1" customHeight="1">
      <c r="A268" s="260"/>
      <c r="B268" s="400"/>
      <c r="C268" s="303"/>
      <c r="D268" s="184"/>
      <c r="E268" s="403"/>
      <c r="F268" s="403"/>
      <c r="G268" s="403"/>
      <c r="H268" s="303"/>
      <c r="I268" s="303"/>
      <c r="J268" s="335"/>
      <c r="K268" s="335"/>
      <c r="L268" s="408"/>
      <c r="Q268" s="459"/>
    </row>
    <row r="269" spans="1:17" ht="14.5" hidden="1" customHeight="1">
      <c r="A269" s="260"/>
      <c r="B269" s="400"/>
      <c r="C269" s="401"/>
      <c r="D269" s="192"/>
      <c r="E269" s="415"/>
      <c r="F269" s="415"/>
      <c r="G269" s="415"/>
      <c r="H269" s="382"/>
      <c r="I269" s="382"/>
      <c r="J269" s="428"/>
      <c r="K269" s="429"/>
      <c r="L269" s="408"/>
      <c r="Q269" s="459"/>
    </row>
    <row r="270" spans="1:17" ht="14.5" hidden="1" customHeight="1">
      <c r="A270" s="260"/>
      <c r="B270" s="400"/>
      <c r="C270" s="402"/>
      <c r="D270" s="28" t="s">
        <v>329</v>
      </c>
      <c r="E270" s="28"/>
      <c r="F270" s="28"/>
      <c r="G270" s="28"/>
      <c r="H270" s="32" t="str">
        <f>'MBL NTB By Band'!D2</f>
        <v>100k - 199k</v>
      </c>
      <c r="I270" s="32" t="str">
        <f>'MBL NTB By Band'!E2</f>
        <v>200k - 499k</v>
      </c>
      <c r="J270" s="32" t="str">
        <f>'MBL NTB By Band'!F2</f>
        <v>500k - 799k</v>
      </c>
      <c r="K270" s="160" t="str">
        <f>'MBL NTB By Band'!G2</f>
        <v>800k and above</v>
      </c>
      <c r="L270" s="408"/>
      <c r="Q270" s="459"/>
    </row>
    <row r="271" spans="1:17" ht="14.5" hidden="1" customHeight="1">
      <c r="A271" s="260"/>
      <c r="B271" s="400"/>
      <c r="C271" s="402"/>
      <c r="D271" s="184" t="s">
        <v>331</v>
      </c>
      <c r="E271" s="403"/>
      <c r="F271" s="403"/>
      <c r="G271" s="403"/>
      <c r="H271" s="291"/>
      <c r="I271" s="291"/>
      <c r="J271" s="291"/>
      <c r="K271" s="430"/>
      <c r="L271" s="408"/>
      <c r="Q271" s="459"/>
    </row>
    <row r="272" spans="1:17" ht="14.15" hidden="1" customHeight="1">
      <c r="B272" s="400"/>
      <c r="C272" s="402"/>
      <c r="D272" s="335" t="s">
        <v>332</v>
      </c>
      <c r="E272" s="303"/>
      <c r="F272" s="303"/>
      <c r="G272" s="303"/>
      <c r="H272" s="291">
        <f>'MBL NTB By Band'!D204</f>
        <v>-7941.5424599288162</v>
      </c>
      <c r="I272" s="291">
        <f>'MBL NTB By Band'!E204</f>
        <v>97715.012633667167</v>
      </c>
      <c r="J272" s="291">
        <f>'MBL NTB By Band'!F204</f>
        <v>288215.06024035142</v>
      </c>
      <c r="K272" s="405">
        <f>'MBL NTB By Band'!G204</f>
        <v>876742.38567997701</v>
      </c>
      <c r="L272" s="408"/>
      <c r="Q272" s="459"/>
    </row>
    <row r="273" spans="2:17" ht="14.15" hidden="1" customHeight="1">
      <c r="B273" s="400"/>
      <c r="C273" s="402"/>
      <c r="D273" s="335" t="s">
        <v>333</v>
      </c>
      <c r="E273" s="303"/>
      <c r="F273" s="303"/>
      <c r="G273" s="303"/>
      <c r="H273" s="291">
        <f>'MBL NTB By Band'!D208</f>
        <v>-22371.542459928816</v>
      </c>
      <c r="I273" s="291">
        <f>'MBL NTB By Band'!E208</f>
        <v>64415.012633667167</v>
      </c>
      <c r="J273" s="291">
        <f>'MBL NTB By Band'!F208</f>
        <v>224945.06024035142</v>
      </c>
      <c r="K273" s="405">
        <f>'MBL NTB By Band'!G208</f>
        <v>654742.38567997701</v>
      </c>
      <c r="L273" s="408"/>
      <c r="Q273" s="459"/>
    </row>
    <row r="274" spans="2:17" ht="14.15" hidden="1" customHeight="1">
      <c r="B274" s="400"/>
      <c r="C274" s="402"/>
      <c r="D274" s="335" t="s">
        <v>356</v>
      </c>
      <c r="E274" s="303"/>
      <c r="F274" s="303"/>
      <c r="G274" s="303"/>
      <c r="H274" s="416">
        <f>'MBL NTB By Band'!D210</f>
        <v>-6.1088788153298587E-2</v>
      </c>
      <c r="I274" s="416">
        <f>'MBL NTB By Band'!E210</f>
        <v>0.32571670877889058</v>
      </c>
      <c r="J274" s="416">
        <f>'MBL NTB By Band'!F210</f>
        <v>0.50564045656202006</v>
      </c>
      <c r="K274" s="417">
        <f>'MBL NTB By Band'!G210</f>
        <v>0.43837119283998849</v>
      </c>
      <c r="L274" s="408"/>
      <c r="M274" s="555"/>
      <c r="Q274" s="459"/>
    </row>
    <row r="275" spans="2:17" ht="14.15" hidden="1" customHeight="1">
      <c r="B275" s="400"/>
      <c r="C275" s="402"/>
      <c r="D275" s="335" t="s">
        <v>357</v>
      </c>
      <c r="E275" s="303"/>
      <c r="F275" s="303"/>
      <c r="G275" s="303"/>
      <c r="H275" s="416">
        <f>'MBL NTB By Band'!D211</f>
        <v>-0.17208878815329859</v>
      </c>
      <c r="I275" s="416">
        <f>'MBL NTB By Band'!E211</f>
        <v>0.21471670877889057</v>
      </c>
      <c r="J275" s="416">
        <f>'MBL NTB By Band'!F211</f>
        <v>0.39464045656202001</v>
      </c>
      <c r="K275" s="417">
        <f>'MBL NTB By Band'!G211</f>
        <v>0.3273711928399885</v>
      </c>
      <c r="L275" s="554"/>
      <c r="M275" s="555"/>
      <c r="Q275" s="459"/>
    </row>
    <row r="276" spans="2:17" ht="14.15" hidden="1" customHeight="1">
      <c r="B276" s="400"/>
      <c r="C276" s="402"/>
      <c r="D276" s="303"/>
      <c r="E276" s="303"/>
      <c r="F276" s="303"/>
      <c r="G276" s="303"/>
      <c r="H276" s="291"/>
      <c r="I276" s="291"/>
      <c r="J276" s="291"/>
      <c r="K276" s="430"/>
      <c r="L276" s="408"/>
      <c r="Q276" s="459"/>
    </row>
    <row r="277" spans="2:17" ht="14.15" hidden="1" customHeight="1">
      <c r="B277" s="400"/>
      <c r="C277" s="402"/>
      <c r="D277" s="61" t="s">
        <v>1</v>
      </c>
      <c r="E277" s="335"/>
      <c r="F277" s="335"/>
      <c r="G277" s="335"/>
      <c r="H277" s="291"/>
      <c r="I277" s="291"/>
      <c r="J277" s="291"/>
      <c r="K277" s="430"/>
      <c r="L277" s="408"/>
      <c r="Q277" s="459"/>
    </row>
    <row r="278" spans="2:17" ht="14.15" hidden="1" customHeight="1">
      <c r="B278" s="400"/>
      <c r="C278" s="402"/>
      <c r="D278" s="303" t="s">
        <v>14</v>
      </c>
      <c r="E278" s="303"/>
      <c r="F278" s="303"/>
      <c r="G278" s="303"/>
      <c r="H278" s="165">
        <v>130000</v>
      </c>
      <c r="I278" s="165">
        <v>300000</v>
      </c>
      <c r="J278" s="165">
        <v>570000</v>
      </c>
      <c r="K278" s="166">
        <v>2000000</v>
      </c>
      <c r="L278" s="408"/>
      <c r="Q278" s="459"/>
    </row>
    <row r="279" spans="2:17" ht="14.5" hidden="1" customHeight="1">
      <c r="B279" s="400"/>
      <c r="C279" s="402"/>
      <c r="D279" s="303" t="s">
        <v>13</v>
      </c>
      <c r="E279" s="303"/>
      <c r="F279" s="303"/>
      <c r="G279" s="303"/>
      <c r="H279" s="165">
        <v>1</v>
      </c>
      <c r="I279" s="165">
        <v>1</v>
      </c>
      <c r="J279" s="165">
        <v>1</v>
      </c>
      <c r="K279" s="166">
        <v>1</v>
      </c>
      <c r="L279" s="408"/>
      <c r="Q279" s="459"/>
    </row>
    <row r="280" spans="2:17" ht="14.5" hidden="1" customHeight="1">
      <c r="B280" s="400"/>
      <c r="C280" s="402"/>
      <c r="D280" s="469" t="s">
        <v>358</v>
      </c>
      <c r="E280" s="303"/>
      <c r="F280" s="303"/>
      <c r="G280" s="303"/>
      <c r="H280" s="241">
        <v>0.01</v>
      </c>
      <c r="I280" s="241">
        <v>0.01</v>
      </c>
      <c r="J280" s="241">
        <v>0.04</v>
      </c>
      <c r="K280" s="242">
        <v>0.06</v>
      </c>
      <c r="L280" s="408"/>
      <c r="Q280" s="459"/>
    </row>
    <row r="281" spans="2:17" ht="14.5" hidden="1" customHeight="1">
      <c r="B281" s="400"/>
      <c r="C281" s="402"/>
      <c r="D281" s="420" t="s">
        <v>359</v>
      </c>
      <c r="E281" s="420"/>
      <c r="F281" s="420"/>
      <c r="G281" s="420"/>
      <c r="H281" s="253">
        <v>2.9471864193649795E-2</v>
      </c>
      <c r="I281" s="253">
        <v>4.1494997057092406E-2</v>
      </c>
      <c r="J281" s="253">
        <v>0.12466124661246612</v>
      </c>
      <c r="K281" s="254">
        <v>0.18895166352793472</v>
      </c>
      <c r="L281" s="408"/>
      <c r="Q281" s="459"/>
    </row>
    <row r="282" spans="2:17" ht="14.15" hidden="1" customHeight="1">
      <c r="B282" s="400"/>
      <c r="C282" s="402"/>
      <c r="D282" s="467" t="s">
        <v>374</v>
      </c>
      <c r="E282" s="303"/>
      <c r="F282" s="303"/>
      <c r="G282" s="303"/>
      <c r="H282" s="406">
        <f>Assumption_Sheet!B351</f>
        <v>0.15340829730399994</v>
      </c>
      <c r="I282" s="406">
        <f>Assumption_Sheet!C351</f>
        <v>0.11925891596425461</v>
      </c>
      <c r="J282" s="406">
        <f>Assumption_Sheet!D351</f>
        <v>0.11384400795104616</v>
      </c>
      <c r="K282" s="407">
        <f>Assumption_Sheet!E351</f>
        <v>9.8510687294957003E-2</v>
      </c>
      <c r="L282" s="408"/>
      <c r="Q282" s="459"/>
    </row>
    <row r="283" spans="2:17" ht="14.15" hidden="1" customHeight="1">
      <c r="B283" s="400"/>
      <c r="C283" s="402"/>
      <c r="D283" s="467" t="s">
        <v>364</v>
      </c>
      <c r="E283" s="303"/>
      <c r="F283" s="303"/>
      <c r="G283" s="303"/>
      <c r="H283" s="558">
        <v>0.1</v>
      </c>
      <c r="I283" s="558">
        <v>7.6961160451769858E-2</v>
      </c>
      <c r="J283" s="558">
        <v>7.2999999999999995E-2</v>
      </c>
      <c r="K283" s="162">
        <v>6.2E-2</v>
      </c>
      <c r="L283" s="468"/>
      <c r="M283" s="555"/>
      <c r="N283" s="466"/>
      <c r="Q283" s="459"/>
    </row>
    <row r="284" spans="2:17" ht="14.15" hidden="1" customHeight="1">
      <c r="B284" s="400"/>
      <c r="C284" s="402"/>
      <c r="D284" s="420" t="s">
        <v>8</v>
      </c>
      <c r="E284" s="420"/>
      <c r="F284" s="420"/>
      <c r="G284" s="420"/>
      <c r="H284" s="267">
        <v>0.20799999999999999</v>
      </c>
      <c r="I284" s="267">
        <v>0.1673</v>
      </c>
      <c r="J284" s="267">
        <v>0.12859999999999999</v>
      </c>
      <c r="K284" s="268">
        <v>0.1104</v>
      </c>
      <c r="L284" s="408"/>
      <c r="Q284" s="459"/>
    </row>
    <row r="285" spans="2:17" ht="14.15" hidden="1" customHeight="1">
      <c r="B285" s="400"/>
      <c r="C285" s="402"/>
      <c r="D285" s="420" t="s">
        <v>9</v>
      </c>
      <c r="E285" s="420"/>
      <c r="F285" s="420"/>
      <c r="G285" s="420"/>
      <c r="H285" s="257">
        <v>0.14000000000000001</v>
      </c>
      <c r="I285" s="257">
        <v>0.11</v>
      </c>
      <c r="J285" s="257">
        <v>8.2500000000000004E-2</v>
      </c>
      <c r="K285" s="269">
        <v>7.0000000000000007E-2</v>
      </c>
      <c r="L285" s="408"/>
      <c r="Q285" s="459"/>
    </row>
    <row r="286" spans="2:17" ht="14.15" hidden="1" customHeight="1">
      <c r="B286" s="400"/>
      <c r="C286" s="402"/>
      <c r="D286" s="303" t="s">
        <v>10</v>
      </c>
      <c r="E286" s="303"/>
      <c r="F286" s="303"/>
      <c r="G286" s="303"/>
      <c r="H286" s="164">
        <v>6</v>
      </c>
      <c r="I286" s="164">
        <v>11</v>
      </c>
      <c r="J286" s="164">
        <v>11</v>
      </c>
      <c r="K286" s="164">
        <v>11</v>
      </c>
      <c r="L286" s="408"/>
      <c r="Q286" s="459"/>
    </row>
    <row r="287" spans="2:17" ht="14.15" hidden="1" customHeight="1">
      <c r="B287" s="400"/>
      <c r="C287" s="402"/>
      <c r="D287" s="303" t="s">
        <v>11</v>
      </c>
      <c r="E287" s="303"/>
      <c r="F287" s="303"/>
      <c r="G287" s="303"/>
      <c r="H287" s="406">
        <v>0.13500000000000001</v>
      </c>
      <c r="I287" s="406">
        <v>0.13500000000000001</v>
      </c>
      <c r="J287" s="406">
        <v>0.13500000000000001</v>
      </c>
      <c r="K287" s="406">
        <v>0.13500000000000001</v>
      </c>
      <c r="L287" s="408"/>
      <c r="Q287" s="459"/>
    </row>
    <row r="288" spans="2:17" ht="14.15" hidden="1" customHeight="1">
      <c r="B288" s="400"/>
      <c r="C288" s="402"/>
      <c r="D288" s="303" t="s">
        <v>12</v>
      </c>
      <c r="E288" s="303"/>
      <c r="F288" s="303"/>
      <c r="G288" s="303"/>
      <c r="H288" s="633">
        <f t="shared" ref="H288:J288" si="28">H289*$L288</f>
        <v>0.246</v>
      </c>
      <c r="I288" s="633">
        <f t="shared" si="28"/>
        <v>0.24099999999999999</v>
      </c>
      <c r="J288" s="244">
        <f t="shared" si="28"/>
        <v>0.15440000000000001</v>
      </c>
      <c r="K288" s="244">
        <f>K289*$L288</f>
        <v>0.127</v>
      </c>
      <c r="L288" s="431">
        <v>1</v>
      </c>
      <c r="Q288" s="459"/>
    </row>
    <row r="289" spans="2:17" ht="14.5" hidden="1" customHeight="1">
      <c r="B289" s="400"/>
      <c r="C289" s="409"/>
      <c r="D289" s="421" t="s">
        <v>363</v>
      </c>
      <c r="E289" s="421"/>
      <c r="F289" s="421"/>
      <c r="G289" s="421"/>
      <c r="H289" s="255">
        <v>0.246</v>
      </c>
      <c r="I289" s="255">
        <v>0.24099999999999999</v>
      </c>
      <c r="J289" s="255">
        <v>0.15440000000000001</v>
      </c>
      <c r="K289" s="256">
        <v>0.127</v>
      </c>
      <c r="L289" s="634"/>
      <c r="Q289" s="459"/>
    </row>
    <row r="290" spans="2:17" ht="14.5" hidden="1" customHeight="1" thickBot="1">
      <c r="B290" s="400"/>
      <c r="C290" s="303"/>
      <c r="D290" s="303"/>
      <c r="E290" s="303"/>
      <c r="F290" s="303"/>
      <c r="G290" s="303"/>
      <c r="H290" s="303"/>
      <c r="I290" s="303"/>
      <c r="J290" s="303"/>
      <c r="K290" s="303"/>
      <c r="L290" s="199"/>
      <c r="Q290" s="273"/>
    </row>
    <row r="291" spans="2:17" ht="15" hidden="1" customHeight="1" thickBot="1">
      <c r="B291" s="200" t="s">
        <v>339</v>
      </c>
      <c r="C291" s="179"/>
      <c r="D291" s="411"/>
      <c r="E291" s="411"/>
      <c r="F291" s="412"/>
      <c r="G291" s="412"/>
      <c r="H291" s="412"/>
      <c r="I291" s="412"/>
      <c r="J291" s="411"/>
      <c r="K291" s="411"/>
      <c r="L291" s="413"/>
      <c r="Q291" s="273"/>
    </row>
    <row r="292" spans="2:17" ht="5.15" hidden="1" customHeight="1" outlineLevel="1">
      <c r="B292" s="400"/>
      <c r="C292" s="303"/>
      <c r="D292" s="303"/>
      <c r="E292" s="303"/>
      <c r="F292" s="292"/>
      <c r="G292" s="292"/>
      <c r="H292" s="292"/>
      <c r="I292" s="292"/>
      <c r="J292" s="303"/>
      <c r="K292" s="303"/>
      <c r="L292" s="199"/>
      <c r="Q292" s="273"/>
    </row>
    <row r="293" spans="2:17" ht="14.5" hidden="1" customHeight="1" outlineLevel="1">
      <c r="B293" s="400"/>
      <c r="C293" s="181" t="s">
        <v>340</v>
      </c>
      <c r="D293" s="180"/>
      <c r="E293" s="303"/>
      <c r="F293" s="292"/>
      <c r="G293" s="292"/>
      <c r="H293" s="292"/>
      <c r="I293" s="292"/>
      <c r="J293" s="303"/>
      <c r="K293" s="303"/>
      <c r="L293" s="199"/>
      <c r="Q293" s="273"/>
    </row>
    <row r="294" spans="2:17" ht="4" hidden="1" customHeight="1" outlineLevel="1">
      <c r="B294" s="400"/>
      <c r="C294" s="303"/>
      <c r="D294" s="180"/>
      <c r="E294" s="303"/>
      <c r="F294" s="292"/>
      <c r="G294" s="292"/>
      <c r="H294" s="292"/>
      <c r="I294" s="292"/>
      <c r="J294" s="303"/>
      <c r="K294" s="303"/>
      <c r="L294" s="199"/>
      <c r="Q294" s="273"/>
    </row>
    <row r="295" spans="2:17" ht="14.5" hidden="1" customHeight="1" outlineLevel="1">
      <c r="B295" s="400"/>
      <c r="C295" s="303"/>
      <c r="D295" s="183" t="s">
        <v>47</v>
      </c>
      <c r="E295" s="305"/>
      <c r="F295" s="410"/>
      <c r="G295" s="410"/>
      <c r="H295" s="410"/>
      <c r="I295" s="410"/>
      <c r="J295" s="305"/>
      <c r="K295" s="305"/>
      <c r="L295" s="199"/>
      <c r="Q295" s="273"/>
    </row>
    <row r="296" spans="2:17" ht="14.5" hidden="1" customHeight="1" outlineLevel="1">
      <c r="B296" s="400"/>
      <c r="C296" s="303"/>
      <c r="D296" s="176" t="s">
        <v>37</v>
      </c>
      <c r="E296" s="303"/>
      <c r="F296" s="177"/>
      <c r="G296" s="177"/>
      <c r="H296" s="177">
        <f>-'MBL NTB By Band'!D$170/'MBL NTB By Band'!D$11</f>
        <v>4.400022761887469E-2</v>
      </c>
      <c r="I296" s="177">
        <f>-'MBL NTB By Band'!E$170/'MBL NTB By Band'!E$11</f>
        <v>7.9859384339541678E-2</v>
      </c>
      <c r="J296" s="177">
        <f>-'MBL NTB By Band'!F$170/'MBL NTB By Band'!F$11</f>
        <v>7.935200246889007E-2</v>
      </c>
      <c r="K296" s="177">
        <f>-'MBL NTB By Band'!G$170/'MBL NTB By Band'!G$11</f>
        <v>7.7884950462555266E-2</v>
      </c>
      <c r="L296" s="199"/>
      <c r="Q296" s="273"/>
    </row>
    <row r="297" spans="2:17" ht="14.5" hidden="1" customHeight="1" outlineLevel="1">
      <c r="B297" s="400"/>
      <c r="C297" s="303"/>
      <c r="D297" s="176" t="s">
        <v>341</v>
      </c>
      <c r="E297" s="303"/>
      <c r="F297" s="177"/>
      <c r="G297" s="177"/>
      <c r="H297" s="177">
        <f>-SUM('MBL NTB By Band'!D$173:D$175)/'MBL NTB By Band'!D$11</f>
        <v>1.2517173076923073E-2</v>
      </c>
      <c r="I297" s="177">
        <f>-SUM('MBL NTB By Band'!E$173:E$175)/'MBL NTB By Band'!E$11</f>
        <v>1.4425070619451587E-2</v>
      </c>
      <c r="J297" s="177">
        <f>-SUM('MBL NTB By Band'!F$173:F$175)/'MBL NTB By Band'!F$11</f>
        <v>1.5639961859648943E-2</v>
      </c>
      <c r="K297" s="177">
        <f>-SUM('MBL NTB By Band'!G$173:G$175)/'MBL NTB By Band'!G$11</f>
        <v>9.9842500000000001E-3</v>
      </c>
      <c r="L297" s="199"/>
      <c r="Q297" s="273"/>
    </row>
    <row r="298" spans="2:17" ht="14.5" hidden="1" customHeight="1" outlineLevel="1">
      <c r="B298" s="400"/>
      <c r="C298" s="303"/>
      <c r="D298" s="186" t="s">
        <v>342</v>
      </c>
      <c r="E298" s="186"/>
      <c r="F298" s="186"/>
      <c r="G298" s="186"/>
      <c r="H298" s="186">
        <f>SUM(H296:H297)</f>
        <v>5.6517400695797762E-2</v>
      </c>
      <c r="I298" s="186">
        <f>SUM(I296:I297)</f>
        <v>9.4284454958993263E-2</v>
      </c>
      <c r="J298" s="186">
        <f>SUM(J296:J297)</f>
        <v>9.4991964328539014E-2</v>
      </c>
      <c r="K298" s="186">
        <f>SUM(K296:K297)</f>
        <v>8.7869200462555266E-2</v>
      </c>
      <c r="L298" s="202"/>
      <c r="Q298" s="273"/>
    </row>
    <row r="299" spans="2:17" ht="4" hidden="1" customHeight="1" outlineLevel="1">
      <c r="B299" s="400"/>
      <c r="C299" s="303"/>
      <c r="D299" s="180"/>
      <c r="E299" s="303"/>
      <c r="F299" s="292"/>
      <c r="G299" s="292"/>
      <c r="H299" s="292"/>
      <c r="I299" s="292"/>
      <c r="J299" s="303"/>
      <c r="K299" s="303"/>
      <c r="L299" s="199"/>
      <c r="Q299" s="273"/>
    </row>
    <row r="300" spans="2:17" ht="14.5" hidden="1" customHeight="1" outlineLevel="1">
      <c r="B300" s="400"/>
      <c r="C300" s="303"/>
      <c r="D300" s="183" t="s">
        <v>343</v>
      </c>
      <c r="E300" s="305"/>
      <c r="F300" s="410"/>
      <c r="G300" s="410"/>
      <c r="H300" s="410"/>
      <c r="I300" s="410"/>
      <c r="J300" s="305"/>
      <c r="K300" s="305"/>
      <c r="L300" s="199"/>
      <c r="Q300" s="273"/>
    </row>
    <row r="301" spans="2:17" ht="14.5" hidden="1" customHeight="1" outlineLevel="1">
      <c r="B301" s="400"/>
      <c r="C301" s="303"/>
      <c r="D301" s="176" t="s">
        <v>52</v>
      </c>
      <c r="E301" s="303"/>
      <c r="F301" s="177"/>
      <c r="G301" s="177"/>
      <c r="H301" s="177" t="e">
        <f>-'MBL NTB By Band'!#REF!/'MBL NTB By Band'!D$11</f>
        <v>#REF!</v>
      </c>
      <c r="I301" s="177" t="e">
        <f>-'MBL NTB By Band'!#REF!/'MBL NTB By Band'!E$11</f>
        <v>#REF!</v>
      </c>
      <c r="J301" s="177" t="e">
        <f>-'MBL NTB By Band'!#REF!/'MBL NTB By Band'!F$11</f>
        <v>#REF!</v>
      </c>
      <c r="K301" s="177" t="e">
        <f>-'MBL NTB By Band'!#REF!/'MBL NTB By Band'!G$11</f>
        <v>#REF!</v>
      </c>
      <c r="L301" s="202"/>
      <c r="Q301" s="273"/>
    </row>
    <row r="302" spans="2:17" ht="14.5" hidden="1" customHeight="1" outlineLevel="1">
      <c r="B302" s="400"/>
      <c r="C302" s="303"/>
      <c r="D302" s="176" t="s">
        <v>53</v>
      </c>
      <c r="E302" s="303"/>
      <c r="F302" s="177"/>
      <c r="G302" s="177"/>
      <c r="H302" s="177" t="e">
        <f>-'MBL NTB By Band'!#REF!/'MBL NTB By Band'!D$11</f>
        <v>#REF!</v>
      </c>
      <c r="I302" s="177" t="e">
        <f>-'MBL NTB By Band'!#REF!/'MBL NTB By Band'!E$11</f>
        <v>#REF!</v>
      </c>
      <c r="J302" s="177" t="e">
        <f>-'MBL NTB By Band'!#REF!/'MBL NTB By Band'!F$11</f>
        <v>#REF!</v>
      </c>
      <c r="K302" s="177" t="e">
        <f>-'MBL NTB By Band'!#REF!/'MBL NTB By Band'!G$11</f>
        <v>#REF!</v>
      </c>
      <c r="L302" s="202"/>
      <c r="Q302" s="273"/>
    </row>
    <row r="303" spans="2:17" ht="14.5" hidden="1" customHeight="1" outlineLevel="1">
      <c r="B303" s="400"/>
      <c r="C303" s="303"/>
      <c r="D303" s="176" t="s">
        <v>54</v>
      </c>
      <c r="E303" s="303"/>
      <c r="F303" s="177"/>
      <c r="G303" s="177"/>
      <c r="H303" s="177" t="e">
        <f>-'MBL NTB By Band'!#REF!/'MBL NTB By Band'!D$11</f>
        <v>#REF!</v>
      </c>
      <c r="I303" s="177" t="e">
        <f>-'MBL NTB By Band'!#REF!/'MBL NTB By Band'!E$11</f>
        <v>#REF!</v>
      </c>
      <c r="J303" s="177" t="e">
        <f>-'MBL NTB By Band'!#REF!/'MBL NTB By Band'!F$11</f>
        <v>#REF!</v>
      </c>
      <c r="K303" s="177" t="e">
        <f>-'MBL NTB By Band'!#REF!/'MBL NTB By Band'!G$11</f>
        <v>#REF!</v>
      </c>
      <c r="L303" s="202"/>
      <c r="Q303" s="273"/>
    </row>
    <row r="304" spans="2:17" ht="14.5" hidden="1" customHeight="1" outlineLevel="1">
      <c r="B304" s="400"/>
      <c r="C304" s="303"/>
      <c r="D304" s="176" t="s">
        <v>55</v>
      </c>
      <c r="E304" s="303"/>
      <c r="F304" s="177"/>
      <c r="G304" s="177"/>
      <c r="H304" s="177" t="e">
        <f>-'MBL NTB By Band'!#REF!/'MBL NTB By Band'!D$11</f>
        <v>#REF!</v>
      </c>
      <c r="I304" s="177" t="e">
        <f>-'MBL NTB By Band'!#REF!/'MBL NTB By Band'!E$11</f>
        <v>#REF!</v>
      </c>
      <c r="J304" s="177" t="e">
        <f>-'MBL NTB By Band'!#REF!/'MBL NTB By Band'!F$11</f>
        <v>#REF!</v>
      </c>
      <c r="K304" s="177" t="e">
        <f>-'MBL NTB By Band'!#REF!/'MBL NTB By Band'!G$11</f>
        <v>#REF!</v>
      </c>
      <c r="L304" s="202"/>
    </row>
    <row r="305" spans="2:17" ht="14.5" hidden="1" customHeight="1" outlineLevel="1">
      <c r="B305" s="400"/>
      <c r="C305" s="303"/>
      <c r="D305" s="176" t="s">
        <v>56</v>
      </c>
      <c r="E305" s="303"/>
      <c r="F305" s="177"/>
      <c r="G305" s="177"/>
      <c r="H305" s="177">
        <f>-'MBL NTB By Band'!D180/'MBL NTB By Band'!D$11</f>
        <v>0</v>
      </c>
      <c r="I305" s="177">
        <f>-'MBL NTB By Band'!E180/'MBL NTB By Band'!E$11</f>
        <v>1.554E-2</v>
      </c>
      <c r="J305" s="177">
        <f>-'MBL NTB By Band'!F180/'MBL NTB By Band'!F$11</f>
        <v>1.5539999999999998E-2</v>
      </c>
      <c r="K305" s="185">
        <f>-'MBL NTB By Band'!G180/'MBL NTB By Band'!G$11</f>
        <v>1.554E-2</v>
      </c>
      <c r="L305" s="202"/>
    </row>
    <row r="306" spans="2:17" ht="14.5" hidden="1" customHeight="1" outlineLevel="1">
      <c r="B306" s="400"/>
      <c r="C306" s="303"/>
      <c r="D306" s="176" t="s">
        <v>57</v>
      </c>
      <c r="E306" s="303"/>
      <c r="F306" s="177"/>
      <c r="G306" s="177"/>
      <c r="H306" s="177">
        <f>-'MBL NTB By Band'!D181/'MBL NTB By Band'!D$11</f>
        <v>0</v>
      </c>
      <c r="I306" s="177">
        <f>-'MBL NTB By Band'!E181/'MBL NTB By Band'!E$11</f>
        <v>0</v>
      </c>
      <c r="J306" s="177">
        <f>-'MBL NTB By Band'!F181/'MBL NTB By Band'!F$11</f>
        <v>0</v>
      </c>
      <c r="K306" s="185">
        <f>-'MBL NTB By Band'!G181/'MBL NTB By Band'!G$11</f>
        <v>0</v>
      </c>
      <c r="L306" s="202"/>
    </row>
    <row r="307" spans="2:17" ht="14.5" hidden="1" customHeight="1" outlineLevel="1">
      <c r="B307" s="400"/>
      <c r="C307" s="303"/>
      <c r="D307" s="176" t="s">
        <v>58</v>
      </c>
      <c r="E307" s="303"/>
      <c r="F307" s="177"/>
      <c r="G307" s="177"/>
      <c r="H307" s="177">
        <f>-'MBL NTB By Band'!D182/'MBL NTB By Band'!D$11</f>
        <v>0</v>
      </c>
      <c r="I307" s="177">
        <f>-'MBL NTB By Band'!E182/'MBL NTB By Band'!E$11</f>
        <v>0</v>
      </c>
      <c r="J307" s="177">
        <f>-'MBL NTB By Band'!F182/'MBL NTB By Band'!F$11</f>
        <v>0</v>
      </c>
      <c r="K307" s="185">
        <f>-'MBL NTB By Band'!G182/'MBL NTB By Band'!G$11</f>
        <v>0</v>
      </c>
      <c r="L307" s="202"/>
    </row>
    <row r="308" spans="2:17" ht="14.5" hidden="1" customHeight="1" outlineLevel="1">
      <c r="B308" s="400"/>
      <c r="C308" s="303"/>
      <c r="D308" s="176" t="s">
        <v>59</v>
      </c>
      <c r="E308" s="303"/>
      <c r="F308" s="177"/>
      <c r="G308" s="177"/>
      <c r="H308" s="177" t="e">
        <f>-'MBL NTB By Band'!#REF!/'MBL NTB By Band'!D$11</f>
        <v>#REF!</v>
      </c>
      <c r="I308" s="177" t="e">
        <f>-'MBL NTB By Band'!#REF!/'MBL NTB By Band'!E$11</f>
        <v>#REF!</v>
      </c>
      <c r="J308" s="177" t="e">
        <f>-'MBL NTB By Band'!#REF!/'MBL NTB By Band'!F$11</f>
        <v>#REF!</v>
      </c>
      <c r="K308" s="177" t="e">
        <f>-'MBL NTB By Band'!#REF!/'MBL NTB By Band'!G$11</f>
        <v>#REF!</v>
      </c>
      <c r="L308" s="202"/>
    </row>
    <row r="309" spans="2:17" ht="14.5" hidden="1" customHeight="1" outlineLevel="1">
      <c r="B309" s="400"/>
      <c r="C309" s="303"/>
      <c r="D309" s="176" t="s">
        <v>344</v>
      </c>
      <c r="E309" s="303"/>
      <c r="F309" s="177"/>
      <c r="G309" s="177"/>
      <c r="H309" s="177" t="e">
        <f>-SUM('MBL NTB By Band'!#REF!)/'MBL NTB By Band'!D$11</f>
        <v>#REF!</v>
      </c>
      <c r="I309" s="177" t="e">
        <f>-SUM('MBL NTB By Band'!#REF!)/'MBL NTB By Band'!E$11</f>
        <v>#REF!</v>
      </c>
      <c r="J309" s="177" t="e">
        <f>-SUM('MBL NTB By Band'!#REF!)/'MBL NTB By Band'!F$11</f>
        <v>#REF!</v>
      </c>
      <c r="K309" s="177" t="e">
        <f>-SUM('MBL NTB By Band'!#REF!)/'MBL NTB By Band'!G$11</f>
        <v>#REF!</v>
      </c>
      <c r="L309" s="202"/>
    </row>
    <row r="310" spans="2:17" ht="14.5" hidden="1" customHeight="1" outlineLevel="1">
      <c r="B310" s="400"/>
      <c r="C310" s="303"/>
      <c r="D310" s="186" t="s">
        <v>342</v>
      </c>
      <c r="E310" s="186"/>
      <c r="F310" s="186"/>
      <c r="G310" s="186"/>
      <c r="H310" s="186" t="e">
        <f>SUM(H301:H309)</f>
        <v>#REF!</v>
      </c>
      <c r="I310" s="186" t="e">
        <f>SUM(I301:I309)</f>
        <v>#REF!</v>
      </c>
      <c r="J310" s="186" t="e">
        <f>SUM(J301:J309)</f>
        <v>#REF!</v>
      </c>
      <c r="K310" s="186" t="e">
        <f>SUM(K301:K309)</f>
        <v>#REF!</v>
      </c>
      <c r="L310" s="202"/>
    </row>
    <row r="311" spans="2:17" ht="4" hidden="1" customHeight="1" outlineLevel="1">
      <c r="B311" s="400"/>
      <c r="C311" s="303"/>
      <c r="D311" s="180"/>
      <c r="E311" s="303"/>
      <c r="F311" s="292"/>
      <c r="G311" s="292"/>
      <c r="H311" s="292"/>
      <c r="I311" s="292"/>
      <c r="J311" s="303"/>
      <c r="K311" s="303"/>
      <c r="L311" s="199"/>
    </row>
    <row r="312" spans="2:17" ht="14.5" hidden="1" customHeight="1" outlineLevel="1">
      <c r="B312" s="400"/>
      <c r="C312" s="303"/>
      <c r="D312" s="183" t="s">
        <v>345</v>
      </c>
      <c r="E312" s="305"/>
      <c r="F312" s="410"/>
      <c r="G312" s="410"/>
      <c r="H312" s="410"/>
      <c r="I312" s="410"/>
      <c r="J312" s="305"/>
      <c r="K312" s="305"/>
      <c r="L312" s="199"/>
    </row>
    <row r="313" spans="2:17" ht="14.5" hidden="1" customHeight="1" outlineLevel="1">
      <c r="B313" s="400"/>
      <c r="C313" s="303"/>
      <c r="D313" s="176" t="s">
        <v>66</v>
      </c>
      <c r="E313" s="303"/>
      <c r="F313" s="177"/>
      <c r="G313" s="177"/>
      <c r="H313" s="177" t="e">
        <f>-'MBL NTB By Band'!#REF!/'MBL NTB By Band'!D$11</f>
        <v>#REF!</v>
      </c>
      <c r="I313" s="177" t="e">
        <f>-'MBL NTB By Band'!#REF!/'MBL NTB By Band'!E$11</f>
        <v>#REF!</v>
      </c>
      <c r="J313" s="177" t="e">
        <f>-'MBL NTB By Band'!#REF!/'MBL NTB By Band'!F$11</f>
        <v>#REF!</v>
      </c>
      <c r="K313" s="177" t="e">
        <f>-'MBL NTB By Band'!#REF!/'MBL NTB By Band'!G$11</f>
        <v>#REF!</v>
      </c>
      <c r="L313" s="202"/>
    </row>
    <row r="314" spans="2:17" ht="14.5" hidden="1" customHeight="1" outlineLevel="1">
      <c r="B314" s="400"/>
      <c r="C314" s="303"/>
      <c r="D314" s="176" t="s">
        <v>67</v>
      </c>
      <c r="E314" s="303"/>
      <c r="F314" s="177"/>
      <c r="G314" s="177"/>
      <c r="H314" s="177" t="e">
        <f>-'MBL NTB By Band'!#REF!/'MBL NTB By Band'!D$11</f>
        <v>#REF!</v>
      </c>
      <c r="I314" s="177" t="e">
        <f>-'MBL NTB By Band'!#REF!/'MBL NTB By Band'!E$11</f>
        <v>#REF!</v>
      </c>
      <c r="J314" s="177" t="e">
        <f>-'MBL NTB By Band'!#REF!/'MBL NTB By Band'!F$11</f>
        <v>#REF!</v>
      </c>
      <c r="K314" s="177" t="e">
        <f>-'MBL NTB By Band'!#REF!/'MBL NTB By Band'!G$11</f>
        <v>#REF!</v>
      </c>
      <c r="L314" s="202"/>
    </row>
    <row r="315" spans="2:17" ht="14.5" hidden="1" customHeight="1" outlineLevel="1">
      <c r="B315" s="400"/>
      <c r="C315" s="303"/>
      <c r="D315" s="176" t="s">
        <v>68</v>
      </c>
      <c r="E315" s="303"/>
      <c r="F315" s="177"/>
      <c r="G315" s="177"/>
      <c r="H315" s="177">
        <f>-'MBL NTB By Band'!D188/'MBL NTB By Band'!D$11</f>
        <v>5.8961538461538454E-2</v>
      </c>
      <c r="I315" s="177">
        <f>-'MBL NTB By Band'!E188/'MBL NTB By Band'!E$11</f>
        <v>2.5549999999999996E-2</v>
      </c>
      <c r="J315" s="177">
        <f>-'MBL NTB By Band'!F188/'MBL NTB By Band'!F$11</f>
        <v>3.3618421052631574E-3</v>
      </c>
      <c r="K315" s="177">
        <f>-'MBL NTB By Band'!G188/'MBL NTB By Band'!G$11</f>
        <v>6.3874999999999999E-4</v>
      </c>
      <c r="L315" s="202"/>
    </row>
    <row r="316" spans="2:17" ht="14.5" hidden="1" customHeight="1" outlineLevel="1">
      <c r="B316" s="400"/>
      <c r="C316" s="303"/>
      <c r="D316" s="186" t="s">
        <v>346</v>
      </c>
      <c r="E316" s="186"/>
      <c r="F316" s="186"/>
      <c r="G316" s="186"/>
      <c r="H316" s="186" t="e">
        <f>SUM(H313:H315)</f>
        <v>#REF!</v>
      </c>
      <c r="I316" s="186" t="e">
        <f>SUM(I313:I315)</f>
        <v>#REF!</v>
      </c>
      <c r="J316" s="186" t="e">
        <f>SUM(J313:J315)</f>
        <v>#REF!</v>
      </c>
      <c r="K316" s="186" t="e">
        <f>SUM(K313:K315)</f>
        <v>#REF!</v>
      </c>
      <c r="L316" s="202"/>
    </row>
    <row r="317" spans="2:17" ht="4" hidden="1" customHeight="1" outlineLevel="1">
      <c r="B317" s="400"/>
      <c r="C317" s="303"/>
      <c r="D317" s="180"/>
      <c r="E317" s="303"/>
      <c r="F317" s="292"/>
      <c r="G317" s="292"/>
      <c r="H317" s="292"/>
      <c r="I317" s="292"/>
      <c r="J317" s="303"/>
      <c r="K317" s="303"/>
      <c r="L317" s="199"/>
    </row>
    <row r="318" spans="2:17" ht="14.5" hidden="1" customHeight="1" outlineLevel="1">
      <c r="B318" s="400"/>
      <c r="C318" s="303"/>
      <c r="D318" s="183" t="s">
        <v>70</v>
      </c>
      <c r="E318" s="305"/>
      <c r="F318" s="410"/>
      <c r="G318" s="410"/>
      <c r="H318" s="410"/>
      <c r="I318" s="410"/>
      <c r="J318" s="305"/>
      <c r="K318" s="305"/>
      <c r="L318" s="199"/>
    </row>
    <row r="319" spans="2:17" ht="14.5" hidden="1" customHeight="1" outlineLevel="1">
      <c r="B319" s="400"/>
      <c r="C319" s="303"/>
      <c r="D319" s="176" t="s">
        <v>347</v>
      </c>
      <c r="E319" s="303"/>
      <c r="F319" s="177"/>
      <c r="G319" s="177"/>
      <c r="H319" s="177">
        <f>-'MBL NTB By Band'!D193/'MBL NTB By Band'!D$11</f>
        <v>2.8076923076923075E-3</v>
      </c>
      <c r="I319" s="177">
        <f>-'MBL NTB By Band'!E193/'MBL NTB By Band'!E$11</f>
        <v>1.2166666666666667E-3</v>
      </c>
      <c r="J319" s="177">
        <f>-'MBL NTB By Band'!F193/'MBL NTB By Band'!F$11</f>
        <v>6.4035087719298246E-4</v>
      </c>
      <c r="K319" s="177">
        <f>-'MBL NTB By Band'!G193/'MBL NTB By Band'!G$11</f>
        <v>1.8249999999999999E-4</v>
      </c>
      <c r="L319" s="202"/>
    </row>
    <row r="320" spans="2:17" ht="14.5" hidden="1" customHeight="1" outlineLevel="1">
      <c r="B320" s="400"/>
      <c r="C320" s="303"/>
      <c r="D320" s="176" t="s">
        <v>348</v>
      </c>
      <c r="E320" s="303"/>
      <c r="F320" s="177"/>
      <c r="G320" s="177"/>
      <c r="H320" s="177">
        <f>-'MBL NTB By Band'!D194/'MBL NTB By Band'!D$11</f>
        <v>4.5307692307692313E-2</v>
      </c>
      <c r="I320" s="177">
        <f>-'MBL NTB By Band'!E194/'MBL NTB By Band'!E$11</f>
        <v>2.5130666666666673E-2</v>
      </c>
      <c r="J320" s="177">
        <f>-'MBL NTB By Band'!F194/'MBL NTB By Band'!F$11</f>
        <v>3.6166666666666665E-3</v>
      </c>
      <c r="K320" s="177">
        <f>-'MBL NTB By Band'!G194/'MBL NTB By Band'!G$11</f>
        <v>6.8716666666666676E-4</v>
      </c>
      <c r="L320" s="202"/>
      <c r="Q320" s="273"/>
    </row>
    <row r="321" spans="2:17" ht="14.5" hidden="1" customHeight="1" outlineLevel="1">
      <c r="B321" s="400"/>
      <c r="C321" s="303"/>
      <c r="D321" s="176" t="s">
        <v>349</v>
      </c>
      <c r="E321" s="303"/>
      <c r="F321" s="177"/>
      <c r="G321" s="177"/>
      <c r="H321" s="177">
        <f>-'MBL NTB By Band'!D195/'MBL NTB By Band'!D$11</f>
        <v>1.1538461538461539E-2</v>
      </c>
      <c r="I321" s="177">
        <f>-'MBL NTB By Band'!E195/'MBL NTB By Band'!E$11</f>
        <v>5.0000000000000001E-3</v>
      </c>
      <c r="J321" s="177">
        <f>-'MBL NTB By Band'!F195/'MBL NTB By Band'!F$11</f>
        <v>6.5789473684210525E-4</v>
      </c>
      <c r="K321" s="177">
        <f>-'MBL NTB By Band'!G195/'MBL NTB By Band'!G$11</f>
        <v>1.25E-4</v>
      </c>
      <c r="L321" s="202"/>
      <c r="Q321" s="273"/>
    </row>
    <row r="322" spans="2:17" ht="14.5" hidden="1" customHeight="1" outlineLevel="1">
      <c r="B322" s="400"/>
      <c r="C322" s="303"/>
      <c r="D322" s="176" t="s">
        <v>350</v>
      </c>
      <c r="E322" s="303"/>
      <c r="F322" s="177"/>
      <c r="G322" s="177"/>
      <c r="H322" s="177">
        <f>-'MBL NTB By Band'!D196/'MBL NTB By Band'!D$11</f>
        <v>7.6923076923076927E-3</v>
      </c>
      <c r="I322" s="177">
        <f>-'MBL NTB By Band'!E196/'MBL NTB By Band'!E$11</f>
        <v>3.3333333333333335E-3</v>
      </c>
      <c r="J322" s="177">
        <f>-'MBL NTB By Band'!F196/'MBL NTB By Band'!F$11</f>
        <v>1.7543859649122807E-3</v>
      </c>
      <c r="K322" s="177">
        <f>-'MBL NTB By Band'!G196/'MBL NTB By Band'!G$11</f>
        <v>5.0000000000000001E-4</v>
      </c>
      <c r="L322" s="202"/>
      <c r="Q322" s="273"/>
    </row>
    <row r="323" spans="2:17" ht="14.5" hidden="1" customHeight="1" outlineLevel="1">
      <c r="B323" s="400"/>
      <c r="C323" s="303"/>
      <c r="D323" s="176" t="s">
        <v>351</v>
      </c>
      <c r="E323" s="303"/>
      <c r="F323" s="177"/>
      <c r="G323" s="177"/>
      <c r="H323" s="177">
        <f>-'MBL NTB By Band'!D197/'MBL NTB By Band'!D$11</f>
        <v>0.22995600284211579</v>
      </c>
      <c r="I323" s="177">
        <f>-'MBL NTB By Band'!E197/'MBL NTB By Band'!E$11</f>
        <v>9.9647601231583505E-2</v>
      </c>
      <c r="J323" s="177">
        <f>-'MBL NTB By Band'!F197/'MBL NTB By Band'!F$11</f>
        <v>1.3111526477839934E-2</v>
      </c>
      <c r="K323" s="177">
        <f>-'MBL NTB By Band'!G197/'MBL NTB By Band'!G$11</f>
        <v>2.4911900307895882E-3</v>
      </c>
      <c r="L323" s="202"/>
      <c r="Q323" s="273"/>
    </row>
    <row r="324" spans="2:17" ht="14.5" hidden="1" customHeight="1" outlineLevel="1">
      <c r="B324" s="400"/>
      <c r="C324" s="303"/>
      <c r="D324" s="186" t="s">
        <v>352</v>
      </c>
      <c r="E324" s="186"/>
      <c r="F324" s="186"/>
      <c r="G324" s="186"/>
      <c r="H324" s="186">
        <f>SUM(H319:H323)</f>
        <v>0.29730215668826965</v>
      </c>
      <c r="I324" s="186">
        <f>SUM(I319:I323)</f>
        <v>0.13432826789825017</v>
      </c>
      <c r="J324" s="186">
        <f>SUM(J319:J323)</f>
        <v>1.9780824723453969E-2</v>
      </c>
      <c r="K324" s="186">
        <f>SUM(K319:K323)</f>
        <v>3.9858566974562554E-3</v>
      </c>
      <c r="L324" s="202"/>
      <c r="Q324" s="273"/>
    </row>
    <row r="325" spans="2:17" ht="4" hidden="1" customHeight="1" outlineLevel="1">
      <c r="B325" s="400"/>
      <c r="C325" s="303"/>
      <c r="D325" s="180"/>
      <c r="E325" s="303"/>
      <c r="F325" s="292"/>
      <c r="G325" s="292"/>
      <c r="H325" s="292"/>
      <c r="I325" s="292"/>
      <c r="J325" s="303"/>
      <c r="K325" s="303"/>
      <c r="L325" s="199"/>
      <c r="Q325" s="273"/>
    </row>
    <row r="326" spans="2:17" ht="14.5" hidden="1" customHeight="1" outlineLevel="1">
      <c r="B326" s="400"/>
      <c r="C326" s="181" t="s">
        <v>353</v>
      </c>
      <c r="D326" s="182"/>
      <c r="E326" s="303"/>
      <c r="F326" s="292"/>
      <c r="G326" s="292"/>
      <c r="H326" s="292"/>
      <c r="I326" s="292"/>
      <c r="J326" s="303"/>
      <c r="K326" s="303"/>
      <c r="L326" s="199"/>
      <c r="Q326" s="273"/>
    </row>
    <row r="327" spans="2:17" ht="14.5" hidden="1" customHeight="1" outlineLevel="1">
      <c r="B327" s="400"/>
      <c r="C327" s="303"/>
      <c r="D327" s="190" t="s">
        <v>81</v>
      </c>
      <c r="E327" s="187"/>
      <c r="F327" s="187"/>
      <c r="G327" s="187"/>
      <c r="H327" s="187">
        <f>-'MBL NTB By Band'!D$206/'MBL NTB By Band'!D$11</f>
        <v>0.111</v>
      </c>
      <c r="I327" s="187">
        <f>-'MBL NTB By Band'!E$206/'MBL NTB By Band'!E$11</f>
        <v>0.111</v>
      </c>
      <c r="J327" s="187">
        <f>-'MBL NTB By Band'!F$206/'MBL NTB By Band'!F$11</f>
        <v>0.111</v>
      </c>
      <c r="K327" s="187">
        <f>-'MBL NTB By Band'!G$206/'MBL NTB By Band'!G$11</f>
        <v>0.111</v>
      </c>
      <c r="L327" s="202"/>
      <c r="Q327" s="273"/>
    </row>
    <row r="328" spans="2:17" ht="14.5" hidden="1" customHeight="1" outlineLevel="1">
      <c r="B328" s="400"/>
      <c r="C328" s="303"/>
      <c r="D328" s="187"/>
      <c r="E328" s="187"/>
      <c r="F328" s="187"/>
      <c r="G328" s="187"/>
      <c r="H328" s="187"/>
      <c r="I328" s="187"/>
      <c r="J328" s="187"/>
      <c r="K328" s="187"/>
      <c r="L328" s="202"/>
      <c r="Q328" s="273"/>
    </row>
    <row r="329" spans="2:17" ht="15" hidden="1" customHeight="1" outlineLevel="1" thickBot="1">
      <c r="B329" s="400"/>
      <c r="C329" s="303"/>
      <c r="D329" s="189" t="s">
        <v>342</v>
      </c>
      <c r="E329" s="189"/>
      <c r="F329" s="189"/>
      <c r="G329" s="189"/>
      <c r="H329" s="189" t="e">
        <f>SUM(H298,H310,H316,H324,H327)</f>
        <v>#REF!</v>
      </c>
      <c r="I329" s="189" t="e">
        <f>SUM(I298,I310,I316,I324,I327)</f>
        <v>#REF!</v>
      </c>
      <c r="J329" s="189" t="e">
        <f>SUM(J298,J310,J316,J324,J327)</f>
        <v>#REF!</v>
      </c>
      <c r="K329" s="189" t="e">
        <f>SUM(K298,K310,K316,K324,K327)</f>
        <v>#REF!</v>
      </c>
      <c r="L329" s="202"/>
      <c r="Q329" s="273"/>
    </row>
    <row r="330" spans="2:17" ht="14.5" hidden="1" customHeight="1" outlineLevel="1" thickTop="1">
      <c r="B330" s="400"/>
      <c r="C330" s="303"/>
      <c r="D330" s="191"/>
      <c r="E330" s="191"/>
      <c r="F330" s="191"/>
      <c r="G330" s="214" t="s">
        <v>354</v>
      </c>
      <c r="H330" s="216" t="e">
        <f>ROUND(('MBL NTB By Band'!D167/'MBL NTB By Band'!D11)-Model_Summary!H329-Model_Summary!H275,0)</f>
        <v>#REF!</v>
      </c>
      <c r="I330" s="216" t="e">
        <f>ROUND(('MBL NTB By Band'!E167/'MBL NTB By Band'!E11)-Model_Summary!I329-Model_Summary!I275,0)</f>
        <v>#REF!</v>
      </c>
      <c r="J330" s="216" t="e">
        <f>ROUND(('MBL NTB By Band'!F167/'MBL NTB By Band'!F11)-Model_Summary!J329-Model_Summary!J275,0)</f>
        <v>#REF!</v>
      </c>
      <c r="K330" s="216" t="e">
        <f>ROUND(('MBL NTB By Band'!G167/'MBL NTB By Band'!G11)-Model_Summary!K329-Model_Summary!K275,0)</f>
        <v>#REF!</v>
      </c>
      <c r="L330" s="202"/>
      <c r="Q330" s="273"/>
    </row>
    <row r="331" spans="2:17" ht="14.15" hidden="1" customHeight="1" collapsed="1" thickBot="1">
      <c r="B331" s="414"/>
      <c r="C331" s="334"/>
      <c r="D331" s="203"/>
      <c r="E331" s="203"/>
      <c r="F331" s="203"/>
      <c r="G331" s="203"/>
      <c r="H331" s="203"/>
      <c r="I331" s="203"/>
      <c r="J331" s="203"/>
      <c r="K331" s="203"/>
      <c r="L331" s="204"/>
      <c r="Q331" s="273"/>
    </row>
    <row r="332" spans="2:17" ht="14.5" hidden="1" customHeight="1" thickBot="1">
      <c r="B332" s="260"/>
      <c r="C332" s="303"/>
      <c r="D332" s="303"/>
      <c r="E332" s="303"/>
      <c r="F332" s="303"/>
      <c r="G332" s="303"/>
      <c r="H332" s="303"/>
      <c r="I332" s="303"/>
      <c r="J332" s="303"/>
      <c r="K332" s="303"/>
      <c r="L332" s="303"/>
      <c r="Q332" s="459"/>
    </row>
    <row r="333" spans="2:17" ht="4" hidden="1" customHeight="1" thickBot="1">
      <c r="B333" s="399"/>
      <c r="C333" s="386"/>
      <c r="D333" s="386"/>
      <c r="E333" s="386"/>
      <c r="F333" s="386"/>
      <c r="G333" s="386"/>
      <c r="H333" s="386"/>
      <c r="I333" s="386"/>
      <c r="J333" s="386"/>
      <c r="K333" s="386"/>
      <c r="L333" s="425"/>
      <c r="Q333" s="459"/>
    </row>
    <row r="334" spans="2:17" ht="14.5" hidden="1" customHeight="1">
      <c r="B334" s="400"/>
      <c r="C334" s="184" t="s">
        <v>464</v>
      </c>
      <c r="D334" s="303"/>
      <c r="E334" s="747"/>
      <c r="F334" s="747"/>
      <c r="G334" s="747"/>
      <c r="H334" s="747"/>
      <c r="I334" s="747"/>
      <c r="J334" s="747"/>
      <c r="K334" s="747"/>
      <c r="L334" s="408"/>
      <c r="Q334" s="459"/>
    </row>
    <row r="335" spans="2:17" ht="4" hidden="1" customHeight="1">
      <c r="B335" s="400"/>
      <c r="C335" s="184"/>
      <c r="D335" s="303"/>
      <c r="E335" s="748"/>
      <c r="F335" s="748"/>
      <c r="G335" s="748"/>
      <c r="H335" s="748"/>
      <c r="I335" s="748"/>
      <c r="J335" s="748"/>
      <c r="K335" s="748"/>
      <c r="L335" s="408"/>
      <c r="Q335" s="459"/>
    </row>
    <row r="336" spans="2:17" ht="14.5" hidden="1" customHeight="1">
      <c r="B336" s="400"/>
      <c r="C336" s="401"/>
      <c r="D336" s="192"/>
      <c r="E336" s="415"/>
      <c r="F336" s="415"/>
      <c r="G336" s="415"/>
      <c r="H336" s="382"/>
      <c r="I336" s="382"/>
      <c r="J336" s="382"/>
      <c r="K336" s="429"/>
      <c r="L336" s="408"/>
      <c r="Q336" s="459"/>
    </row>
    <row r="337" spans="2:17" ht="14.5" hidden="1" customHeight="1">
      <c r="B337" s="400"/>
      <c r="C337" s="402"/>
      <c r="D337" s="28" t="s">
        <v>329</v>
      </c>
      <c r="E337" s="28"/>
      <c r="F337" s="28"/>
      <c r="G337" s="28"/>
      <c r="H337" s="32" t="str">
        <f>H$270</f>
        <v>100k - 199k</v>
      </c>
      <c r="I337" s="32" t="str">
        <f>I$270</f>
        <v>200k - 499k</v>
      </c>
      <c r="J337" s="32" t="str">
        <f>J$270</f>
        <v>500k - 799k</v>
      </c>
      <c r="K337" s="160" t="str">
        <f>K$270</f>
        <v>800k and above</v>
      </c>
      <c r="L337" s="408"/>
      <c r="Q337" s="459"/>
    </row>
    <row r="338" spans="2:17" ht="14.5" hidden="1" customHeight="1">
      <c r="B338" s="400"/>
      <c r="C338" s="402"/>
      <c r="D338" s="184" t="s">
        <v>331</v>
      </c>
      <c r="E338" s="403"/>
      <c r="F338" s="403"/>
      <c r="G338" s="403"/>
      <c r="H338" s="291"/>
      <c r="I338" s="291"/>
      <c r="J338" s="291"/>
      <c r="K338" s="430"/>
      <c r="L338" s="408"/>
      <c r="Q338" s="459"/>
    </row>
    <row r="339" spans="2:17" ht="14.5" hidden="1" customHeight="1">
      <c r="B339" s="400"/>
      <c r="C339" s="402"/>
      <c r="D339" s="335" t="s">
        <v>332</v>
      </c>
      <c r="E339" s="303"/>
      <c r="F339" s="303"/>
      <c r="G339" s="303"/>
      <c r="H339" s="291">
        <f>'MBL Renewal By Band'!D$204</f>
        <v>31010.586584175682</v>
      </c>
      <c r="I339" s="291">
        <f>'MBL Renewal By Band'!E$204</f>
        <v>109039.52650733766</v>
      </c>
      <c r="J339" s="291">
        <f>'MBL Renewal By Band'!F$204</f>
        <v>250312.64766967669</v>
      </c>
      <c r="K339" s="405">
        <f>'MBL Renewal By Band'!G$204</f>
        <v>738796.74316706718</v>
      </c>
      <c r="L339" s="408"/>
      <c r="Q339" s="459"/>
    </row>
    <row r="340" spans="2:17" ht="14.5" hidden="1" customHeight="1">
      <c r="B340" s="400"/>
      <c r="C340" s="402"/>
      <c r="D340" s="335" t="s">
        <v>333</v>
      </c>
      <c r="E340" s="303"/>
      <c r="F340" s="303"/>
      <c r="G340" s="303"/>
      <c r="H340" s="291">
        <f>'MBL Renewal By Band'!D$208</f>
        <v>16580.586584175682</v>
      </c>
      <c r="I340" s="291">
        <f>'MBL Renewal By Band'!E$208</f>
        <v>75739.526507337665</v>
      </c>
      <c r="J340" s="291">
        <f>'MBL Renewal By Band'!F$208</f>
        <v>187042.64766967669</v>
      </c>
      <c r="K340" s="405">
        <f>'MBL Renewal By Band'!G$208</f>
        <v>516796.74316706718</v>
      </c>
      <c r="L340" s="408"/>
      <c r="Q340" s="459"/>
    </row>
    <row r="341" spans="2:17" ht="14.5" hidden="1" customHeight="1">
      <c r="B341" s="400"/>
      <c r="C341" s="402"/>
      <c r="D341" s="335" t="s">
        <v>356</v>
      </c>
      <c r="E341" s="303"/>
      <c r="F341" s="303"/>
      <c r="G341" s="303"/>
      <c r="H341" s="416">
        <f>'MBL Renewal By Band'!D$210</f>
        <v>0.23854297372442831</v>
      </c>
      <c r="I341" s="416">
        <f>'MBL Renewal By Band'!E$210</f>
        <v>0.36346508835779223</v>
      </c>
      <c r="J341" s="416">
        <f>'MBL Renewal By Band'!F$210</f>
        <v>0.43914499591171352</v>
      </c>
      <c r="K341" s="417">
        <f>'MBL Renewal By Band'!G$210</f>
        <v>0.36939837158353361</v>
      </c>
      <c r="L341" s="408"/>
      <c r="Q341" s="459"/>
    </row>
    <row r="342" spans="2:17" ht="14.5" hidden="1" customHeight="1">
      <c r="B342" s="400"/>
      <c r="C342" s="402"/>
      <c r="D342" s="335" t="s">
        <v>357</v>
      </c>
      <c r="E342" s="303"/>
      <c r="F342" s="303"/>
      <c r="G342" s="303"/>
      <c r="H342" s="416">
        <f>'MBL Renewal By Band'!D$211</f>
        <v>0.12754297372442833</v>
      </c>
      <c r="I342" s="416">
        <f>'MBL Renewal By Band'!E$211</f>
        <v>0.25246508835779219</v>
      </c>
      <c r="J342" s="416">
        <f>'MBL Renewal By Band'!F$211</f>
        <v>0.32814499591171348</v>
      </c>
      <c r="K342" s="417">
        <f>'MBL Renewal By Band'!G$211</f>
        <v>0.25839837158353357</v>
      </c>
      <c r="L342" s="408"/>
      <c r="Q342" s="459"/>
    </row>
    <row r="343" spans="2:17" ht="14.5" hidden="1" customHeight="1">
      <c r="B343" s="400"/>
      <c r="C343" s="402"/>
      <c r="D343" s="303"/>
      <c r="E343" s="303"/>
      <c r="F343" s="303"/>
      <c r="G343" s="303"/>
      <c r="H343" s="291"/>
      <c r="I343" s="291"/>
      <c r="J343" s="291"/>
      <c r="K343" s="430"/>
      <c r="L343" s="408"/>
      <c r="Q343" s="459"/>
    </row>
    <row r="344" spans="2:17" ht="14.5" hidden="1" customHeight="1">
      <c r="B344" s="400"/>
      <c r="C344" s="402"/>
      <c r="D344" s="61" t="s">
        <v>1</v>
      </c>
      <c r="E344" s="335"/>
      <c r="F344" s="335"/>
      <c r="G344" s="335"/>
      <c r="H344" s="291"/>
      <c r="I344" s="291"/>
      <c r="J344" s="291"/>
      <c r="K344" s="430"/>
      <c r="L344" s="408"/>
      <c r="Q344" s="459"/>
    </row>
    <row r="345" spans="2:17" ht="14.5" hidden="1" customHeight="1">
      <c r="B345" s="400"/>
      <c r="C345" s="402"/>
      <c r="D345" s="303" t="s">
        <v>14</v>
      </c>
      <c r="E345" s="303"/>
      <c r="F345" s="303"/>
      <c r="G345" s="303"/>
      <c r="H345" s="165">
        <v>130000</v>
      </c>
      <c r="I345" s="165">
        <v>300000</v>
      </c>
      <c r="J345" s="165">
        <v>570000</v>
      </c>
      <c r="K345" s="166">
        <v>2000000</v>
      </c>
      <c r="L345" s="408"/>
      <c r="Q345" s="459"/>
    </row>
    <row r="346" spans="2:17" ht="14.5" hidden="1" customHeight="1">
      <c r="B346" s="400"/>
      <c r="C346" s="402"/>
      <c r="D346" s="303" t="s">
        <v>13</v>
      </c>
      <c r="E346" s="303"/>
      <c r="F346" s="303"/>
      <c r="G346" s="303"/>
      <c r="H346" s="165">
        <v>1</v>
      </c>
      <c r="I346" s="165">
        <v>1</v>
      </c>
      <c r="J346" s="165">
        <v>1</v>
      </c>
      <c r="K346" s="166">
        <v>1</v>
      </c>
      <c r="L346" s="408"/>
      <c r="Q346" s="459"/>
    </row>
    <row r="347" spans="2:17" ht="14.5" hidden="1" customHeight="1">
      <c r="B347" s="400"/>
      <c r="C347" s="402"/>
      <c r="D347" s="303" t="s">
        <v>358</v>
      </c>
      <c r="E347" s="303"/>
      <c r="F347" s="303"/>
      <c r="G347" s="303"/>
      <c r="H347" s="241">
        <v>0.76595744680851063</v>
      </c>
      <c r="I347" s="241">
        <v>0.77070063694267521</v>
      </c>
      <c r="J347" s="241">
        <v>0.8571428571428571</v>
      </c>
      <c r="K347" s="242">
        <v>0.76666666666666672</v>
      </c>
      <c r="L347" s="408"/>
      <c r="Q347" s="459"/>
    </row>
    <row r="348" spans="2:17" ht="14.5" hidden="1" customHeight="1">
      <c r="B348" s="400"/>
      <c r="C348" s="402"/>
      <c r="D348" s="303" t="s">
        <v>367</v>
      </c>
      <c r="E348" s="303"/>
      <c r="F348" s="303"/>
      <c r="G348" s="303"/>
      <c r="H348" s="406">
        <f>Assumption_Sheet!B367</f>
        <v>0.13216996334258749</v>
      </c>
      <c r="I348" s="406">
        <f>Assumption_Sheet!C367</f>
        <v>0.10273796790282951</v>
      </c>
      <c r="J348" s="406">
        <f>Assumption_Sheet!D367</f>
        <v>9.8510687294957031E-2</v>
      </c>
      <c r="K348" s="407">
        <f>Assumption_Sheet!E367</f>
        <v>8.5605322245991752E-2</v>
      </c>
      <c r="L348" s="408"/>
      <c r="Q348" s="459"/>
    </row>
    <row r="349" spans="2:17" ht="14.5" hidden="1" customHeight="1">
      <c r="B349" s="400"/>
      <c r="C349" s="402"/>
      <c r="D349" s="467" t="s">
        <v>9</v>
      </c>
      <c r="E349" s="303"/>
      <c r="F349" s="303"/>
      <c r="G349" s="303"/>
      <c r="H349" s="602">
        <f t="shared" ref="H349" si="29">H283*85%</f>
        <v>8.5000000000000006E-2</v>
      </c>
      <c r="I349" s="602">
        <v>6.5000000000000002E-2</v>
      </c>
      <c r="J349" s="602">
        <v>6.2E-2</v>
      </c>
      <c r="K349" s="162">
        <v>5.2999999999999999E-2</v>
      </c>
      <c r="L349" s="261"/>
      <c r="M349" s="555" t="s">
        <v>469</v>
      </c>
      <c r="N349" s="557"/>
      <c r="Q349" s="459"/>
    </row>
    <row r="350" spans="2:17" ht="14.5" hidden="1" customHeight="1">
      <c r="B350" s="400"/>
      <c r="C350" s="402"/>
      <c r="D350" s="420" t="s">
        <v>8</v>
      </c>
      <c r="E350" s="420"/>
      <c r="F350" s="420"/>
      <c r="G350" s="420"/>
      <c r="H350" s="267">
        <v>0.1797</v>
      </c>
      <c r="I350" s="267">
        <v>0.16589999999999999</v>
      </c>
      <c r="J350" s="267">
        <v>0.1106</v>
      </c>
      <c r="K350" s="268">
        <v>9.4899999999999998E-2</v>
      </c>
      <c r="L350" s="408"/>
      <c r="Q350" s="459"/>
    </row>
    <row r="351" spans="2:17" ht="14.5" hidden="1" customHeight="1">
      <c r="B351" s="400"/>
      <c r="C351" s="402"/>
      <c r="D351" s="420" t="s">
        <v>9</v>
      </c>
      <c r="E351" s="420"/>
      <c r="F351" s="420"/>
      <c r="G351" s="420"/>
      <c r="H351" s="257">
        <v>0.11899999999999999</v>
      </c>
      <c r="I351" s="257">
        <v>0.109</v>
      </c>
      <c r="J351" s="257">
        <v>7.0099999999999996E-2</v>
      </c>
      <c r="K351" s="269">
        <v>5.9499999999999997E-2</v>
      </c>
      <c r="L351" s="408"/>
      <c r="Q351" s="459"/>
    </row>
    <row r="352" spans="2:17" ht="14.5" hidden="1" customHeight="1">
      <c r="B352" s="400"/>
      <c r="C352" s="402"/>
      <c r="D352" s="303" t="s">
        <v>10</v>
      </c>
      <c r="E352" s="303"/>
      <c r="F352" s="303"/>
      <c r="G352" s="303"/>
      <c r="H352" s="163">
        <v>6</v>
      </c>
      <c r="I352" s="163">
        <v>11</v>
      </c>
      <c r="J352" s="603">
        <v>11</v>
      </c>
      <c r="K352" s="603">
        <v>11</v>
      </c>
      <c r="L352" s="408"/>
      <c r="Q352" s="459"/>
    </row>
    <row r="353" spans="1:17" ht="14.5" hidden="1" customHeight="1">
      <c r="B353" s="400"/>
      <c r="C353" s="402"/>
      <c r="D353" s="303" t="s">
        <v>11</v>
      </c>
      <c r="E353" s="303"/>
      <c r="F353" s="303"/>
      <c r="G353" s="303"/>
      <c r="H353" s="406">
        <v>0.13500000000000001</v>
      </c>
      <c r="I353" s="406">
        <v>0.13500000000000001</v>
      </c>
      <c r="J353" s="406">
        <v>0.13500000000000001</v>
      </c>
      <c r="K353" s="406">
        <v>0.13500000000000001</v>
      </c>
      <c r="L353" s="408"/>
      <c r="Q353" s="459"/>
    </row>
    <row r="354" spans="1:17" ht="14.5" hidden="1" customHeight="1">
      <c r="B354" s="400"/>
      <c r="C354" s="402"/>
      <c r="D354" s="303" t="s">
        <v>12</v>
      </c>
      <c r="E354" s="303"/>
      <c r="F354" s="303"/>
      <c r="G354" s="303"/>
      <c r="H354" s="244">
        <f t="shared" ref="H354:J354" si="30">H355*$L354</f>
        <v>0.20399999999999999</v>
      </c>
      <c r="I354" s="244">
        <f t="shared" si="30"/>
        <v>0.24099999999999999</v>
      </c>
      <c r="J354" s="244">
        <f t="shared" si="30"/>
        <v>0.13400000000000001</v>
      </c>
      <c r="K354" s="244">
        <f>K355*$L354</f>
        <v>0.113</v>
      </c>
      <c r="L354" s="431">
        <v>1</v>
      </c>
      <c r="Q354" s="459"/>
    </row>
    <row r="355" spans="1:17" ht="14.5" hidden="1" customHeight="1">
      <c r="A355" s="210"/>
      <c r="B355" s="432"/>
      <c r="C355" s="461"/>
      <c r="D355" s="421" t="s">
        <v>363</v>
      </c>
      <c r="E355" s="421"/>
      <c r="F355" s="421"/>
      <c r="G355" s="421"/>
      <c r="H355" s="462">
        <v>0.20399999999999999</v>
      </c>
      <c r="I355" s="462">
        <v>0.24099999999999999</v>
      </c>
      <c r="J355" s="462">
        <v>0.13400000000000001</v>
      </c>
      <c r="K355" s="463">
        <v>0.113</v>
      </c>
      <c r="L355" s="635"/>
      <c r="M355" s="211"/>
      <c r="Q355" s="459"/>
    </row>
    <row r="356" spans="1:17" ht="15" hidden="1" customHeight="1" thickBot="1">
      <c r="A356" s="460"/>
      <c r="B356" s="457"/>
      <c r="C356" s="335"/>
      <c r="D356" s="335"/>
      <c r="E356" s="335"/>
      <c r="F356" s="335"/>
      <c r="G356" s="335"/>
      <c r="H356" s="470"/>
      <c r="I356" s="470"/>
      <c r="J356" s="470"/>
      <c r="K356" s="470"/>
      <c r="L356" s="458"/>
      <c r="M356" s="459"/>
      <c r="N356" s="464"/>
      <c r="Q356" s="459"/>
    </row>
    <row r="357" spans="1:17" ht="14.15" hidden="1" customHeight="1" thickBot="1">
      <c r="B357" s="200" t="s">
        <v>339</v>
      </c>
      <c r="C357" s="179"/>
      <c r="D357" s="411"/>
      <c r="E357" s="411"/>
      <c r="F357" s="412"/>
      <c r="G357" s="412"/>
      <c r="H357" s="412"/>
      <c r="I357" s="412"/>
      <c r="J357" s="411"/>
      <c r="K357" s="411"/>
      <c r="L357" s="413"/>
      <c r="Q357" s="273"/>
    </row>
    <row r="358" spans="1:17" ht="5.15" hidden="1" customHeight="1" outlineLevel="1">
      <c r="B358" s="400"/>
      <c r="C358" s="303"/>
      <c r="D358" s="303"/>
      <c r="E358" s="303"/>
      <c r="F358" s="292"/>
      <c r="G358" s="292"/>
      <c r="H358" s="292"/>
      <c r="I358" s="292"/>
      <c r="J358" s="303"/>
      <c r="K358" s="303"/>
      <c r="L358" s="199"/>
      <c r="Q358" s="273"/>
    </row>
    <row r="359" spans="1:17" ht="14.15" hidden="1" customHeight="1" outlineLevel="1">
      <c r="B359" s="400"/>
      <c r="C359" s="181" t="s">
        <v>340</v>
      </c>
      <c r="D359" s="180"/>
      <c r="E359" s="303"/>
      <c r="F359" s="292"/>
      <c r="G359" s="292"/>
      <c r="H359" s="292"/>
      <c r="I359" s="292"/>
      <c r="J359" s="303"/>
      <c r="K359" s="303"/>
      <c r="L359" s="199"/>
      <c r="Q359" s="273"/>
    </row>
    <row r="360" spans="1:17" ht="4" hidden="1" customHeight="1" outlineLevel="1">
      <c r="B360" s="400"/>
      <c r="C360" s="303"/>
      <c r="D360" s="180"/>
      <c r="E360" s="303"/>
      <c r="F360" s="292"/>
      <c r="G360" s="292"/>
      <c r="H360" s="292"/>
      <c r="I360" s="292"/>
      <c r="J360" s="303"/>
      <c r="K360" s="303"/>
      <c r="L360" s="199"/>
      <c r="Q360" s="273"/>
    </row>
    <row r="361" spans="1:17" ht="14.15" hidden="1" customHeight="1" outlineLevel="1">
      <c r="B361" s="400"/>
      <c r="C361" s="303"/>
      <c r="D361" s="183" t="s">
        <v>47</v>
      </c>
      <c r="E361" s="305"/>
      <c r="F361" s="410"/>
      <c r="G361" s="410"/>
      <c r="H361" s="410"/>
      <c r="I361" s="410"/>
      <c r="J361" s="305"/>
      <c r="K361" s="305"/>
      <c r="L361" s="199"/>
      <c r="Q361" s="273"/>
    </row>
    <row r="362" spans="1:17" ht="14.15" hidden="1" customHeight="1" outlineLevel="1">
      <c r="B362" s="400"/>
      <c r="C362" s="303"/>
      <c r="D362" s="176" t="s">
        <v>37</v>
      </c>
      <c r="E362" s="303"/>
      <c r="F362" s="177"/>
      <c r="G362" s="177"/>
      <c r="H362" s="177">
        <f>-'MBL Renewal By Band'!D$170/'MBL Renewal By Band'!D$11</f>
        <v>4.3410014309576493E-2</v>
      </c>
      <c r="I362" s="177">
        <f>-'MBL Renewal By Band'!E$170/'MBL Renewal By Band'!E$11</f>
        <v>7.8293839796479858E-2</v>
      </c>
      <c r="J362" s="177">
        <f>-'MBL Renewal By Band'!F$170/'MBL Renewal By Band'!F$11</f>
        <v>7.7884950462555308E-2</v>
      </c>
      <c r="K362" s="177">
        <f>-'MBL Renewal By Band'!G$170/'MBL Renewal By Band'!G$11</f>
        <v>7.6616147546915661E-2</v>
      </c>
      <c r="L362" s="199"/>
      <c r="Q362" s="273"/>
    </row>
    <row r="363" spans="1:17" ht="14.15" hidden="1" customHeight="1" outlineLevel="1">
      <c r="B363" s="400"/>
      <c r="C363" s="303"/>
      <c r="D363" s="176" t="s">
        <v>341</v>
      </c>
      <c r="E363" s="303"/>
      <c r="F363" s="177"/>
      <c r="G363" s="177"/>
      <c r="H363" s="177">
        <f>-SUM('MBL Renewal By Band'!D$172:D$174)/'MBL Renewal By Band'!D$11</f>
        <v>1.2472773076921607E-2</v>
      </c>
      <c r="I363" s="177">
        <f>-SUM('MBL Renewal By Band'!E$172:E$174)/'MBL Renewal By Band'!E$11</f>
        <v>1.3426433333333349E-2</v>
      </c>
      <c r="J363" s="177">
        <f>-SUM('MBL Renewal By Band'!F$172:F$174)/'MBL Renewal By Band'!F$11</f>
        <v>1.4959913859649118E-2</v>
      </c>
      <c r="K363" s="177">
        <f>-SUM('MBL Renewal By Band'!G$172:G$174)/'MBL Renewal By Band'!G$11</f>
        <v>1.013825E-2</v>
      </c>
      <c r="L363" s="199"/>
      <c r="Q363" s="273"/>
    </row>
    <row r="364" spans="1:17" ht="14.15" hidden="1" customHeight="1" outlineLevel="1">
      <c r="B364" s="400"/>
      <c r="C364" s="303"/>
      <c r="D364" s="186" t="s">
        <v>342</v>
      </c>
      <c r="E364" s="186"/>
      <c r="F364" s="186"/>
      <c r="G364" s="186"/>
      <c r="H364" s="186">
        <f>SUM(H362:H363)</f>
        <v>5.5882787386498101E-2</v>
      </c>
      <c r="I364" s="186">
        <f>SUM(I362:I363)</f>
        <v>9.1720273129813207E-2</v>
      </c>
      <c r="J364" s="186">
        <f>SUM(J362:J363)</f>
        <v>9.2844864322204429E-2</v>
      </c>
      <c r="K364" s="186">
        <f>SUM(K362:K363)</f>
        <v>8.6754397546915663E-2</v>
      </c>
      <c r="L364" s="202"/>
      <c r="Q364" s="273"/>
    </row>
    <row r="365" spans="1:17" ht="4" hidden="1" customHeight="1" outlineLevel="1">
      <c r="B365" s="400"/>
      <c r="C365" s="303"/>
      <c r="D365" s="303"/>
      <c r="E365" s="303"/>
      <c r="F365" s="178"/>
      <c r="G365" s="178"/>
      <c r="H365" s="178"/>
      <c r="I365" s="178"/>
      <c r="J365" s="171"/>
      <c r="K365" s="171"/>
      <c r="L365" s="199"/>
      <c r="Q365" s="273"/>
    </row>
    <row r="366" spans="1:17" ht="14.15" hidden="1" customHeight="1" outlineLevel="1">
      <c r="B366" s="400"/>
      <c r="C366" s="303"/>
      <c r="D366" s="183" t="s">
        <v>343</v>
      </c>
      <c r="E366" s="305"/>
      <c r="F366" s="410"/>
      <c r="G366" s="410"/>
      <c r="H366" s="410"/>
      <c r="I366" s="410"/>
      <c r="J366" s="305"/>
      <c r="K366" s="305"/>
      <c r="L366" s="199"/>
      <c r="Q366" s="273"/>
    </row>
    <row r="367" spans="1:17" ht="14.15" hidden="1" customHeight="1" outlineLevel="1">
      <c r="B367" s="400"/>
      <c r="C367" s="303"/>
      <c r="D367" s="176" t="s">
        <v>52</v>
      </c>
      <c r="E367" s="303"/>
      <c r="F367" s="177"/>
      <c r="G367" s="177"/>
      <c r="H367" s="177" t="e">
        <f>-'MBL Renewal By Band'!#REF!/'MBL Renewal By Band'!D$11</f>
        <v>#REF!</v>
      </c>
      <c r="I367" s="177" t="e">
        <f>-'MBL Renewal By Band'!#REF!/'MBL Renewal By Band'!E$11</f>
        <v>#REF!</v>
      </c>
      <c r="J367" s="177" t="e">
        <f>-'MBL Renewal By Band'!#REF!/'MBL Renewal By Band'!F$11</f>
        <v>#REF!</v>
      </c>
      <c r="K367" s="177" t="e">
        <f>-'MBL Renewal By Band'!#REF!/'MBL Renewal By Band'!G$11</f>
        <v>#REF!</v>
      </c>
      <c r="L367" s="202"/>
      <c r="Q367" s="273"/>
    </row>
    <row r="368" spans="1:17" ht="14.15" hidden="1" customHeight="1" outlineLevel="1">
      <c r="B368" s="400"/>
      <c r="C368" s="303"/>
      <c r="D368" s="176" t="s">
        <v>53</v>
      </c>
      <c r="E368" s="303"/>
      <c r="F368" s="177"/>
      <c r="G368" s="177"/>
      <c r="H368" s="177" t="e">
        <f>-'MBL Renewal By Band'!#REF!/'MBL Renewal By Band'!D$11</f>
        <v>#REF!</v>
      </c>
      <c r="I368" s="177" t="e">
        <f>-'MBL Renewal By Band'!#REF!/'MBL Renewal By Band'!E$11</f>
        <v>#REF!</v>
      </c>
      <c r="J368" s="177" t="e">
        <f>-'MBL Renewal By Band'!#REF!/'MBL Renewal By Band'!F$11</f>
        <v>#REF!</v>
      </c>
      <c r="K368" s="177" t="e">
        <f>-'MBL Renewal By Band'!#REF!/'MBL Renewal By Band'!G$11</f>
        <v>#REF!</v>
      </c>
      <c r="L368" s="202"/>
      <c r="Q368" s="273"/>
    </row>
    <row r="369" spans="2:16" ht="14.15" hidden="1" customHeight="1" outlineLevel="1">
      <c r="B369" s="400"/>
      <c r="C369" s="303"/>
      <c r="D369" s="176" t="s">
        <v>54</v>
      </c>
      <c r="E369" s="303"/>
      <c r="F369" s="177"/>
      <c r="G369" s="177"/>
      <c r="H369" s="177" t="e">
        <f>-'MBL Renewal By Band'!#REF!/'MBL Renewal By Band'!D$11</f>
        <v>#REF!</v>
      </c>
      <c r="I369" s="177" t="e">
        <f>-'MBL Renewal By Band'!#REF!/'MBL Renewal By Band'!E$11</f>
        <v>#REF!</v>
      </c>
      <c r="J369" s="177" t="e">
        <f>-'MBL Renewal By Band'!#REF!/'MBL Renewal By Band'!F$11</f>
        <v>#REF!</v>
      </c>
      <c r="K369" s="177" t="e">
        <f>-'MBL Renewal By Band'!#REF!/'MBL Renewal By Band'!G$11</f>
        <v>#REF!</v>
      </c>
      <c r="L369" s="202"/>
    </row>
    <row r="370" spans="2:16" ht="14.15" hidden="1" customHeight="1" outlineLevel="1">
      <c r="B370" s="400"/>
      <c r="C370" s="303"/>
      <c r="D370" s="176" t="s">
        <v>55</v>
      </c>
      <c r="E370" s="303"/>
      <c r="F370" s="177"/>
      <c r="G370" s="177"/>
      <c r="H370" s="177" t="e">
        <f>-'MBL Renewal By Band'!#REF!/'MBL Renewal By Band'!D$11</f>
        <v>#REF!</v>
      </c>
      <c r="I370" s="177" t="e">
        <f>-'MBL Renewal By Band'!#REF!/'MBL Renewal By Band'!E$11</f>
        <v>#REF!</v>
      </c>
      <c r="J370" s="177" t="e">
        <f>-'MBL Renewal By Band'!#REF!/'MBL Renewal By Band'!F$11</f>
        <v>#REF!</v>
      </c>
      <c r="K370" s="177" t="e">
        <f>-'MBL Renewal By Band'!#REF!/'MBL Renewal By Band'!G$11</f>
        <v>#REF!</v>
      </c>
      <c r="L370" s="202"/>
    </row>
    <row r="371" spans="2:16" ht="14.15" hidden="1" customHeight="1" outlineLevel="1">
      <c r="B371" s="400"/>
      <c r="C371" s="303"/>
      <c r="D371" s="176" t="s">
        <v>56</v>
      </c>
      <c r="E371" s="303"/>
      <c r="F371" s="177"/>
      <c r="G371" s="177"/>
      <c r="H371" s="177">
        <f>-'MBL Renewal By Band'!D179/'MBL Renewal By Band'!D$11</f>
        <v>0</v>
      </c>
      <c r="I371" s="177">
        <f>-'MBL Renewal By Band'!E179/'MBL Renewal By Band'!E$11</f>
        <v>7.77E-3</v>
      </c>
      <c r="J371" s="177">
        <f>-'MBL Renewal By Band'!F179/'MBL Renewal By Band'!F$11</f>
        <v>7.7699999999999991E-3</v>
      </c>
      <c r="K371" s="185">
        <f>-'MBL Renewal By Band'!G179/'MBL Renewal By Band'!G$11</f>
        <v>7.77E-3</v>
      </c>
      <c r="L371" s="202"/>
    </row>
    <row r="372" spans="2:16" ht="14.15" hidden="1" customHeight="1" outlineLevel="1">
      <c r="B372" s="400"/>
      <c r="C372" s="303"/>
      <c r="D372" s="176" t="s">
        <v>57</v>
      </c>
      <c r="E372" s="303"/>
      <c r="F372" s="177"/>
      <c r="G372" s="177"/>
      <c r="H372" s="177">
        <f>-'MBL Renewal By Band'!D180/'MBL Renewal By Band'!D$11</f>
        <v>0</v>
      </c>
      <c r="I372" s="177">
        <f>-'MBL Renewal By Band'!E180/'MBL Renewal By Band'!E$11</f>
        <v>0</v>
      </c>
      <c r="J372" s="177">
        <f>-'MBL Renewal By Band'!F180/'MBL Renewal By Band'!F$11</f>
        <v>0</v>
      </c>
      <c r="K372" s="185">
        <f>-'MBL Renewal By Band'!G180/'MBL Renewal By Band'!G$11</f>
        <v>0</v>
      </c>
      <c r="L372" s="202"/>
    </row>
    <row r="373" spans="2:16" ht="14.15" hidden="1" customHeight="1" outlineLevel="1">
      <c r="B373" s="400"/>
      <c r="C373" s="303"/>
      <c r="D373" s="176" t="s">
        <v>58</v>
      </c>
      <c r="E373" s="303"/>
      <c r="F373" s="177"/>
      <c r="G373" s="177"/>
      <c r="H373" s="177">
        <f>-'MBL Renewal By Band'!D181/'MBL Renewal By Band'!D$11</f>
        <v>0</v>
      </c>
      <c r="I373" s="177">
        <f>-'MBL Renewal By Band'!E181/'MBL Renewal By Band'!E$11</f>
        <v>0</v>
      </c>
      <c r="J373" s="177">
        <f>-'MBL Renewal By Band'!F181/'MBL Renewal By Band'!F$11</f>
        <v>0</v>
      </c>
      <c r="K373" s="185">
        <f>-'MBL Renewal By Band'!G181/'MBL Renewal By Band'!G$11</f>
        <v>0</v>
      </c>
      <c r="L373" s="202"/>
    </row>
    <row r="374" spans="2:16" ht="14.15" hidden="1" customHeight="1" outlineLevel="1">
      <c r="B374" s="400"/>
      <c r="C374" s="303"/>
      <c r="D374" s="176" t="s">
        <v>59</v>
      </c>
      <c r="E374" s="303"/>
      <c r="F374" s="177"/>
      <c r="G374" s="177"/>
      <c r="H374" s="177" t="e">
        <f>-'MBL Renewal By Band'!#REF!/'MBL Renewal By Band'!D$11</f>
        <v>#REF!</v>
      </c>
      <c r="I374" s="177" t="e">
        <f>-'MBL Renewal By Band'!#REF!/'MBL Renewal By Band'!E$11</f>
        <v>#REF!</v>
      </c>
      <c r="J374" s="177" t="e">
        <f>-'MBL Renewal By Band'!#REF!/'MBL Renewal By Band'!F$11</f>
        <v>#REF!</v>
      </c>
      <c r="K374" s="177" t="e">
        <f>-'MBL Renewal By Band'!#REF!/'MBL Renewal By Band'!G$11</f>
        <v>#REF!</v>
      </c>
      <c r="L374" s="202"/>
    </row>
    <row r="375" spans="2:16" ht="14.15" hidden="1" customHeight="1" outlineLevel="1">
      <c r="B375" s="400"/>
      <c r="C375" s="303"/>
      <c r="D375" s="176" t="s">
        <v>344</v>
      </c>
      <c r="E375" s="303"/>
      <c r="F375" s="177"/>
      <c r="G375" s="177"/>
      <c r="H375" s="177" t="e">
        <f>-SUM('MBL Renewal By Band'!#REF!)/'MBL Renewal By Band'!D$11</f>
        <v>#REF!</v>
      </c>
      <c r="I375" s="177" t="e">
        <f>-SUM('MBL Renewal By Band'!#REF!)/'MBL Renewal By Band'!E$11</f>
        <v>#REF!</v>
      </c>
      <c r="J375" s="177" t="e">
        <f>-SUM('MBL Renewal By Band'!#REF!)/'MBL Renewal By Band'!F$11</f>
        <v>#REF!</v>
      </c>
      <c r="K375" s="177" t="e">
        <f>-SUM('MBL Renewal By Band'!#REF!)/'MBL Renewal By Band'!G$11</f>
        <v>#REF!</v>
      </c>
      <c r="L375" s="202"/>
    </row>
    <row r="376" spans="2:16" ht="14.15" hidden="1" customHeight="1" outlineLevel="1">
      <c r="B376" s="400"/>
      <c r="C376" s="303"/>
      <c r="D376" s="186" t="s">
        <v>342</v>
      </c>
      <c r="E376" s="186"/>
      <c r="F376" s="186"/>
      <c r="G376" s="186"/>
      <c r="H376" s="186" t="e">
        <f>SUM(H367:H375)</f>
        <v>#REF!</v>
      </c>
      <c r="I376" s="186" t="e">
        <f>SUM(I367:I375)</f>
        <v>#REF!</v>
      </c>
      <c r="J376" s="186" t="e">
        <f>SUM(J367:J375)</f>
        <v>#REF!</v>
      </c>
      <c r="K376" s="186" t="e">
        <f>SUM(K367:K375)</f>
        <v>#REF!</v>
      </c>
      <c r="L376" s="202"/>
    </row>
    <row r="377" spans="2:16" ht="4" hidden="1" customHeight="1" outlineLevel="1">
      <c r="B377" s="400"/>
      <c r="C377" s="303"/>
      <c r="D377" s="303"/>
      <c r="E377" s="303"/>
      <c r="F377" s="178"/>
      <c r="G377" s="178"/>
      <c r="H377" s="178"/>
      <c r="I377" s="178"/>
      <c r="J377" s="171"/>
      <c r="K377" s="171"/>
      <c r="L377" s="199"/>
    </row>
    <row r="378" spans="2:16" ht="14.15" hidden="1" customHeight="1" outlineLevel="1">
      <c r="B378" s="400"/>
      <c r="C378" s="303"/>
      <c r="D378" s="183" t="s">
        <v>345</v>
      </c>
      <c r="E378" s="305"/>
      <c r="F378" s="410"/>
      <c r="G378" s="410"/>
      <c r="H378" s="410"/>
      <c r="I378" s="410"/>
      <c r="J378" s="305"/>
      <c r="K378" s="305"/>
      <c r="L378" s="199"/>
    </row>
    <row r="379" spans="2:16" ht="14.15" hidden="1" customHeight="1" outlineLevel="1">
      <c r="B379" s="400"/>
      <c r="C379" s="303"/>
      <c r="D379" s="176" t="s">
        <v>66</v>
      </c>
      <c r="E379" s="303"/>
      <c r="F379" s="177"/>
      <c r="G379" s="177"/>
      <c r="H379" s="177" t="e">
        <f>-'MBL Renewal By Band'!#REF!/'MBL Renewal By Band'!D$11</f>
        <v>#REF!</v>
      </c>
      <c r="I379" s="177" t="e">
        <f>-'MBL Renewal By Band'!#REF!/'MBL Renewal By Band'!E$11</f>
        <v>#REF!</v>
      </c>
      <c r="J379" s="177" t="e">
        <f>-'MBL Renewal By Band'!#REF!/'MBL Renewal By Band'!F$11</f>
        <v>#REF!</v>
      </c>
      <c r="K379" s="177" t="e">
        <f>-'MBL Renewal By Band'!#REF!/'MBL Renewal By Band'!G$11</f>
        <v>#REF!</v>
      </c>
      <c r="L379" s="202"/>
    </row>
    <row r="380" spans="2:16" ht="14.15" hidden="1" customHeight="1" outlineLevel="1">
      <c r="B380" s="400"/>
      <c r="C380" s="303"/>
      <c r="D380" s="176" t="s">
        <v>67</v>
      </c>
      <c r="E380" s="303"/>
      <c r="F380" s="177"/>
      <c r="G380" s="177"/>
      <c r="H380" s="177" t="e">
        <f>-'MBL Renewal By Band'!#REF!/'MBL Renewal By Band'!D$11</f>
        <v>#REF!</v>
      </c>
      <c r="I380" s="177" t="e">
        <f>-'MBL Renewal By Band'!#REF!/'MBL Renewal By Band'!E$11</f>
        <v>#REF!</v>
      </c>
      <c r="J380" s="177" t="e">
        <f>-'MBL Renewal By Band'!#REF!/'MBL Renewal By Band'!F$11</f>
        <v>#REF!</v>
      </c>
      <c r="K380" s="177" t="e">
        <f>-'MBL Renewal By Band'!#REF!/'MBL Renewal By Band'!G$11</f>
        <v>#REF!</v>
      </c>
      <c r="L380" s="202"/>
    </row>
    <row r="381" spans="2:16" ht="14.15" hidden="1" customHeight="1" outlineLevel="1">
      <c r="B381" s="400"/>
      <c r="C381" s="303"/>
      <c r="D381" s="176" t="s">
        <v>68</v>
      </c>
      <c r="E381" s="303"/>
      <c r="F381" s="177"/>
      <c r="G381" s="177"/>
      <c r="H381" s="177">
        <f>-'MBL Renewal By Band'!D188/'MBL Renewal By Band'!D$11</f>
        <v>7.6977564102564098E-4</v>
      </c>
      <c r="I381" s="177">
        <f>-'MBL Renewal By Band'!E188/'MBL Renewal By Band'!E$11</f>
        <v>3.3151652892561979E-4</v>
      </c>
      <c r="J381" s="177">
        <f>-'MBL Renewal By Band'!F188/'MBL Renewal By Band'!F$11</f>
        <v>1.5688596491228069E-4</v>
      </c>
      <c r="K381" s="177">
        <f>-'MBL Renewal By Band'!G188/'MBL Renewal By Band'!G$11</f>
        <v>4.9989130434782602E-5</v>
      </c>
      <c r="L381" s="202"/>
      <c r="M381" s="167"/>
      <c r="N381" s="167"/>
      <c r="P381" s="460"/>
    </row>
    <row r="382" spans="2:16" ht="14.15" hidden="1" customHeight="1" outlineLevel="1">
      <c r="B382" s="400"/>
      <c r="C382" s="303"/>
      <c r="D382" s="186" t="s">
        <v>346</v>
      </c>
      <c r="E382" s="186"/>
      <c r="F382" s="186"/>
      <c r="G382" s="186"/>
      <c r="H382" s="186" t="e">
        <f>SUM(H379:H381)</f>
        <v>#REF!</v>
      </c>
      <c r="I382" s="186" t="e">
        <f>SUM(I379:I381)</f>
        <v>#REF!</v>
      </c>
      <c r="J382" s="186" t="e">
        <f>SUM(J379:J381)</f>
        <v>#REF!</v>
      </c>
      <c r="K382" s="186" t="e">
        <f>SUM(K379:K381)</f>
        <v>#REF!</v>
      </c>
      <c r="L382" s="202"/>
      <c r="M382" s="167"/>
      <c r="N382" s="167"/>
      <c r="P382" s="460"/>
    </row>
    <row r="383" spans="2:16" ht="4" hidden="1" customHeight="1" outlineLevel="1">
      <c r="B383" s="400"/>
      <c r="C383" s="303"/>
      <c r="D383" s="303"/>
      <c r="E383" s="303"/>
      <c r="F383" s="178"/>
      <c r="G383" s="178"/>
      <c r="H383" s="178"/>
      <c r="I383" s="178"/>
      <c r="J383" s="171"/>
      <c r="K383" s="171"/>
      <c r="L383" s="199"/>
      <c r="M383" s="167"/>
      <c r="N383" s="167"/>
      <c r="P383" s="460"/>
    </row>
    <row r="384" spans="2:16" ht="14.15" hidden="1" customHeight="1" outlineLevel="1">
      <c r="B384" s="400"/>
      <c r="C384" s="303"/>
      <c r="D384" s="183" t="s">
        <v>70</v>
      </c>
      <c r="E384" s="305"/>
      <c r="F384" s="410"/>
      <c r="G384" s="410"/>
      <c r="H384" s="410"/>
      <c r="I384" s="410"/>
      <c r="J384" s="305"/>
      <c r="K384" s="305"/>
      <c r="L384" s="199"/>
      <c r="M384" s="167"/>
      <c r="N384" s="167"/>
      <c r="P384" s="460"/>
    </row>
    <row r="385" spans="2:17" ht="14.15" hidden="1" customHeight="1" outlineLevel="1">
      <c r="B385" s="400"/>
      <c r="C385" s="303"/>
      <c r="D385" s="176" t="s">
        <v>347</v>
      </c>
      <c r="E385" s="303"/>
      <c r="F385" s="177"/>
      <c r="G385" s="177"/>
      <c r="H385" s="177">
        <f>-'MBL Renewal By Band'!D193/'MBL Renewal By Band'!D$11</f>
        <v>0</v>
      </c>
      <c r="I385" s="177">
        <f>-'MBL Renewal By Band'!E193/'MBL Renewal By Band'!E$11</f>
        <v>0</v>
      </c>
      <c r="J385" s="177">
        <f>-'MBL Renewal By Band'!F193/'MBL Renewal By Band'!F$11</f>
        <v>0</v>
      </c>
      <c r="K385" s="177">
        <f>-'MBL Renewal By Band'!G193/'MBL Renewal By Band'!G$11</f>
        <v>0</v>
      </c>
      <c r="L385" s="202"/>
      <c r="M385" s="167"/>
      <c r="N385" s="167"/>
      <c r="P385" s="460"/>
    </row>
    <row r="386" spans="2:17" ht="14.15" hidden="1" customHeight="1" outlineLevel="1">
      <c r="B386" s="400"/>
      <c r="C386" s="303"/>
      <c r="D386" s="176" t="s">
        <v>348</v>
      </c>
      <c r="E386" s="303"/>
      <c r="F386" s="177"/>
      <c r="G386" s="177"/>
      <c r="H386" s="177">
        <f>-'MBL Renewal By Band'!D194/'MBL Renewal By Band'!D$11</f>
        <v>8.0446324786324799E-4</v>
      </c>
      <c r="I386" s="177">
        <f>-'MBL Renewal By Band'!E194/'MBL Renewal By Band'!E$11</f>
        <v>3.4645531680440776E-4</v>
      </c>
      <c r="J386" s="177">
        <f>-'MBL Renewal By Band'!F194/'MBL Renewal By Band'!F$11</f>
        <v>1.639555555555556E-4</v>
      </c>
      <c r="K386" s="177">
        <f>-'MBL Renewal By Band'!G194/'MBL Renewal By Band'!G$11</f>
        <v>5.2241739130434792E-5</v>
      </c>
      <c r="L386" s="202"/>
      <c r="M386" s="167"/>
      <c r="N386" s="167"/>
      <c r="O386" s="460"/>
      <c r="P386" s="460"/>
    </row>
    <row r="387" spans="2:17" ht="14.15" hidden="1" customHeight="1" outlineLevel="1">
      <c r="B387" s="400"/>
      <c r="C387" s="303"/>
      <c r="D387" s="176" t="s">
        <v>349</v>
      </c>
      <c r="E387" s="303"/>
      <c r="F387" s="177"/>
      <c r="G387" s="177"/>
      <c r="H387" s="177">
        <f>-'MBL Renewal By Band'!D195/'MBL Renewal By Band'!D$11</f>
        <v>0</v>
      </c>
      <c r="I387" s="177">
        <f>-'MBL Renewal By Band'!E195/'MBL Renewal By Band'!E$11</f>
        <v>0</v>
      </c>
      <c r="J387" s="177">
        <f>-'MBL Renewal By Band'!F195/'MBL Renewal By Band'!F$11</f>
        <v>0</v>
      </c>
      <c r="K387" s="177">
        <f>-'MBL Renewal By Band'!G195/'MBL Renewal By Band'!G$11</f>
        <v>0</v>
      </c>
      <c r="L387" s="202"/>
      <c r="M387" s="167"/>
      <c r="N387" s="167"/>
      <c r="O387" s="460"/>
      <c r="P387" s="460"/>
    </row>
    <row r="388" spans="2:17" ht="14.15" hidden="1" customHeight="1" outlineLevel="1">
      <c r="B388" s="400"/>
      <c r="C388" s="303"/>
      <c r="D388" s="176" t="s">
        <v>350</v>
      </c>
      <c r="E388" s="303"/>
      <c r="F388" s="177"/>
      <c r="G388" s="177"/>
      <c r="H388" s="177">
        <f>-'MBL Renewal By Band'!D196/'MBL Renewal By Band'!D$11</f>
        <v>7.6923076923076936E-3</v>
      </c>
      <c r="I388" s="177">
        <f>-'MBL Renewal By Band'!E196/'MBL Renewal By Band'!E$11</f>
        <v>3.3333333333333335E-3</v>
      </c>
      <c r="J388" s="177">
        <f>-'MBL Renewal By Band'!F196/'MBL Renewal By Band'!F$11</f>
        <v>1.7543859649122807E-3</v>
      </c>
      <c r="K388" s="177">
        <f>-'MBL Renewal By Band'!G196/'MBL Renewal By Band'!G$11</f>
        <v>5.0000000000000001E-4</v>
      </c>
      <c r="L388" s="202"/>
      <c r="M388" s="167"/>
      <c r="N388" s="167"/>
      <c r="O388" s="460"/>
      <c r="P388" s="460"/>
    </row>
    <row r="389" spans="2:17" ht="14.15" hidden="1" customHeight="1" outlineLevel="1">
      <c r="B389" s="400"/>
      <c r="C389" s="303"/>
      <c r="D389" s="176" t="s">
        <v>351</v>
      </c>
      <c r="E389" s="303"/>
      <c r="F389" s="177"/>
      <c r="G389" s="177"/>
      <c r="H389" s="177">
        <f>-'MBL Renewal By Band'!D197/'MBL Renewal By Band'!D$11</f>
        <v>0</v>
      </c>
      <c r="I389" s="177">
        <f>-'MBL Renewal By Band'!E197/'MBL Renewal By Band'!E$11</f>
        <v>0</v>
      </c>
      <c r="J389" s="177">
        <f>-'MBL Renewal By Band'!F197/'MBL Renewal By Band'!F$11</f>
        <v>0</v>
      </c>
      <c r="K389" s="177">
        <f>-'MBL Renewal By Band'!G197/'MBL Renewal By Band'!G$11</f>
        <v>0</v>
      </c>
      <c r="L389" s="202"/>
      <c r="M389" s="167"/>
      <c r="N389" s="167"/>
      <c r="O389" s="460"/>
      <c r="P389" s="460"/>
    </row>
    <row r="390" spans="2:17" ht="14.15" hidden="1" customHeight="1" outlineLevel="1">
      <c r="B390" s="400"/>
      <c r="C390" s="303"/>
      <c r="D390" s="186" t="s">
        <v>352</v>
      </c>
      <c r="E390" s="186"/>
      <c r="F390" s="186"/>
      <c r="G390" s="186"/>
      <c r="H390" s="186">
        <f>SUM(H385:H389)</f>
        <v>8.4967709401709418E-3</v>
      </c>
      <c r="I390" s="186">
        <f>SUM(I385:I389)</f>
        <v>3.6797886501377412E-3</v>
      </c>
      <c r="J390" s="186">
        <f>SUM(J385:J389)</f>
        <v>1.9183415204678364E-3</v>
      </c>
      <c r="K390" s="186">
        <f>SUM(K385:K389)</f>
        <v>5.5224173913043478E-4</v>
      </c>
      <c r="L390" s="202"/>
      <c r="M390" s="167"/>
      <c r="N390" s="167"/>
      <c r="O390" s="460"/>
      <c r="P390" s="460"/>
    </row>
    <row r="391" spans="2:17" ht="4" hidden="1" customHeight="1" outlineLevel="1">
      <c r="B391" s="400"/>
      <c r="C391" s="303"/>
      <c r="D391" s="303"/>
      <c r="E391" s="303"/>
      <c r="F391" s="178"/>
      <c r="G391" s="178"/>
      <c r="H391" s="178"/>
      <c r="I391" s="178"/>
      <c r="J391" s="171"/>
      <c r="K391" s="171"/>
      <c r="L391" s="199"/>
      <c r="M391" s="167"/>
      <c r="N391" s="167"/>
      <c r="O391" s="460"/>
      <c r="P391" s="460"/>
    </row>
    <row r="392" spans="2:17" ht="14.15" hidden="1" customHeight="1" outlineLevel="1">
      <c r="B392" s="400"/>
      <c r="C392" s="181" t="s">
        <v>353</v>
      </c>
      <c r="D392" s="182"/>
      <c r="E392" s="303"/>
      <c r="F392" s="292"/>
      <c r="G392" s="292"/>
      <c r="H392" s="292"/>
      <c r="I392" s="292"/>
      <c r="J392" s="303"/>
      <c r="K392" s="303"/>
      <c r="L392" s="199"/>
      <c r="M392" s="167"/>
      <c r="N392" s="167"/>
      <c r="O392" s="460"/>
      <c r="P392" s="460"/>
    </row>
    <row r="393" spans="2:17" ht="14.15" hidden="1" customHeight="1" outlineLevel="1">
      <c r="B393" s="400"/>
      <c r="C393" s="303"/>
      <c r="D393" s="190" t="s">
        <v>81</v>
      </c>
      <c r="E393" s="187"/>
      <c r="F393" s="187"/>
      <c r="G393" s="187"/>
      <c r="H393" s="187">
        <f>-'MBL Renewal By Band'!D$206/'MBL Renewal By Band'!D$11</f>
        <v>0.111</v>
      </c>
      <c r="I393" s="187">
        <f>-'MBL Renewal By Band'!E$206/'MBL Renewal By Band'!E$11</f>
        <v>0.111</v>
      </c>
      <c r="J393" s="187">
        <f>-'MBL Renewal By Band'!F$206/'MBL Renewal By Band'!F$11</f>
        <v>0.111</v>
      </c>
      <c r="K393" s="187">
        <f>-'MBL Renewal By Band'!G$206/'MBL Renewal By Band'!G$11</f>
        <v>0.111</v>
      </c>
      <c r="L393" s="202"/>
      <c r="M393" s="167"/>
      <c r="N393" s="167"/>
      <c r="O393" s="460"/>
      <c r="P393" s="460"/>
    </row>
    <row r="394" spans="2:17" ht="8.5" hidden="1" customHeight="1" outlineLevel="1">
      <c r="B394" s="400"/>
      <c r="C394" s="303"/>
      <c r="D394" s="187"/>
      <c r="E394" s="187"/>
      <c r="F394" s="187"/>
      <c r="G394" s="187"/>
      <c r="H394" s="187"/>
      <c r="I394" s="187"/>
      <c r="J394" s="187"/>
      <c r="K394" s="187"/>
      <c r="L394" s="202"/>
      <c r="M394" s="167"/>
      <c r="N394" s="167"/>
      <c r="O394" s="460"/>
      <c r="P394" s="460"/>
    </row>
    <row r="395" spans="2:17" ht="14.15" hidden="1" customHeight="1" outlineLevel="1" thickBot="1">
      <c r="B395" s="400"/>
      <c r="C395" s="303"/>
      <c r="D395" s="189" t="s">
        <v>342</v>
      </c>
      <c r="E395" s="189"/>
      <c r="F395" s="189"/>
      <c r="G395" s="189"/>
      <c r="H395" s="189" t="e">
        <f>SUM(H364,H376,H382,H390,H393)</f>
        <v>#REF!</v>
      </c>
      <c r="I395" s="189" t="e">
        <f>SUM(I364,I376,I382,I390,I393)</f>
        <v>#REF!</v>
      </c>
      <c r="J395" s="189" t="e">
        <f>SUM(J364,J376,J382,J390,J393)</f>
        <v>#REF!</v>
      </c>
      <c r="K395" s="189" t="e">
        <f>SUM(K364,K376,K382,K390,K393)</f>
        <v>#REF!</v>
      </c>
      <c r="L395" s="202"/>
      <c r="M395" s="167"/>
      <c r="N395" s="167"/>
      <c r="O395" s="460"/>
      <c r="P395" s="460"/>
    </row>
    <row r="396" spans="2:17" ht="14.15" hidden="1" customHeight="1" outlineLevel="1" thickTop="1">
      <c r="B396" s="400"/>
      <c r="C396" s="303"/>
      <c r="D396" s="191"/>
      <c r="E396" s="191"/>
      <c r="F396" s="191"/>
      <c r="G396" s="214" t="s">
        <v>354</v>
      </c>
      <c r="H396" s="214" t="e">
        <f>ROUND(('MBL Renewal By Band'!D167/'MBL Renewal By Band'!D11)-Model_Summary!H395-Model_Summary!H342,0)</f>
        <v>#REF!</v>
      </c>
      <c r="I396" s="214" t="e">
        <f>ROUND(('MBL Renewal By Band'!E167/'MBL Renewal By Band'!E11)-Model_Summary!I395-Model_Summary!I342,0)</f>
        <v>#REF!</v>
      </c>
      <c r="J396" s="214" t="e">
        <f>ROUND(('MBL Renewal By Band'!F167/'MBL Renewal By Band'!F11)-Model_Summary!J395-Model_Summary!J342,0)</f>
        <v>#REF!</v>
      </c>
      <c r="K396" s="214" t="e">
        <f>ROUND(('MBL Renewal By Band'!G167/'MBL Renewal By Band'!G11)-Model_Summary!K395-Model_Summary!K342,0)</f>
        <v>#REF!</v>
      </c>
      <c r="L396" s="202"/>
      <c r="M396" s="167"/>
      <c r="N396" s="167"/>
      <c r="O396" s="460"/>
      <c r="P396" s="460"/>
    </row>
    <row r="397" spans="2:17" ht="14.15" hidden="1" customHeight="1" collapsed="1" thickBot="1">
      <c r="B397" s="414"/>
      <c r="C397" s="334"/>
      <c r="D397" s="203"/>
      <c r="E397" s="203"/>
      <c r="F397" s="203"/>
      <c r="G397" s="203"/>
      <c r="H397" s="203"/>
      <c r="I397" s="203"/>
      <c r="J397" s="203"/>
      <c r="K397" s="203"/>
      <c r="L397" s="204"/>
      <c r="M397" s="167"/>
      <c r="N397" s="167"/>
      <c r="O397" s="460"/>
      <c r="P397" s="460"/>
    </row>
    <row r="398" spans="2:17" ht="4" hidden="1" customHeight="1" thickBot="1">
      <c r="B398" s="399"/>
      <c r="C398" s="386"/>
      <c r="D398" s="386"/>
      <c r="E398" s="386"/>
      <c r="F398" s="386"/>
      <c r="G398" s="386"/>
      <c r="H398" s="386"/>
      <c r="I398" s="386"/>
      <c r="J398" s="386"/>
      <c r="K398" s="386"/>
      <c r="L398" s="425"/>
      <c r="M398" s="600"/>
      <c r="O398" s="460"/>
      <c r="Q398" s="459"/>
    </row>
    <row r="399" spans="2:17" ht="14.5" hidden="1" customHeight="1">
      <c r="B399" s="400"/>
      <c r="C399" s="615" t="s">
        <v>465</v>
      </c>
      <c r="D399" s="303"/>
      <c r="E399" s="747"/>
      <c r="F399" s="747"/>
      <c r="G399" s="747"/>
      <c r="H399" s="747"/>
      <c r="I399" s="747"/>
      <c r="J399" s="747"/>
      <c r="K399" s="747"/>
      <c r="L399" s="408"/>
      <c r="M399" s="600"/>
      <c r="O399" s="460"/>
      <c r="Q399" s="459"/>
    </row>
    <row r="400" spans="2:17" ht="4" hidden="1" customHeight="1">
      <c r="B400" s="400"/>
      <c r="C400" s="615"/>
      <c r="D400" s="303"/>
      <c r="E400" s="748"/>
      <c r="F400" s="748"/>
      <c r="G400" s="748"/>
      <c r="H400" s="748"/>
      <c r="I400" s="748"/>
      <c r="J400" s="748"/>
      <c r="K400" s="748"/>
      <c r="L400" s="408"/>
      <c r="M400" s="600"/>
      <c r="O400" s="460"/>
      <c r="Q400" s="459"/>
    </row>
    <row r="401" spans="2:17" ht="14.5" hidden="1" customHeight="1">
      <c r="B401" s="400"/>
      <c r="C401" s="401"/>
      <c r="D401" s="622"/>
      <c r="E401" s="415"/>
      <c r="F401" s="415"/>
      <c r="G401" s="415"/>
      <c r="H401" s="382"/>
      <c r="I401" s="382"/>
      <c r="J401" s="382"/>
      <c r="K401" s="429"/>
      <c r="L401" s="408"/>
      <c r="M401" s="600"/>
      <c r="O401" s="460"/>
      <c r="Q401" s="459"/>
    </row>
    <row r="402" spans="2:17" ht="14.5" hidden="1" customHeight="1">
      <c r="B402" s="400"/>
      <c r="C402" s="402"/>
      <c r="D402" s="586" t="s">
        <v>329</v>
      </c>
      <c r="E402" s="586"/>
      <c r="F402" s="586"/>
      <c r="G402" s="586"/>
      <c r="H402" s="587" t="str">
        <f>H$270</f>
        <v>100k - 199k</v>
      </c>
      <c r="I402" s="587" t="str">
        <f>I$270</f>
        <v>200k - 499k</v>
      </c>
      <c r="J402" s="587" t="str">
        <f>J$270</f>
        <v>500k - 799k</v>
      </c>
      <c r="K402" s="601" t="str">
        <f>K$270</f>
        <v>800k and above</v>
      </c>
      <c r="L402" s="408"/>
      <c r="M402" s="600"/>
      <c r="O402" s="460"/>
      <c r="Q402" s="459"/>
    </row>
    <row r="403" spans="2:17" ht="14.5" hidden="1" customHeight="1">
      <c r="B403" s="400"/>
      <c r="C403" s="402"/>
      <c r="D403" s="615" t="s">
        <v>331</v>
      </c>
      <c r="E403" s="403"/>
      <c r="F403" s="403"/>
      <c r="G403" s="403"/>
      <c r="H403" s="291"/>
      <c r="I403" s="291"/>
      <c r="J403" s="291"/>
      <c r="K403" s="430"/>
      <c r="L403" s="408"/>
      <c r="M403" s="600"/>
      <c r="Q403" s="459"/>
    </row>
    <row r="404" spans="2:17" ht="14.5" hidden="1" customHeight="1">
      <c r="B404" s="400"/>
      <c r="C404" s="402"/>
      <c r="D404" s="335" t="s">
        <v>332</v>
      </c>
      <c r="E404" s="303"/>
      <c r="F404" s="303"/>
      <c r="G404" s="303"/>
      <c r="H404" s="291">
        <f>'MBL Renewal By Band'!D$204</f>
        <v>31010.586584175682</v>
      </c>
      <c r="I404" s="291">
        <f>'MBL Renewal By Band'!E$204</f>
        <v>109039.52650733766</v>
      </c>
      <c r="J404" s="291">
        <f>'MBL Renewal By Band'!F$204</f>
        <v>250312.64766967669</v>
      </c>
      <c r="K404" s="405">
        <f>'MBL Renewal By Band'!G$204</f>
        <v>738796.74316706718</v>
      </c>
      <c r="L404" s="408"/>
      <c r="M404" s="600"/>
      <c r="Q404" s="459"/>
    </row>
    <row r="405" spans="2:17" ht="14.5" hidden="1" customHeight="1">
      <c r="B405" s="400"/>
      <c r="C405" s="402"/>
      <c r="D405" s="335" t="s">
        <v>333</v>
      </c>
      <c r="E405" s="303"/>
      <c r="F405" s="303"/>
      <c r="G405" s="303"/>
      <c r="H405" s="291">
        <f>'MBL Renewal By Band'!D$208</f>
        <v>16580.586584175682</v>
      </c>
      <c r="I405" s="291">
        <f>'MBL Renewal By Band'!E$208</f>
        <v>75739.526507337665</v>
      </c>
      <c r="J405" s="291">
        <f>'MBL Renewal By Band'!F$208</f>
        <v>187042.64766967669</v>
      </c>
      <c r="K405" s="405">
        <f>'MBL Renewal By Band'!G$208</f>
        <v>516796.74316706718</v>
      </c>
      <c r="L405" s="408"/>
      <c r="M405" s="600"/>
      <c r="Q405" s="459"/>
    </row>
    <row r="406" spans="2:17" ht="14.5" hidden="1" customHeight="1">
      <c r="B406" s="400"/>
      <c r="C406" s="402"/>
      <c r="D406" s="335" t="s">
        <v>356</v>
      </c>
      <c r="E406" s="303"/>
      <c r="F406" s="303"/>
      <c r="G406" s="303"/>
      <c r="H406" s="416">
        <f>'MBL Renewal By Band'!D$210</f>
        <v>0.23854297372442831</v>
      </c>
      <c r="I406" s="416">
        <f>'MBL Renewal By Band'!E$210</f>
        <v>0.36346508835779223</v>
      </c>
      <c r="J406" s="416">
        <f>'MBL Renewal By Band'!F$210</f>
        <v>0.43914499591171352</v>
      </c>
      <c r="K406" s="417">
        <f>'MBL Renewal By Band'!G$210</f>
        <v>0.36939837158353361</v>
      </c>
      <c r="L406" s="408"/>
      <c r="M406" s="600"/>
      <c r="Q406" s="459"/>
    </row>
    <row r="407" spans="2:17" ht="14.5" hidden="1" customHeight="1">
      <c r="B407" s="400"/>
      <c r="C407" s="402"/>
      <c r="D407" s="335" t="s">
        <v>357</v>
      </c>
      <c r="E407" s="303"/>
      <c r="F407" s="303"/>
      <c r="G407" s="303"/>
      <c r="H407" s="416">
        <f>'MBL Renewal By Band'!D$211</f>
        <v>0.12754297372442833</v>
      </c>
      <c r="I407" s="416">
        <f>'MBL Renewal By Band'!E$211</f>
        <v>0.25246508835779219</v>
      </c>
      <c r="J407" s="416">
        <f>'MBL Renewal By Band'!F$211</f>
        <v>0.32814499591171348</v>
      </c>
      <c r="K407" s="417">
        <f>'MBL Renewal By Band'!G$211</f>
        <v>0.25839837158353357</v>
      </c>
      <c r="L407" s="408"/>
      <c r="M407" s="600"/>
      <c r="Q407" s="459"/>
    </row>
    <row r="408" spans="2:17" ht="14.5" hidden="1" customHeight="1">
      <c r="B408" s="400"/>
      <c r="C408" s="402"/>
      <c r="D408" s="303"/>
      <c r="E408" s="303"/>
      <c r="F408" s="303"/>
      <c r="G408" s="303"/>
      <c r="H408" s="291"/>
      <c r="I408" s="291"/>
      <c r="J408" s="291"/>
      <c r="K408" s="430"/>
      <c r="L408" s="408"/>
      <c r="M408" s="600"/>
      <c r="Q408" s="459"/>
    </row>
    <row r="409" spans="2:17" ht="14.5" hidden="1" customHeight="1">
      <c r="B409" s="400"/>
      <c r="C409" s="402"/>
      <c r="D409" s="591" t="s">
        <v>1</v>
      </c>
      <c r="E409" s="335"/>
      <c r="F409" s="335"/>
      <c r="G409" s="335"/>
      <c r="H409" s="291"/>
      <c r="I409" s="291"/>
      <c r="J409" s="291"/>
      <c r="K409" s="430"/>
      <c r="L409" s="408"/>
      <c r="M409" s="600"/>
      <c r="Q409" s="459"/>
    </row>
    <row r="410" spans="2:17" ht="14.5" hidden="1" customHeight="1">
      <c r="B410" s="400"/>
      <c r="C410" s="402"/>
      <c r="D410" s="303" t="s">
        <v>14</v>
      </c>
      <c r="E410" s="303"/>
      <c r="F410" s="303"/>
      <c r="G410" s="303"/>
      <c r="H410" s="604">
        <v>130000</v>
      </c>
      <c r="I410" s="604">
        <v>300000</v>
      </c>
      <c r="J410" s="604">
        <v>570000</v>
      </c>
      <c r="K410" s="605">
        <v>2000000</v>
      </c>
      <c r="L410" s="408"/>
      <c r="M410" s="600"/>
      <c r="Q410" s="459"/>
    </row>
    <row r="411" spans="2:17" ht="14.5" hidden="1" customHeight="1">
      <c r="B411" s="400"/>
      <c r="C411" s="402"/>
      <c r="D411" s="303" t="s">
        <v>13</v>
      </c>
      <c r="E411" s="303"/>
      <c r="F411" s="303"/>
      <c r="G411" s="303"/>
      <c r="H411" s="604">
        <v>1</v>
      </c>
      <c r="I411" s="604">
        <v>1</v>
      </c>
      <c r="J411" s="604">
        <v>1</v>
      </c>
      <c r="K411" s="605">
        <v>1</v>
      </c>
      <c r="L411" s="408"/>
      <c r="M411" s="600"/>
      <c r="Q411" s="459"/>
    </row>
    <row r="412" spans="2:17" ht="14.5" hidden="1" customHeight="1">
      <c r="B412" s="400"/>
      <c r="C412" s="402"/>
      <c r="D412" s="303" t="s">
        <v>358</v>
      </c>
      <c r="E412" s="303"/>
      <c r="F412" s="303"/>
      <c r="G412" s="303"/>
      <c r="H412" s="631">
        <v>0.76595744680851063</v>
      </c>
      <c r="I412" s="631">
        <v>0.77070063694267521</v>
      </c>
      <c r="J412" s="631">
        <v>0.8571428571428571</v>
      </c>
      <c r="K412" s="632">
        <v>0.76666666666666672</v>
      </c>
      <c r="L412" s="408"/>
      <c r="M412" s="600"/>
      <c r="Q412" s="459"/>
    </row>
    <row r="413" spans="2:17" ht="14.5" hidden="1" customHeight="1">
      <c r="B413" s="400"/>
      <c r="C413" s="402"/>
      <c r="D413" s="303" t="s">
        <v>367</v>
      </c>
      <c r="E413" s="303"/>
      <c r="F413" s="303"/>
      <c r="G413" s="303"/>
      <c r="H413" s="406">
        <f>Assumption_Sheet!B383</f>
        <v>0.15340829730399994</v>
      </c>
      <c r="I413" s="406">
        <f>Assumption_Sheet!C383</f>
        <v>0.11925891596425461</v>
      </c>
      <c r="J413" s="406">
        <f>Assumption_Sheet!D383</f>
        <v>0.11384400795104616</v>
      </c>
      <c r="K413" s="406">
        <f>Assumption_Sheet!E383</f>
        <v>9.8510687294957003E-2</v>
      </c>
      <c r="L413" s="408"/>
      <c r="M413" s="600"/>
      <c r="Q413" s="459"/>
    </row>
    <row r="414" spans="2:17" ht="14.5" hidden="1" customHeight="1">
      <c r="B414" s="400"/>
      <c r="C414" s="402"/>
      <c r="D414" s="467" t="s">
        <v>9</v>
      </c>
      <c r="E414" s="303"/>
      <c r="F414" s="303"/>
      <c r="G414" s="303"/>
      <c r="H414" s="602">
        <f t="shared" ref="H414:J414" si="31">H283</f>
        <v>0.1</v>
      </c>
      <c r="I414" s="602">
        <f t="shared" si="31"/>
        <v>7.6961160451769858E-2</v>
      </c>
      <c r="J414" s="602">
        <f t="shared" si="31"/>
        <v>7.2999999999999995E-2</v>
      </c>
      <c r="K414" s="602">
        <f>K283</f>
        <v>6.2E-2</v>
      </c>
      <c r="L414" s="261"/>
      <c r="M414" s="555" t="s">
        <v>468</v>
      </c>
      <c r="N414" s="557"/>
      <c r="Q414" s="459"/>
    </row>
    <row r="415" spans="2:17" ht="14.5" hidden="1" customHeight="1">
      <c r="B415" s="400"/>
      <c r="C415" s="402"/>
      <c r="D415" s="420" t="s">
        <v>8</v>
      </c>
      <c r="E415" s="420"/>
      <c r="F415" s="420"/>
      <c r="G415" s="420"/>
      <c r="H415" s="267">
        <v>0.1797</v>
      </c>
      <c r="I415" s="267">
        <v>0.16589999999999999</v>
      </c>
      <c r="J415" s="267">
        <v>0.1106</v>
      </c>
      <c r="K415" s="268">
        <v>9.4899999999999998E-2</v>
      </c>
      <c r="L415" s="408"/>
      <c r="M415" s="600"/>
      <c r="Q415" s="459"/>
    </row>
    <row r="416" spans="2:17" ht="14.5" hidden="1" customHeight="1">
      <c r="B416" s="400"/>
      <c r="C416" s="402"/>
      <c r="D416" s="420" t="s">
        <v>9</v>
      </c>
      <c r="E416" s="420"/>
      <c r="F416" s="420"/>
      <c r="G416" s="420"/>
      <c r="H416" s="257">
        <v>0.11899999999999999</v>
      </c>
      <c r="I416" s="257">
        <v>0.109</v>
      </c>
      <c r="J416" s="257">
        <v>7.0099999999999996E-2</v>
      </c>
      <c r="K416" s="269">
        <v>5.9499999999999997E-2</v>
      </c>
      <c r="L416" s="408"/>
      <c r="M416" s="600"/>
      <c r="Q416" s="459"/>
    </row>
    <row r="417" spans="1:17" ht="14.5" hidden="1" customHeight="1">
      <c r="B417" s="400"/>
      <c r="C417" s="402"/>
      <c r="D417" s="303" t="s">
        <v>10</v>
      </c>
      <c r="E417" s="303"/>
      <c r="F417" s="303"/>
      <c r="G417" s="303"/>
      <c r="H417" s="603">
        <v>6</v>
      </c>
      <c r="I417" s="603">
        <v>11</v>
      </c>
      <c r="J417" s="603">
        <v>11</v>
      </c>
      <c r="K417" s="603">
        <v>11</v>
      </c>
      <c r="L417" s="408"/>
      <c r="M417" s="600"/>
      <c r="Q417" s="459"/>
    </row>
    <row r="418" spans="1:17" ht="14.5" hidden="1" customHeight="1">
      <c r="B418" s="400"/>
      <c r="C418" s="402"/>
      <c r="D418" s="303" t="s">
        <v>11</v>
      </c>
      <c r="E418" s="303"/>
      <c r="F418" s="303"/>
      <c r="G418" s="303"/>
      <c r="H418" s="406">
        <v>0.13500000000000001</v>
      </c>
      <c r="I418" s="406">
        <v>0.13500000000000001</v>
      </c>
      <c r="J418" s="406">
        <v>0.13500000000000001</v>
      </c>
      <c r="K418" s="406">
        <v>0.13500000000000001</v>
      </c>
      <c r="L418" s="408"/>
      <c r="M418" s="600"/>
      <c r="Q418" s="459"/>
    </row>
    <row r="419" spans="1:17" ht="14.5" hidden="1" customHeight="1">
      <c r="B419" s="400"/>
      <c r="C419" s="402"/>
      <c r="D419" s="303" t="s">
        <v>12</v>
      </c>
      <c r="E419" s="303"/>
      <c r="F419" s="303"/>
      <c r="G419" s="303"/>
      <c r="H419" s="633">
        <f t="shared" ref="H419:J419" si="32">H420*$L419</f>
        <v>0.20399999999999999</v>
      </c>
      <c r="I419" s="633">
        <f t="shared" si="32"/>
        <v>0.24099999999999999</v>
      </c>
      <c r="J419" s="633">
        <f t="shared" si="32"/>
        <v>0.13400000000000001</v>
      </c>
      <c r="K419" s="633">
        <f>K420*$L419</f>
        <v>0.113</v>
      </c>
      <c r="L419" s="431">
        <v>1</v>
      </c>
      <c r="M419" s="600"/>
      <c r="Q419" s="459"/>
    </row>
    <row r="420" spans="1:17" ht="14.5" hidden="1" customHeight="1">
      <c r="A420" s="210"/>
      <c r="B420" s="432"/>
      <c r="C420" s="461"/>
      <c r="D420" s="421" t="s">
        <v>363</v>
      </c>
      <c r="E420" s="421"/>
      <c r="F420" s="421"/>
      <c r="G420" s="421"/>
      <c r="H420" s="462">
        <v>0.20399999999999999</v>
      </c>
      <c r="I420" s="462">
        <v>0.24099999999999999</v>
      </c>
      <c r="J420" s="462">
        <v>0.13400000000000001</v>
      </c>
      <c r="K420" s="463">
        <v>0.113</v>
      </c>
      <c r="L420" s="635"/>
      <c r="M420" s="628"/>
      <c r="Q420" s="459"/>
    </row>
    <row r="421" spans="1:17" ht="15" hidden="1" customHeight="1" thickBot="1">
      <c r="A421" s="460"/>
      <c r="B421" s="457"/>
      <c r="C421" s="335"/>
      <c r="D421" s="335"/>
      <c r="E421" s="335"/>
      <c r="F421" s="335"/>
      <c r="G421" s="335"/>
      <c r="H421" s="470"/>
      <c r="I421" s="470"/>
      <c r="J421" s="470"/>
      <c r="K421" s="470"/>
      <c r="L421" s="458"/>
      <c r="M421" s="459"/>
      <c r="N421" s="464"/>
      <c r="Q421" s="459"/>
    </row>
    <row r="422" spans="1:17" ht="14.15" hidden="1" customHeight="1" thickBot="1">
      <c r="B422" s="624" t="s">
        <v>339</v>
      </c>
      <c r="C422" s="610"/>
      <c r="D422" s="411"/>
      <c r="E422" s="411"/>
      <c r="F422" s="412"/>
      <c r="G422" s="412"/>
      <c r="H422" s="412"/>
      <c r="I422" s="412"/>
      <c r="J422" s="411"/>
      <c r="K422" s="411"/>
      <c r="L422" s="413"/>
      <c r="M422" s="600"/>
      <c r="Q422" s="273"/>
    </row>
    <row r="423" spans="1:17" ht="5.15" hidden="1" customHeight="1" outlineLevel="1">
      <c r="B423" s="400"/>
      <c r="C423" s="303"/>
      <c r="D423" s="303"/>
      <c r="E423" s="303"/>
      <c r="F423" s="292"/>
      <c r="G423" s="292"/>
      <c r="H423" s="292"/>
      <c r="I423" s="292"/>
      <c r="J423" s="303"/>
      <c r="K423" s="303"/>
      <c r="L423" s="623"/>
      <c r="M423" s="600"/>
      <c r="Q423" s="273"/>
    </row>
    <row r="424" spans="1:17" ht="14.15" hidden="1" customHeight="1" outlineLevel="1">
      <c r="B424" s="400"/>
      <c r="C424" s="612" t="s">
        <v>340</v>
      </c>
      <c r="D424" s="611"/>
      <c r="E424" s="303"/>
      <c r="F424" s="292"/>
      <c r="G424" s="292"/>
      <c r="H424" s="292"/>
      <c r="I424" s="292"/>
      <c r="J424" s="303"/>
      <c r="K424" s="303"/>
      <c r="L424" s="623"/>
      <c r="M424" s="600"/>
      <c r="Q424" s="273"/>
    </row>
    <row r="425" spans="1:17" ht="4" hidden="1" customHeight="1" outlineLevel="1">
      <c r="B425" s="400"/>
      <c r="C425" s="303"/>
      <c r="D425" s="611"/>
      <c r="E425" s="303"/>
      <c r="F425" s="292"/>
      <c r="G425" s="292"/>
      <c r="H425" s="292"/>
      <c r="I425" s="292"/>
      <c r="J425" s="303"/>
      <c r="K425" s="303"/>
      <c r="L425" s="623"/>
      <c r="M425" s="600"/>
      <c r="Q425" s="273"/>
    </row>
    <row r="426" spans="1:17" ht="14.15" hidden="1" customHeight="1" outlineLevel="1">
      <c r="B426" s="400"/>
      <c r="C426" s="303"/>
      <c r="D426" s="614" t="s">
        <v>47</v>
      </c>
      <c r="E426" s="305"/>
      <c r="F426" s="410"/>
      <c r="G426" s="410"/>
      <c r="H426" s="410"/>
      <c r="I426" s="410"/>
      <c r="J426" s="305"/>
      <c r="K426" s="305"/>
      <c r="L426" s="623"/>
      <c r="M426" s="600"/>
      <c r="Q426" s="273"/>
    </row>
    <row r="427" spans="1:17" ht="14.15" hidden="1" customHeight="1" outlineLevel="1">
      <c r="B427" s="400"/>
      <c r="C427" s="303"/>
      <c r="D427" s="607" t="s">
        <v>37</v>
      </c>
      <c r="E427" s="303"/>
      <c r="F427" s="608"/>
      <c r="G427" s="608"/>
      <c r="H427" s="608">
        <f>-'MBL Renewal By Band'!D$170/'MBL Renewal By Band'!D$11</f>
        <v>4.3410014309576493E-2</v>
      </c>
      <c r="I427" s="608">
        <f>-'MBL Renewal By Band'!E$170/'MBL Renewal By Band'!E$11</f>
        <v>7.8293839796479858E-2</v>
      </c>
      <c r="J427" s="608">
        <f>-'MBL Renewal By Band'!F$170/'MBL Renewal By Band'!F$11</f>
        <v>7.7884950462555308E-2</v>
      </c>
      <c r="K427" s="608">
        <f>-'MBL Renewal By Band'!G$170/'MBL Renewal By Band'!G$11</f>
        <v>7.6616147546915661E-2</v>
      </c>
      <c r="L427" s="623"/>
      <c r="M427" s="600"/>
      <c r="Q427" s="273"/>
    </row>
    <row r="428" spans="1:17" ht="14.15" hidden="1" customHeight="1" outlineLevel="1">
      <c r="B428" s="400"/>
      <c r="C428" s="303"/>
      <c r="D428" s="607" t="s">
        <v>341</v>
      </c>
      <c r="E428" s="303"/>
      <c r="F428" s="608"/>
      <c r="G428" s="608"/>
      <c r="H428" s="608">
        <f>-SUM('MBL Renewal By Band'!D$172:D$174)/'MBL Renewal By Band'!D$11</f>
        <v>1.2472773076921607E-2</v>
      </c>
      <c r="I428" s="608">
        <f>-SUM('MBL Renewal By Band'!E$172:E$174)/'MBL Renewal By Band'!E$11</f>
        <v>1.3426433333333349E-2</v>
      </c>
      <c r="J428" s="608">
        <f>-SUM('MBL Renewal By Band'!F$172:F$174)/'MBL Renewal By Band'!F$11</f>
        <v>1.4959913859649118E-2</v>
      </c>
      <c r="K428" s="608">
        <f>-SUM('MBL Renewal By Band'!G$172:G$174)/'MBL Renewal By Band'!G$11</f>
        <v>1.013825E-2</v>
      </c>
      <c r="L428" s="623"/>
      <c r="M428" s="600"/>
      <c r="Q428" s="273"/>
    </row>
    <row r="429" spans="1:17" ht="14.15" hidden="1" customHeight="1" outlineLevel="1">
      <c r="B429" s="400"/>
      <c r="C429" s="303"/>
      <c r="D429" s="617" t="s">
        <v>342</v>
      </c>
      <c r="E429" s="617"/>
      <c r="F429" s="617"/>
      <c r="G429" s="617"/>
      <c r="H429" s="617">
        <f>SUM(H427:H428)</f>
        <v>5.5882787386498101E-2</v>
      </c>
      <c r="I429" s="617">
        <f>SUM(I427:I428)</f>
        <v>9.1720273129813207E-2</v>
      </c>
      <c r="J429" s="617">
        <f>SUM(J427:J428)</f>
        <v>9.2844864322204429E-2</v>
      </c>
      <c r="K429" s="617">
        <f>SUM(K427:K428)</f>
        <v>8.6754397546915663E-2</v>
      </c>
      <c r="L429" s="625"/>
      <c r="M429" s="600"/>
      <c r="Q429" s="273"/>
    </row>
    <row r="430" spans="1:17" ht="4" hidden="1" customHeight="1" outlineLevel="1">
      <c r="B430" s="400"/>
      <c r="C430" s="303"/>
      <c r="D430" s="303"/>
      <c r="E430" s="303"/>
      <c r="F430" s="609"/>
      <c r="G430" s="609"/>
      <c r="H430" s="609"/>
      <c r="I430" s="609"/>
      <c r="J430" s="606"/>
      <c r="K430" s="606"/>
      <c r="L430" s="623"/>
      <c r="M430" s="600"/>
      <c r="Q430" s="273"/>
    </row>
    <row r="431" spans="1:17" ht="14.15" hidden="1" customHeight="1" outlineLevel="1">
      <c r="B431" s="400"/>
      <c r="C431" s="303"/>
      <c r="D431" s="614" t="s">
        <v>343</v>
      </c>
      <c r="E431" s="305"/>
      <c r="F431" s="410"/>
      <c r="G431" s="410"/>
      <c r="H431" s="410"/>
      <c r="I431" s="410"/>
      <c r="J431" s="305"/>
      <c r="K431" s="305"/>
      <c r="L431" s="623"/>
      <c r="M431" s="600"/>
      <c r="Q431" s="273"/>
    </row>
    <row r="432" spans="1:17" ht="14.15" hidden="1" customHeight="1" outlineLevel="1">
      <c r="B432" s="400"/>
      <c r="C432" s="303"/>
      <c r="D432" s="607" t="s">
        <v>52</v>
      </c>
      <c r="E432" s="303"/>
      <c r="F432" s="608"/>
      <c r="G432" s="608"/>
      <c r="H432" s="608" t="e">
        <f>-'MBL Renewal By Band'!#REF!/'MBL Renewal By Band'!D$11</f>
        <v>#REF!</v>
      </c>
      <c r="I432" s="608" t="e">
        <f>-'MBL Renewal By Band'!#REF!/'MBL Renewal By Band'!E$11</f>
        <v>#REF!</v>
      </c>
      <c r="J432" s="608" t="e">
        <f>-'MBL Renewal By Band'!#REF!/'MBL Renewal By Band'!F$11</f>
        <v>#REF!</v>
      </c>
      <c r="K432" s="608" t="e">
        <f>-'MBL Renewal By Band'!#REF!/'MBL Renewal By Band'!G$11</f>
        <v>#REF!</v>
      </c>
      <c r="L432" s="625"/>
      <c r="M432" s="600"/>
      <c r="Q432" s="273"/>
    </row>
    <row r="433" spans="2:17" ht="14.15" hidden="1" customHeight="1" outlineLevel="1">
      <c r="B433" s="400"/>
      <c r="C433" s="303"/>
      <c r="D433" s="607" t="s">
        <v>53</v>
      </c>
      <c r="E433" s="303"/>
      <c r="F433" s="608"/>
      <c r="G433" s="608"/>
      <c r="H433" s="608" t="e">
        <f>-'MBL Renewal By Band'!#REF!/'MBL Renewal By Band'!D$11</f>
        <v>#REF!</v>
      </c>
      <c r="I433" s="608" t="e">
        <f>-'MBL Renewal By Band'!#REF!/'MBL Renewal By Band'!E$11</f>
        <v>#REF!</v>
      </c>
      <c r="J433" s="608" t="e">
        <f>-'MBL Renewal By Band'!#REF!/'MBL Renewal By Band'!F$11</f>
        <v>#REF!</v>
      </c>
      <c r="K433" s="608" t="e">
        <f>-'MBL Renewal By Band'!#REF!/'MBL Renewal By Band'!G$11</f>
        <v>#REF!</v>
      </c>
      <c r="L433" s="625"/>
      <c r="M433" s="600"/>
      <c r="Q433" s="273"/>
    </row>
    <row r="434" spans="2:17" ht="14.15" hidden="1" customHeight="1" outlineLevel="1">
      <c r="B434" s="400"/>
      <c r="C434" s="303"/>
      <c r="D434" s="607" t="s">
        <v>54</v>
      </c>
      <c r="E434" s="303"/>
      <c r="F434" s="608"/>
      <c r="G434" s="608"/>
      <c r="H434" s="608" t="e">
        <f>-'MBL Renewal By Band'!#REF!/'MBL Renewal By Band'!D$11</f>
        <v>#REF!</v>
      </c>
      <c r="I434" s="608" t="e">
        <f>-'MBL Renewal By Band'!#REF!/'MBL Renewal By Band'!E$11</f>
        <v>#REF!</v>
      </c>
      <c r="J434" s="608" t="e">
        <f>-'MBL Renewal By Band'!#REF!/'MBL Renewal By Band'!F$11</f>
        <v>#REF!</v>
      </c>
      <c r="K434" s="608" t="e">
        <f>-'MBL Renewal By Band'!#REF!/'MBL Renewal By Band'!G$11</f>
        <v>#REF!</v>
      </c>
      <c r="L434" s="625"/>
      <c r="M434" s="600"/>
    </row>
    <row r="435" spans="2:17" ht="14.15" hidden="1" customHeight="1" outlineLevel="1">
      <c r="B435" s="400"/>
      <c r="C435" s="303"/>
      <c r="D435" s="607" t="s">
        <v>55</v>
      </c>
      <c r="E435" s="303"/>
      <c r="F435" s="608"/>
      <c r="G435" s="608"/>
      <c r="H435" s="608" t="e">
        <f>-'MBL Renewal By Band'!#REF!/'MBL Renewal By Band'!D$11</f>
        <v>#REF!</v>
      </c>
      <c r="I435" s="608" t="e">
        <f>-'MBL Renewal By Band'!#REF!/'MBL Renewal By Band'!E$11</f>
        <v>#REF!</v>
      </c>
      <c r="J435" s="608" t="e">
        <f>-'MBL Renewal By Band'!#REF!/'MBL Renewal By Band'!F$11</f>
        <v>#REF!</v>
      </c>
      <c r="K435" s="608" t="e">
        <f>-'MBL Renewal By Band'!#REF!/'MBL Renewal By Band'!G$11</f>
        <v>#REF!</v>
      </c>
      <c r="L435" s="625"/>
      <c r="M435" s="600"/>
    </row>
    <row r="436" spans="2:17" ht="14.15" hidden="1" customHeight="1" outlineLevel="1">
      <c r="B436" s="400"/>
      <c r="C436" s="303"/>
      <c r="D436" s="607" t="s">
        <v>56</v>
      </c>
      <c r="E436" s="303"/>
      <c r="F436" s="608"/>
      <c r="G436" s="608"/>
      <c r="H436" s="608">
        <f>-'MBL Renewal By Band'!D245/'MBL Renewal By Band'!D$11</f>
        <v>0</v>
      </c>
      <c r="I436" s="608">
        <f>-'MBL Renewal By Band'!E245/'MBL Renewal By Band'!E$11</f>
        <v>0</v>
      </c>
      <c r="J436" s="608">
        <f>-'MBL Renewal By Band'!F245/'MBL Renewal By Band'!F$11</f>
        <v>0</v>
      </c>
      <c r="K436" s="616">
        <f>-'MBL Renewal By Band'!G245/'MBL Renewal By Band'!G$11</f>
        <v>0</v>
      </c>
      <c r="L436" s="625"/>
      <c r="M436" s="600"/>
    </row>
    <row r="437" spans="2:17" ht="14.15" hidden="1" customHeight="1" outlineLevel="1">
      <c r="B437" s="400"/>
      <c r="C437" s="303"/>
      <c r="D437" s="607" t="s">
        <v>57</v>
      </c>
      <c r="E437" s="303"/>
      <c r="F437" s="608"/>
      <c r="G437" s="608"/>
      <c r="H437" s="608">
        <f>-'MBL Renewal By Band'!D246/'MBL Renewal By Band'!D$11</f>
        <v>0</v>
      </c>
      <c r="I437" s="608">
        <f>-'MBL Renewal By Band'!E246/'MBL Renewal By Band'!E$11</f>
        <v>0</v>
      </c>
      <c r="J437" s="608">
        <f>-'MBL Renewal By Band'!F246/'MBL Renewal By Band'!F$11</f>
        <v>0</v>
      </c>
      <c r="K437" s="616">
        <f>-'MBL Renewal By Band'!G246/'MBL Renewal By Band'!G$11</f>
        <v>0</v>
      </c>
      <c r="L437" s="625"/>
      <c r="M437" s="600"/>
    </row>
    <row r="438" spans="2:17" ht="14.15" hidden="1" customHeight="1" outlineLevel="1">
      <c r="B438" s="400"/>
      <c r="C438" s="303"/>
      <c r="D438" s="607" t="s">
        <v>58</v>
      </c>
      <c r="E438" s="303"/>
      <c r="F438" s="608"/>
      <c r="G438" s="608"/>
      <c r="H438" s="608">
        <f>-'MBL Renewal By Band'!D247/'MBL Renewal By Band'!D$11</f>
        <v>0</v>
      </c>
      <c r="I438" s="608">
        <f>-'MBL Renewal By Band'!E247/'MBL Renewal By Band'!E$11</f>
        <v>0</v>
      </c>
      <c r="J438" s="608">
        <f>-'MBL Renewal By Band'!F247/'MBL Renewal By Band'!F$11</f>
        <v>0</v>
      </c>
      <c r="K438" s="616">
        <f>-'MBL Renewal By Band'!G247/'MBL Renewal By Band'!G$11</f>
        <v>0</v>
      </c>
      <c r="L438" s="625"/>
      <c r="M438" s="600"/>
    </row>
    <row r="439" spans="2:17" ht="14.15" hidden="1" customHeight="1" outlineLevel="1">
      <c r="B439" s="400"/>
      <c r="C439" s="303"/>
      <c r="D439" s="607" t="s">
        <v>59</v>
      </c>
      <c r="E439" s="303"/>
      <c r="F439" s="608"/>
      <c r="G439" s="608"/>
      <c r="H439" s="608" t="e">
        <f>-'MBL Renewal By Band'!#REF!/'MBL Renewal By Band'!D$11</f>
        <v>#REF!</v>
      </c>
      <c r="I439" s="608" t="e">
        <f>-'MBL Renewal By Band'!#REF!/'MBL Renewal By Band'!E$11</f>
        <v>#REF!</v>
      </c>
      <c r="J439" s="608" t="e">
        <f>-'MBL Renewal By Band'!#REF!/'MBL Renewal By Band'!F$11</f>
        <v>#REF!</v>
      </c>
      <c r="K439" s="608" t="e">
        <f>-'MBL Renewal By Band'!#REF!/'MBL Renewal By Band'!G$11</f>
        <v>#REF!</v>
      </c>
      <c r="L439" s="625"/>
      <c r="M439" s="600"/>
    </row>
    <row r="440" spans="2:17" ht="14.15" hidden="1" customHeight="1" outlineLevel="1">
      <c r="B440" s="400"/>
      <c r="C440" s="303"/>
      <c r="D440" s="607" t="s">
        <v>344</v>
      </c>
      <c r="E440" s="303"/>
      <c r="F440" s="608"/>
      <c r="G440" s="608"/>
      <c r="H440" s="608" t="e">
        <f>-SUM('MBL Renewal By Band'!#REF!)/'MBL Renewal By Band'!D$11</f>
        <v>#REF!</v>
      </c>
      <c r="I440" s="608" t="e">
        <f>-SUM('MBL Renewal By Band'!#REF!)/'MBL Renewal By Band'!E$11</f>
        <v>#REF!</v>
      </c>
      <c r="J440" s="608" t="e">
        <f>-SUM('MBL Renewal By Band'!#REF!)/'MBL Renewal By Band'!F$11</f>
        <v>#REF!</v>
      </c>
      <c r="K440" s="608" t="e">
        <f>-SUM('MBL Renewal By Band'!#REF!)/'MBL Renewal By Band'!G$11</f>
        <v>#REF!</v>
      </c>
      <c r="L440" s="625"/>
      <c r="M440" s="600"/>
    </row>
    <row r="441" spans="2:17" ht="14.15" hidden="1" customHeight="1" outlineLevel="1">
      <c r="B441" s="400"/>
      <c r="C441" s="303"/>
      <c r="D441" s="617" t="s">
        <v>342</v>
      </c>
      <c r="E441" s="617"/>
      <c r="F441" s="617"/>
      <c r="G441" s="617"/>
      <c r="H441" s="617" t="e">
        <f>SUM(H432:H440)</f>
        <v>#REF!</v>
      </c>
      <c r="I441" s="617" t="e">
        <f>SUM(I432:I440)</f>
        <v>#REF!</v>
      </c>
      <c r="J441" s="617" t="e">
        <f>SUM(J432:J440)</f>
        <v>#REF!</v>
      </c>
      <c r="K441" s="617" t="e">
        <f>SUM(K432:K440)</f>
        <v>#REF!</v>
      </c>
      <c r="L441" s="625"/>
      <c r="M441" s="600"/>
    </row>
    <row r="442" spans="2:17" ht="4" hidden="1" customHeight="1" outlineLevel="1">
      <c r="B442" s="400"/>
      <c r="C442" s="303"/>
      <c r="D442" s="303"/>
      <c r="E442" s="303"/>
      <c r="F442" s="609"/>
      <c r="G442" s="609"/>
      <c r="H442" s="609"/>
      <c r="I442" s="609"/>
      <c r="J442" s="606"/>
      <c r="K442" s="606"/>
      <c r="L442" s="623"/>
      <c r="M442" s="600"/>
    </row>
    <row r="443" spans="2:17" ht="14.15" hidden="1" customHeight="1" outlineLevel="1">
      <c r="B443" s="400"/>
      <c r="C443" s="303"/>
      <c r="D443" s="614" t="s">
        <v>345</v>
      </c>
      <c r="E443" s="305"/>
      <c r="F443" s="410"/>
      <c r="G443" s="410"/>
      <c r="H443" s="410"/>
      <c r="I443" s="410"/>
      <c r="J443" s="305"/>
      <c r="K443" s="305"/>
      <c r="L443" s="623"/>
      <c r="M443" s="600"/>
    </row>
    <row r="444" spans="2:17" ht="14.15" hidden="1" customHeight="1" outlineLevel="1">
      <c r="B444" s="400"/>
      <c r="C444" s="303"/>
      <c r="D444" s="607" t="s">
        <v>66</v>
      </c>
      <c r="E444" s="303"/>
      <c r="F444" s="608"/>
      <c r="G444" s="608"/>
      <c r="H444" s="608" t="e">
        <f>-'MBL Renewal By Band'!#REF!/'MBL Renewal By Band'!D$11</f>
        <v>#REF!</v>
      </c>
      <c r="I444" s="608" t="e">
        <f>-'MBL Renewal By Band'!#REF!/'MBL Renewal By Band'!E$11</f>
        <v>#REF!</v>
      </c>
      <c r="J444" s="608" t="e">
        <f>-'MBL Renewal By Band'!#REF!/'MBL Renewal By Band'!F$11</f>
        <v>#REF!</v>
      </c>
      <c r="K444" s="608" t="e">
        <f>-'MBL Renewal By Band'!#REF!/'MBL Renewal By Band'!G$11</f>
        <v>#REF!</v>
      </c>
      <c r="L444" s="625"/>
      <c r="M444" s="600"/>
    </row>
    <row r="445" spans="2:17" ht="14.15" hidden="1" customHeight="1" outlineLevel="1">
      <c r="B445" s="400"/>
      <c r="C445" s="303"/>
      <c r="D445" s="607" t="s">
        <v>67</v>
      </c>
      <c r="E445" s="303"/>
      <c r="F445" s="608"/>
      <c r="G445" s="608"/>
      <c r="H445" s="608" t="e">
        <f>-'MBL Renewal By Band'!#REF!/'MBL Renewal By Band'!D$11</f>
        <v>#REF!</v>
      </c>
      <c r="I445" s="608" t="e">
        <f>-'MBL Renewal By Band'!#REF!/'MBL Renewal By Band'!E$11</f>
        <v>#REF!</v>
      </c>
      <c r="J445" s="608" t="e">
        <f>-'MBL Renewal By Band'!#REF!/'MBL Renewal By Band'!F$11</f>
        <v>#REF!</v>
      </c>
      <c r="K445" s="608" t="e">
        <f>-'MBL Renewal By Band'!#REF!/'MBL Renewal By Band'!G$11</f>
        <v>#REF!</v>
      </c>
      <c r="L445" s="625"/>
      <c r="M445" s="600"/>
    </row>
    <row r="446" spans="2:17" ht="14.15" hidden="1" customHeight="1" outlineLevel="1">
      <c r="B446" s="400"/>
      <c r="C446" s="303"/>
      <c r="D446" s="607" t="s">
        <v>68</v>
      </c>
      <c r="E446" s="303"/>
      <c r="F446" s="608"/>
      <c r="G446" s="608"/>
      <c r="H446" s="608">
        <f>-'MBL Renewal By Band'!D253/'MBL Renewal By Band'!D$11</f>
        <v>0</v>
      </c>
      <c r="I446" s="608">
        <f>-'MBL Renewal By Band'!E253/'MBL Renewal By Band'!E$11</f>
        <v>0</v>
      </c>
      <c r="J446" s="608">
        <f>-'MBL Renewal By Band'!F253/'MBL Renewal By Band'!F$11</f>
        <v>0</v>
      </c>
      <c r="K446" s="608">
        <f>-'MBL Renewal By Band'!G253/'MBL Renewal By Band'!G$11</f>
        <v>0</v>
      </c>
      <c r="L446" s="625"/>
      <c r="M446" s="167"/>
      <c r="N446" s="167"/>
      <c r="P446" s="460"/>
    </row>
    <row r="447" spans="2:17" ht="14.15" hidden="1" customHeight="1" outlineLevel="1">
      <c r="B447" s="400"/>
      <c r="C447" s="303"/>
      <c r="D447" s="617" t="s">
        <v>346</v>
      </c>
      <c r="E447" s="617"/>
      <c r="F447" s="617"/>
      <c r="G447" s="617"/>
      <c r="H447" s="617" t="e">
        <f>SUM(H444:H446)</f>
        <v>#REF!</v>
      </c>
      <c r="I447" s="617" t="e">
        <f>SUM(I444:I446)</f>
        <v>#REF!</v>
      </c>
      <c r="J447" s="617" t="e">
        <f>SUM(J444:J446)</f>
        <v>#REF!</v>
      </c>
      <c r="K447" s="617" t="e">
        <f>SUM(K444:K446)</f>
        <v>#REF!</v>
      </c>
      <c r="L447" s="625"/>
      <c r="M447" s="167"/>
      <c r="N447" s="167"/>
      <c r="P447" s="460"/>
    </row>
    <row r="448" spans="2:17" ht="4" hidden="1" customHeight="1" outlineLevel="1">
      <c r="B448" s="400"/>
      <c r="C448" s="303"/>
      <c r="D448" s="303"/>
      <c r="E448" s="303"/>
      <c r="F448" s="609"/>
      <c r="G448" s="609"/>
      <c r="H448" s="609"/>
      <c r="I448" s="609"/>
      <c r="J448" s="606"/>
      <c r="K448" s="606"/>
      <c r="L448" s="623"/>
      <c r="M448" s="167"/>
      <c r="N448" s="167"/>
      <c r="P448" s="460"/>
    </row>
    <row r="449" spans="2:16" ht="14.15" hidden="1" customHeight="1" outlineLevel="1">
      <c r="B449" s="400"/>
      <c r="C449" s="303"/>
      <c r="D449" s="614" t="s">
        <v>70</v>
      </c>
      <c r="E449" s="305"/>
      <c r="F449" s="410"/>
      <c r="G449" s="410"/>
      <c r="H449" s="410"/>
      <c r="I449" s="410"/>
      <c r="J449" s="305"/>
      <c r="K449" s="305"/>
      <c r="L449" s="623"/>
      <c r="M449" s="167"/>
      <c r="N449" s="167"/>
      <c r="P449" s="460"/>
    </row>
    <row r="450" spans="2:16" ht="14.15" hidden="1" customHeight="1" outlineLevel="1">
      <c r="B450" s="400"/>
      <c r="C450" s="303"/>
      <c r="D450" s="607" t="s">
        <v>347</v>
      </c>
      <c r="E450" s="303"/>
      <c r="F450" s="608"/>
      <c r="G450" s="608"/>
      <c r="H450" s="608">
        <f>-'MBL Renewal By Band'!D258/'MBL Renewal By Band'!D$11</f>
        <v>0</v>
      </c>
      <c r="I450" s="608">
        <f>-'MBL Renewal By Band'!E258/'MBL Renewal By Band'!E$11</f>
        <v>0</v>
      </c>
      <c r="J450" s="608">
        <f>-'MBL Renewal By Band'!F258/'MBL Renewal By Band'!F$11</f>
        <v>0</v>
      </c>
      <c r="K450" s="608">
        <f>-'MBL Renewal By Band'!G258/'MBL Renewal By Band'!G$11</f>
        <v>0</v>
      </c>
      <c r="L450" s="625"/>
      <c r="M450" s="167"/>
      <c r="N450" s="167"/>
      <c r="P450" s="460"/>
    </row>
    <row r="451" spans="2:16" ht="14.15" hidden="1" customHeight="1" outlineLevel="1">
      <c r="B451" s="400"/>
      <c r="C451" s="303"/>
      <c r="D451" s="607" t="s">
        <v>348</v>
      </c>
      <c r="E451" s="303"/>
      <c r="F451" s="608"/>
      <c r="G451" s="608"/>
      <c r="H451" s="608">
        <f>-'MBL Renewal By Band'!D259/'MBL Renewal By Band'!D$11</f>
        <v>0</v>
      </c>
      <c r="I451" s="608">
        <f>-'MBL Renewal By Band'!E259/'MBL Renewal By Band'!E$11</f>
        <v>0</v>
      </c>
      <c r="J451" s="608">
        <f>-'MBL Renewal By Band'!F259/'MBL Renewal By Band'!F$11</f>
        <v>0</v>
      </c>
      <c r="K451" s="608">
        <f>-'MBL Renewal By Band'!G259/'MBL Renewal By Band'!G$11</f>
        <v>0</v>
      </c>
      <c r="L451" s="625"/>
      <c r="M451" s="167"/>
      <c r="N451" s="167"/>
      <c r="O451" s="460"/>
      <c r="P451" s="460"/>
    </row>
    <row r="452" spans="2:16" ht="14.15" hidden="1" customHeight="1" outlineLevel="1">
      <c r="B452" s="400"/>
      <c r="C452" s="303"/>
      <c r="D452" s="607" t="s">
        <v>349</v>
      </c>
      <c r="E452" s="303"/>
      <c r="F452" s="608"/>
      <c r="G452" s="608"/>
      <c r="H452" s="608">
        <f>-'MBL Renewal By Band'!D260/'MBL Renewal By Band'!D$11</f>
        <v>0</v>
      </c>
      <c r="I452" s="608">
        <f>-'MBL Renewal By Band'!E260/'MBL Renewal By Band'!E$11</f>
        <v>0</v>
      </c>
      <c r="J452" s="608">
        <f>-'MBL Renewal By Band'!F260/'MBL Renewal By Band'!F$11</f>
        <v>0</v>
      </c>
      <c r="K452" s="608">
        <f>-'MBL Renewal By Band'!G260/'MBL Renewal By Band'!G$11</f>
        <v>0</v>
      </c>
      <c r="L452" s="625"/>
      <c r="M452" s="167"/>
      <c r="N452" s="167"/>
      <c r="O452" s="460"/>
      <c r="P452" s="460"/>
    </row>
    <row r="453" spans="2:16" ht="14.15" hidden="1" customHeight="1" outlineLevel="1">
      <c r="B453" s="400"/>
      <c r="C453" s="303"/>
      <c r="D453" s="607" t="s">
        <v>350</v>
      </c>
      <c r="E453" s="303"/>
      <c r="F453" s="608"/>
      <c r="G453" s="608"/>
      <c r="H453" s="608">
        <f>-'MBL Renewal By Band'!D261/'MBL Renewal By Band'!D$11</f>
        <v>0</v>
      </c>
      <c r="I453" s="608">
        <f>-'MBL Renewal By Band'!E261/'MBL Renewal By Band'!E$11</f>
        <v>0</v>
      </c>
      <c r="J453" s="608">
        <f>-'MBL Renewal By Band'!F261/'MBL Renewal By Band'!F$11</f>
        <v>0</v>
      </c>
      <c r="K453" s="608">
        <f>-'MBL Renewal By Band'!G261/'MBL Renewal By Band'!G$11</f>
        <v>0</v>
      </c>
      <c r="L453" s="625"/>
      <c r="M453" s="167"/>
      <c r="N453" s="167"/>
      <c r="O453" s="460"/>
      <c r="P453" s="460"/>
    </row>
    <row r="454" spans="2:16" ht="14.15" hidden="1" customHeight="1" outlineLevel="1">
      <c r="B454" s="400"/>
      <c r="C454" s="303"/>
      <c r="D454" s="607" t="s">
        <v>351</v>
      </c>
      <c r="E454" s="303"/>
      <c r="F454" s="608"/>
      <c r="G454" s="608"/>
      <c r="H454" s="608">
        <f>-'MBL Renewal By Band'!D262/'MBL Renewal By Band'!D$11</f>
        <v>0</v>
      </c>
      <c r="I454" s="608">
        <f>-'MBL Renewal By Band'!E262/'MBL Renewal By Band'!E$11</f>
        <v>0</v>
      </c>
      <c r="J454" s="608">
        <f>-'MBL Renewal By Band'!F262/'MBL Renewal By Band'!F$11</f>
        <v>0</v>
      </c>
      <c r="K454" s="608">
        <f>-'MBL Renewal By Band'!G262/'MBL Renewal By Band'!G$11</f>
        <v>0</v>
      </c>
      <c r="L454" s="625"/>
      <c r="M454" s="167"/>
      <c r="N454" s="167"/>
      <c r="O454" s="460"/>
      <c r="P454" s="460"/>
    </row>
    <row r="455" spans="2:16" ht="14.15" hidden="1" customHeight="1" outlineLevel="1">
      <c r="B455" s="400"/>
      <c r="C455" s="303"/>
      <c r="D455" s="617" t="s">
        <v>352</v>
      </c>
      <c r="E455" s="617"/>
      <c r="F455" s="617"/>
      <c r="G455" s="617"/>
      <c r="H455" s="617">
        <f>SUM(H450:H454)</f>
        <v>0</v>
      </c>
      <c r="I455" s="617">
        <f>SUM(I450:I454)</f>
        <v>0</v>
      </c>
      <c r="J455" s="617">
        <f>SUM(J450:J454)</f>
        <v>0</v>
      </c>
      <c r="K455" s="617">
        <f>SUM(K450:K454)</f>
        <v>0</v>
      </c>
      <c r="L455" s="625"/>
      <c r="M455" s="167"/>
      <c r="N455" s="167"/>
      <c r="O455" s="460"/>
      <c r="P455" s="460"/>
    </row>
    <row r="456" spans="2:16" ht="4" hidden="1" customHeight="1" outlineLevel="1">
      <c r="B456" s="400"/>
      <c r="C456" s="303"/>
      <c r="D456" s="303"/>
      <c r="E456" s="303"/>
      <c r="F456" s="609"/>
      <c r="G456" s="609"/>
      <c r="H456" s="609"/>
      <c r="I456" s="609"/>
      <c r="J456" s="606"/>
      <c r="K456" s="606"/>
      <c r="L456" s="623"/>
      <c r="M456" s="167"/>
      <c r="N456" s="167"/>
      <c r="O456" s="460"/>
      <c r="P456" s="460"/>
    </row>
    <row r="457" spans="2:16" ht="14.15" hidden="1" customHeight="1" outlineLevel="1">
      <c r="B457" s="400"/>
      <c r="C457" s="612" t="s">
        <v>353</v>
      </c>
      <c r="D457" s="613"/>
      <c r="E457" s="303"/>
      <c r="F457" s="292"/>
      <c r="G457" s="292"/>
      <c r="H457" s="292"/>
      <c r="I457" s="292"/>
      <c r="J457" s="303"/>
      <c r="K457" s="303"/>
      <c r="L457" s="623"/>
      <c r="M457" s="167"/>
      <c r="N457" s="167"/>
      <c r="O457" s="460"/>
      <c r="P457" s="460"/>
    </row>
    <row r="458" spans="2:16" ht="14.15" hidden="1" customHeight="1" outlineLevel="1">
      <c r="B458" s="400"/>
      <c r="C458" s="303"/>
      <c r="D458" s="620" t="s">
        <v>81</v>
      </c>
      <c r="E458" s="618"/>
      <c r="F458" s="618"/>
      <c r="G458" s="618"/>
      <c r="H458" s="618">
        <f>-'MBL Renewal By Band'!D$206/'MBL Renewal By Band'!D$11</f>
        <v>0.111</v>
      </c>
      <c r="I458" s="618">
        <f>-'MBL Renewal By Band'!E$206/'MBL Renewal By Band'!E$11</f>
        <v>0.111</v>
      </c>
      <c r="J458" s="618">
        <f>-'MBL Renewal By Band'!F$206/'MBL Renewal By Band'!F$11</f>
        <v>0.111</v>
      </c>
      <c r="K458" s="618">
        <f>-'MBL Renewal By Band'!G$206/'MBL Renewal By Band'!G$11</f>
        <v>0.111</v>
      </c>
      <c r="L458" s="625"/>
      <c r="M458" s="167"/>
      <c r="N458" s="167"/>
      <c r="O458" s="460"/>
      <c r="P458" s="460"/>
    </row>
    <row r="459" spans="2:16" ht="8.5" hidden="1" customHeight="1" outlineLevel="1">
      <c r="B459" s="400"/>
      <c r="C459" s="303"/>
      <c r="D459" s="618"/>
      <c r="E459" s="618"/>
      <c r="F459" s="618"/>
      <c r="G459" s="618"/>
      <c r="H459" s="618"/>
      <c r="I459" s="618"/>
      <c r="J459" s="618"/>
      <c r="K459" s="618"/>
      <c r="L459" s="625"/>
      <c r="M459" s="167"/>
      <c r="N459" s="167"/>
      <c r="O459" s="460"/>
      <c r="P459" s="460"/>
    </row>
    <row r="460" spans="2:16" ht="14.15" hidden="1" customHeight="1" outlineLevel="1" thickBot="1">
      <c r="B460" s="400"/>
      <c r="C460" s="303"/>
      <c r="D460" s="619" t="s">
        <v>342</v>
      </c>
      <c r="E460" s="619"/>
      <c r="F460" s="619"/>
      <c r="G460" s="619"/>
      <c r="H460" s="619" t="e">
        <f>SUM(H429,H441,H447,H455,H458)</f>
        <v>#REF!</v>
      </c>
      <c r="I460" s="619" t="e">
        <f>SUM(I429,I441,I447,I455,I458)</f>
        <v>#REF!</v>
      </c>
      <c r="J460" s="619" t="e">
        <f>SUM(J429,J441,J447,J455,J458)</f>
        <v>#REF!</v>
      </c>
      <c r="K460" s="619" t="e">
        <f>SUM(K429,K441,K447,K455,K458)</f>
        <v>#REF!</v>
      </c>
      <c r="L460" s="625"/>
      <c r="M460" s="167"/>
      <c r="N460" s="167"/>
      <c r="O460" s="460"/>
      <c r="P460" s="460"/>
    </row>
    <row r="461" spans="2:16" ht="14.15" hidden="1" customHeight="1" outlineLevel="1" thickTop="1">
      <c r="B461" s="400"/>
      <c r="C461" s="303"/>
      <c r="D461" s="621"/>
      <c r="E461" s="621"/>
      <c r="F461" s="621"/>
      <c r="G461" s="629" t="s">
        <v>354</v>
      </c>
      <c r="H461" s="629" t="e">
        <f>ROUND(('MBL Renewal By Band'!D233/'MBL Renewal By Band'!D88)-Model_Summary!H460-Model_Summary!H407,0)</f>
        <v>#DIV/0!</v>
      </c>
      <c r="I461" s="629" t="e">
        <f>ROUND(('MBL Renewal By Band'!E233/'MBL Renewal By Band'!E88)-Model_Summary!I460-Model_Summary!I407,0)</f>
        <v>#DIV/0!</v>
      </c>
      <c r="J461" s="629" t="e">
        <f>ROUND(('MBL Renewal By Band'!F233/'MBL Renewal By Band'!F88)-Model_Summary!J460-Model_Summary!J407,0)</f>
        <v>#REF!</v>
      </c>
      <c r="K461" s="629" t="e">
        <f>ROUND(('MBL Renewal By Band'!G233/'MBL Renewal By Band'!G88)-Model_Summary!K460-Model_Summary!K407,0)</f>
        <v>#REF!</v>
      </c>
      <c r="L461" s="625"/>
      <c r="M461" s="167"/>
      <c r="N461" s="167"/>
      <c r="O461" s="460"/>
      <c r="P461" s="460"/>
    </row>
    <row r="462" spans="2:16" ht="14.15" hidden="1" customHeight="1" collapsed="1" thickBot="1">
      <c r="B462" s="414"/>
      <c r="C462" s="334"/>
      <c r="D462" s="626"/>
      <c r="E462" s="626"/>
      <c r="F462" s="626"/>
      <c r="G462" s="626"/>
      <c r="H462" s="626"/>
      <c r="I462" s="626"/>
      <c r="J462" s="626"/>
      <c r="K462" s="626"/>
      <c r="L462" s="627"/>
      <c r="M462" s="167"/>
      <c r="N462" s="167"/>
      <c r="O462" s="460"/>
      <c r="P462" s="460"/>
    </row>
    <row r="463" spans="2:16" ht="14.5" hidden="1" customHeight="1">
      <c r="B463" s="260"/>
      <c r="C463" s="260"/>
      <c r="D463" s="260"/>
      <c r="E463" s="260"/>
      <c r="F463" s="260"/>
      <c r="G463" s="260"/>
      <c r="H463" s="282"/>
      <c r="I463" s="260"/>
      <c r="J463" s="260"/>
      <c r="K463" s="260"/>
      <c r="M463" s="167"/>
      <c r="N463" s="167"/>
      <c r="O463" s="460"/>
      <c r="P463" s="460"/>
    </row>
    <row r="464" spans="2:16" ht="14.5" hidden="1" customHeight="1">
      <c r="O464" s="460"/>
    </row>
    <row r="465" spans="4:16" ht="14.5" hidden="1" customHeight="1" thickBot="1">
      <c r="E465" s="2" t="s">
        <v>372</v>
      </c>
      <c r="M465" s="167"/>
      <c r="N465" s="167"/>
      <c r="O465" s="460"/>
      <c r="P465" s="460"/>
    </row>
    <row r="466" spans="4:16" ht="15" hidden="1" customHeight="1" thickBot="1">
      <c r="D466" s="433" t="s">
        <v>368</v>
      </c>
      <c r="E466" s="434"/>
      <c r="F466" s="434"/>
      <c r="G466" s="434" t="s">
        <v>369</v>
      </c>
      <c r="H466" s="435"/>
      <c r="M466" s="167"/>
      <c r="N466" s="167"/>
      <c r="O466" s="460"/>
      <c r="P466" s="460"/>
    </row>
    <row r="467" spans="4:16" ht="14.5" hidden="1" customHeight="1">
      <c r="D467" s="195" t="s">
        <v>105</v>
      </c>
      <c r="E467" s="193"/>
      <c r="F467" s="193"/>
      <c r="G467" s="193"/>
      <c r="H467" s="448"/>
      <c r="M467" s="167"/>
      <c r="N467" s="167"/>
      <c r="O467" s="460"/>
      <c r="P467" s="460"/>
    </row>
    <row r="468" spans="4:16" ht="14.5" hidden="1" customHeight="1">
      <c r="D468" s="449" t="s">
        <v>214</v>
      </c>
      <c r="E468" s="450">
        <v>249714102.46000001</v>
      </c>
      <c r="F468" s="451"/>
      <c r="G468" s="451" t="s">
        <v>214</v>
      </c>
      <c r="H468" s="452">
        <v>112113709.09</v>
      </c>
      <c r="M468" s="167"/>
      <c r="N468" s="167"/>
      <c r="O468" s="460"/>
      <c r="P468" s="460"/>
    </row>
    <row r="469" spans="4:16" ht="14.5" hidden="1" customHeight="1">
      <c r="D469" s="449" t="s">
        <v>215</v>
      </c>
      <c r="E469" s="450">
        <v>14810466.550000001</v>
      </c>
      <c r="F469" s="451"/>
      <c r="G469" s="451" t="s">
        <v>215</v>
      </c>
      <c r="H469" s="453" t="s">
        <v>370</v>
      </c>
      <c r="M469" s="167"/>
      <c r="N469" s="167"/>
      <c r="P469" s="460"/>
    </row>
    <row r="470" spans="4:16" ht="14.5" hidden="1" customHeight="1">
      <c r="D470" s="449" t="s">
        <v>216</v>
      </c>
      <c r="E470" s="450">
        <v>103740241.58</v>
      </c>
      <c r="F470" s="451"/>
      <c r="G470" s="451" t="s">
        <v>216</v>
      </c>
      <c r="H470" s="452">
        <v>5000000</v>
      </c>
      <c r="M470" s="167"/>
      <c r="N470" s="167"/>
      <c r="O470" s="460"/>
      <c r="P470" s="460"/>
    </row>
    <row r="471" spans="4:16" ht="14.5" hidden="1" customHeight="1">
      <c r="D471" s="449" t="s">
        <v>217</v>
      </c>
      <c r="E471" s="450">
        <v>38033384.509999998</v>
      </c>
      <c r="F471" s="451"/>
      <c r="G471" s="451" t="s">
        <v>217</v>
      </c>
      <c r="H471" s="452">
        <v>36213482.490000002</v>
      </c>
      <c r="M471" s="167"/>
      <c r="N471" s="167"/>
      <c r="O471" s="460"/>
      <c r="P471" s="460"/>
    </row>
    <row r="472" spans="4:16" ht="14.5" hidden="1" customHeight="1">
      <c r="D472" s="449" t="s">
        <v>218</v>
      </c>
      <c r="E472" s="450">
        <v>30515625</v>
      </c>
      <c r="F472" s="451"/>
      <c r="G472" s="451" t="s">
        <v>218</v>
      </c>
      <c r="H472" s="452">
        <v>12824908.33</v>
      </c>
      <c r="M472" s="167"/>
      <c r="N472" s="167"/>
      <c r="O472" s="460"/>
      <c r="P472" s="460"/>
    </row>
    <row r="473" spans="4:16" ht="14.5" hidden="1" customHeight="1">
      <c r="D473" s="449" t="s">
        <v>219</v>
      </c>
      <c r="E473" s="450">
        <v>24128566.399999999</v>
      </c>
      <c r="F473" s="451"/>
      <c r="G473" s="451" t="s">
        <v>219</v>
      </c>
      <c r="H473" s="452">
        <v>12121163.369999999</v>
      </c>
      <c r="M473" s="167"/>
      <c r="N473" s="167"/>
      <c r="O473" s="460"/>
      <c r="P473" s="460"/>
    </row>
    <row r="474" spans="4:16" ht="14.5" hidden="1" customHeight="1">
      <c r="D474" s="449" t="s">
        <v>220</v>
      </c>
      <c r="E474" s="450">
        <v>2500000</v>
      </c>
      <c r="F474" s="451"/>
      <c r="G474" s="451" t="s">
        <v>220</v>
      </c>
      <c r="H474" s="452">
        <v>2500000</v>
      </c>
      <c r="M474" s="167"/>
      <c r="N474" s="167"/>
      <c r="O474" s="460"/>
      <c r="P474" s="460"/>
    </row>
    <row r="475" spans="4:16" ht="14.5" hidden="1" customHeight="1">
      <c r="D475" s="449" t="s">
        <v>221</v>
      </c>
      <c r="E475" s="450">
        <v>2345932.4</v>
      </c>
      <c r="F475" s="451"/>
      <c r="G475" s="451" t="s">
        <v>221</v>
      </c>
      <c r="H475" s="452">
        <v>2325676.69</v>
      </c>
      <c r="M475" s="167"/>
      <c r="N475" s="167"/>
      <c r="O475" s="460"/>
      <c r="P475" s="460"/>
    </row>
    <row r="476" spans="4:16" ht="14.5" hidden="1" customHeight="1">
      <c r="D476" s="449" t="s">
        <v>222</v>
      </c>
      <c r="E476" s="450">
        <v>25308049.91</v>
      </c>
      <c r="F476" s="451"/>
      <c r="G476" s="451" t="s">
        <v>222</v>
      </c>
      <c r="H476" s="452">
        <v>31823809.190000001</v>
      </c>
      <c r="M476" s="167"/>
      <c r="N476" s="167"/>
      <c r="O476" s="460"/>
      <c r="P476" s="460"/>
    </row>
    <row r="477" spans="4:16" ht="14.5" hidden="1" customHeight="1">
      <c r="D477" s="449" t="s">
        <v>223</v>
      </c>
      <c r="E477" s="450">
        <v>5746692.2699999996</v>
      </c>
      <c r="F477" s="451"/>
      <c r="G477" s="451" t="s">
        <v>223</v>
      </c>
      <c r="H477" s="452">
        <v>500000</v>
      </c>
      <c r="M477" s="167"/>
      <c r="N477" s="167"/>
      <c r="O477" s="460"/>
      <c r="P477" s="460"/>
    </row>
    <row r="478" spans="4:16" ht="14.5" hidden="1" customHeight="1">
      <c r="D478" s="449" t="s">
        <v>224</v>
      </c>
      <c r="E478" s="450">
        <v>14000000</v>
      </c>
      <c r="F478" s="451"/>
      <c r="G478" s="451" t="s">
        <v>224</v>
      </c>
      <c r="H478" s="452">
        <v>9167277.0899999999</v>
      </c>
      <c r="L478" s="167"/>
      <c r="M478" s="167"/>
      <c r="N478" s="167"/>
      <c r="O478" s="460"/>
      <c r="P478" s="460"/>
    </row>
    <row r="479" spans="4:16" ht="14.5" hidden="1" customHeight="1">
      <c r="D479" s="449" t="s">
        <v>225</v>
      </c>
      <c r="E479" s="450">
        <v>2069698.94</v>
      </c>
      <c r="F479" s="451"/>
      <c r="G479" s="451" t="s">
        <v>225</v>
      </c>
      <c r="H479" s="453" t="s">
        <v>370</v>
      </c>
      <c r="L479" s="167"/>
      <c r="M479" s="167"/>
      <c r="N479" s="167"/>
      <c r="O479" s="460"/>
      <c r="P479" s="460"/>
    </row>
    <row r="480" spans="4:16" ht="14.5" hidden="1" customHeight="1">
      <c r="D480" s="449" t="s">
        <v>226</v>
      </c>
      <c r="E480" s="450">
        <v>3819518.98</v>
      </c>
      <c r="F480" s="451"/>
      <c r="G480" s="451" t="s">
        <v>226</v>
      </c>
      <c r="H480" s="452">
        <v>3819518.98</v>
      </c>
      <c r="L480" s="167"/>
      <c r="M480" s="167"/>
      <c r="N480" s="167"/>
      <c r="O480" s="460"/>
      <c r="P480" s="460"/>
    </row>
    <row r="481" spans="4:16" ht="14.5" hidden="1" customHeight="1">
      <c r="D481" s="449" t="s">
        <v>227</v>
      </c>
      <c r="E481" s="450">
        <v>16409251.9</v>
      </c>
      <c r="F481" s="451"/>
      <c r="G481" s="451" t="s">
        <v>227</v>
      </c>
      <c r="H481" s="452">
        <v>11336847.4</v>
      </c>
      <c r="L481" s="167"/>
      <c r="M481" s="167"/>
      <c r="N481" s="167"/>
      <c r="O481" s="460"/>
      <c r="P481" s="460"/>
    </row>
    <row r="482" spans="4:16" ht="14.5" hidden="1" customHeight="1">
      <c r="D482" s="197" t="s">
        <v>186</v>
      </c>
      <c r="E482" s="442">
        <f>SUM(E468:E481)</f>
        <v>533141530.89999998</v>
      </c>
      <c r="F482" s="108"/>
      <c r="G482" s="108"/>
      <c r="H482" s="454">
        <f>SUM(H468:H481)</f>
        <v>239746392.63000003</v>
      </c>
      <c r="L482" s="167"/>
      <c r="M482" s="167"/>
      <c r="N482" s="167"/>
      <c r="O482" s="460"/>
      <c r="P482" s="460"/>
    </row>
    <row r="483" spans="4:16" ht="15" hidden="1" customHeight="1" thickBot="1">
      <c r="D483" s="436"/>
      <c r="E483" s="437" t="s">
        <v>371</v>
      </c>
      <c r="F483" s="437"/>
      <c r="G483" s="438">
        <f>((E482-H482)/E482)*100%</f>
        <v>0.55031379336499553</v>
      </c>
      <c r="H483" s="439"/>
      <c r="L483" s="167"/>
      <c r="M483" s="167"/>
      <c r="N483" s="167"/>
      <c r="O483" s="460"/>
      <c r="P483" s="460"/>
    </row>
    <row r="484" spans="4:16" ht="14.5" hidden="1" customHeight="1">
      <c r="D484" s="195" t="s">
        <v>228</v>
      </c>
      <c r="E484" s="193"/>
      <c r="F484" s="193"/>
      <c r="G484" s="193"/>
      <c r="H484" s="448"/>
      <c r="L484" s="167"/>
      <c r="M484" s="167"/>
      <c r="N484" s="167"/>
      <c r="O484" s="460"/>
      <c r="P484" s="460"/>
    </row>
    <row r="485" spans="4:16" ht="14.5" hidden="1" customHeight="1">
      <c r="D485" s="449"/>
      <c r="E485" s="451"/>
      <c r="F485" s="451"/>
      <c r="G485" s="451"/>
      <c r="H485" s="453"/>
      <c r="L485" s="167"/>
      <c r="M485" s="167"/>
      <c r="N485" s="167"/>
      <c r="O485" s="460"/>
      <c r="P485" s="460"/>
    </row>
    <row r="486" spans="4:16" ht="14.5" hidden="1" customHeight="1">
      <c r="D486" s="449" t="s">
        <v>229</v>
      </c>
      <c r="E486" s="450">
        <v>-101289916.67</v>
      </c>
      <c r="F486" s="451"/>
      <c r="G486" s="451" t="s">
        <v>229</v>
      </c>
      <c r="H486" s="452">
        <v>-34710360.810000002</v>
      </c>
      <c r="L486" s="167"/>
      <c r="M486" s="167"/>
      <c r="N486" s="167"/>
      <c r="O486" s="460"/>
      <c r="P486" s="460"/>
    </row>
    <row r="487" spans="4:16" ht="14.5" hidden="1" customHeight="1">
      <c r="D487" s="449" t="s">
        <v>230</v>
      </c>
      <c r="E487" s="451" t="s">
        <v>370</v>
      </c>
      <c r="F487" s="451"/>
      <c r="G487" s="451" t="s">
        <v>230</v>
      </c>
      <c r="H487" s="453"/>
      <c r="L487" s="167"/>
      <c r="M487" s="167"/>
      <c r="N487" s="167"/>
      <c r="O487" s="460"/>
      <c r="P487" s="460"/>
    </row>
    <row r="488" spans="4:16" ht="14.5" hidden="1" customHeight="1">
      <c r="D488" s="449" t="s">
        <v>60</v>
      </c>
      <c r="E488" s="450">
        <v>-2532247.92</v>
      </c>
      <c r="F488" s="451"/>
      <c r="G488" s="451" t="s">
        <v>60</v>
      </c>
      <c r="H488" s="452">
        <v>-867759.02</v>
      </c>
      <c r="L488" s="167"/>
      <c r="M488" s="167"/>
      <c r="N488" s="167"/>
      <c r="O488" s="460"/>
      <c r="P488" s="460"/>
    </row>
    <row r="489" spans="4:16" ht="14.5" hidden="1" customHeight="1">
      <c r="D489" s="449" t="s">
        <v>231</v>
      </c>
      <c r="E489" s="450">
        <v>-1012899.17</v>
      </c>
      <c r="F489" s="451"/>
      <c r="G489" s="451" t="s">
        <v>231</v>
      </c>
      <c r="H489" s="452">
        <v>-347103.61</v>
      </c>
      <c r="L489" s="167"/>
      <c r="M489" s="167"/>
      <c r="N489" s="167"/>
      <c r="O489" s="460"/>
      <c r="P489" s="460"/>
    </row>
    <row r="490" spans="4:16" ht="14.5" hidden="1" customHeight="1">
      <c r="D490" s="449" t="s">
        <v>61</v>
      </c>
      <c r="E490" s="450">
        <v>-9116092.5</v>
      </c>
      <c r="F490" s="451"/>
      <c r="G490" s="451" t="s">
        <v>61</v>
      </c>
      <c r="H490" s="452">
        <v>-3154477.59</v>
      </c>
      <c r="L490" s="167"/>
      <c r="M490" s="167"/>
      <c r="N490" s="167"/>
      <c r="O490" s="460"/>
      <c r="P490" s="460"/>
    </row>
    <row r="491" spans="4:16" ht="14.5" hidden="1" customHeight="1">
      <c r="D491" s="449" t="s">
        <v>62</v>
      </c>
      <c r="E491" s="450">
        <v>-1012899.17</v>
      </c>
      <c r="F491" s="451"/>
      <c r="G491" s="451" t="s">
        <v>62</v>
      </c>
      <c r="H491" s="452">
        <v>-347103.61</v>
      </c>
      <c r="L491" s="167"/>
      <c r="M491" s="167"/>
      <c r="N491" s="167"/>
      <c r="O491" s="460"/>
      <c r="P491" s="460"/>
    </row>
    <row r="492" spans="4:16" ht="14.5" hidden="1" customHeight="1">
      <c r="D492" s="449" t="s">
        <v>63</v>
      </c>
      <c r="E492" s="450">
        <v>-20257983.329999998</v>
      </c>
      <c r="F492" s="451"/>
      <c r="G492" s="451" t="s">
        <v>63</v>
      </c>
      <c r="H492" s="453" t="s">
        <v>370</v>
      </c>
      <c r="L492" s="167"/>
      <c r="M492" s="167"/>
      <c r="N492" s="167"/>
      <c r="O492" s="460"/>
      <c r="P492" s="460"/>
    </row>
    <row r="493" spans="4:16" ht="14.5" hidden="1" customHeight="1">
      <c r="D493" s="449" t="s">
        <v>232</v>
      </c>
      <c r="E493" s="450">
        <v>-11428855.710000001</v>
      </c>
      <c r="F493" s="451"/>
      <c r="G493" s="451" t="s">
        <v>232</v>
      </c>
      <c r="H493" s="452">
        <v>-2482743</v>
      </c>
      <c r="L493" s="167"/>
      <c r="M493" s="167"/>
      <c r="N493" s="167"/>
      <c r="O493" s="460"/>
      <c r="P493" s="460"/>
    </row>
    <row r="494" spans="4:16" ht="14.5" hidden="1" customHeight="1">
      <c r="D494" s="449" t="s">
        <v>233</v>
      </c>
      <c r="E494" s="450">
        <v>-2265420.92</v>
      </c>
      <c r="F494" s="451"/>
      <c r="G494" s="451" t="s">
        <v>233</v>
      </c>
      <c r="H494" s="452">
        <v>-3067293</v>
      </c>
      <c r="O494" s="460"/>
    </row>
    <row r="495" spans="4:16" ht="14.5" hidden="1" customHeight="1">
      <c r="D495" s="449" t="s">
        <v>234</v>
      </c>
      <c r="E495" s="450">
        <v>-1992752.83</v>
      </c>
      <c r="F495" s="451"/>
      <c r="G495" s="451" t="s">
        <v>234</v>
      </c>
      <c r="H495" s="453" t="s">
        <v>370</v>
      </c>
      <c r="O495" s="460"/>
    </row>
    <row r="496" spans="4:16" ht="14.5" hidden="1" customHeight="1">
      <c r="D496" s="449" t="s">
        <v>235</v>
      </c>
      <c r="E496" s="450">
        <v>-2850331.82</v>
      </c>
      <c r="F496" s="451"/>
      <c r="G496" s="451" t="s">
        <v>235</v>
      </c>
      <c r="H496" s="452">
        <v>-313775</v>
      </c>
      <c r="O496" s="460"/>
    </row>
    <row r="497" spans="1:16" ht="14.5" hidden="1" customHeight="1">
      <c r="D497" s="449" t="s">
        <v>236</v>
      </c>
      <c r="E497" s="450">
        <v>-33400425.329999998</v>
      </c>
      <c r="F497" s="451"/>
      <c r="G497" s="451" t="s">
        <v>236</v>
      </c>
      <c r="H497" s="453" t="s">
        <v>370</v>
      </c>
      <c r="O497" s="460"/>
    </row>
    <row r="498" spans="1:16" ht="14.5" hidden="1" customHeight="1">
      <c r="D498" s="197" t="s">
        <v>186</v>
      </c>
      <c r="E498" s="442">
        <v>-187159825.36000001</v>
      </c>
      <c r="F498" s="108"/>
      <c r="G498" s="108"/>
      <c r="H498" s="454">
        <v>-45290615.640000001</v>
      </c>
      <c r="O498" s="460"/>
    </row>
    <row r="499" spans="1:16" ht="15" hidden="1" customHeight="1" thickBot="1">
      <c r="D499" s="436"/>
      <c r="E499" s="437" t="s">
        <v>371</v>
      </c>
      <c r="F499" s="437"/>
      <c r="G499" s="438">
        <v>0.76</v>
      </c>
      <c r="H499" s="440"/>
    </row>
    <row r="500" spans="1:16" s="686" customFormat="1" ht="14.5" hidden="1" customHeight="1">
      <c r="A500" s="441"/>
      <c r="B500" s="441"/>
      <c r="C500" s="441"/>
      <c r="D500" s="455" t="s">
        <v>373</v>
      </c>
      <c r="E500" s="442">
        <f>E482+E498</f>
        <v>345981705.53999996</v>
      </c>
      <c r="F500" s="108"/>
      <c r="G500" s="108"/>
      <c r="H500" s="456">
        <f>H482+H498</f>
        <v>194455776.99000001</v>
      </c>
      <c r="I500" s="441"/>
      <c r="J500" s="441"/>
      <c r="K500" s="441"/>
      <c r="L500" s="136"/>
      <c r="M500" s="136"/>
      <c r="N500" s="600"/>
      <c r="O500" s="459"/>
      <c r="P500" s="459"/>
    </row>
    <row r="501" spans="1:16" s="686" customFormat="1" ht="15" hidden="1" customHeight="1" thickBot="1">
      <c r="A501" s="441"/>
      <c r="B501" s="441"/>
      <c r="C501" s="441"/>
      <c r="D501" s="443"/>
      <c r="E501" s="444" t="s">
        <v>371</v>
      </c>
      <c r="F501" s="445"/>
      <c r="G501" s="446">
        <f>(E500-H500)/E500*100%</f>
        <v>0.43795936641650435</v>
      </c>
      <c r="H501" s="447"/>
      <c r="I501" s="441"/>
      <c r="J501" s="441"/>
      <c r="K501" s="441"/>
      <c r="L501" s="136"/>
      <c r="M501" s="136"/>
      <c r="N501" s="600"/>
      <c r="O501" s="459"/>
      <c r="P501" s="459"/>
    </row>
    <row r="502" spans="1:16" ht="14.5" hidden="1" customHeight="1"/>
    <row r="503" spans="1:16" ht="14.5" hidden="1" customHeight="1"/>
    <row r="504" spans="1:16" ht="14.5" hidden="1" customHeight="1">
      <c r="B504" s="260"/>
      <c r="C504" s="260"/>
      <c r="D504" s="260"/>
      <c r="E504" s="260"/>
      <c r="F504" s="260"/>
      <c r="G504" s="260"/>
      <c r="H504" s="260"/>
      <c r="I504" s="260"/>
      <c r="J504" s="260"/>
      <c r="K504" s="260"/>
    </row>
    <row r="505" spans="1:16" ht="14.5" hidden="1" customHeight="1" thickBot="1">
      <c r="B505" s="303"/>
      <c r="C505" s="303"/>
      <c r="D505" s="303"/>
      <c r="E505" s="303"/>
      <c r="F505" s="303"/>
      <c r="G505" s="175" t="s">
        <v>380</v>
      </c>
      <c r="H505" s="303"/>
      <c r="I505" s="303"/>
      <c r="J505" s="303"/>
      <c r="K505" s="303"/>
    </row>
    <row r="506" spans="1:16" ht="14.5" hidden="1" customHeight="1">
      <c r="B506" s="399"/>
      <c r="C506" s="386"/>
      <c r="D506" s="386"/>
      <c r="E506" s="386"/>
      <c r="F506" s="386"/>
      <c r="G506" s="116"/>
      <c r="H506" s="386"/>
      <c r="I506" s="386"/>
      <c r="J506" s="386"/>
      <c r="K506" s="386"/>
      <c r="L506" s="196"/>
    </row>
    <row r="507" spans="1:16" ht="14.5" hidden="1" customHeight="1">
      <c r="B507" s="400"/>
      <c r="C507" s="401"/>
      <c r="D507" s="173"/>
      <c r="E507" s="173"/>
      <c r="F507" s="173"/>
      <c r="G507" s="173"/>
      <c r="H507" s="173"/>
      <c r="I507" s="173"/>
      <c r="J507" s="382"/>
      <c r="K507" s="368"/>
      <c r="L507" s="199"/>
    </row>
    <row r="508" spans="1:16" ht="14.5" hidden="1" customHeight="1">
      <c r="B508" s="400"/>
      <c r="C508" s="402"/>
      <c r="D508" s="28" t="s">
        <v>329</v>
      </c>
      <c r="E508" s="28"/>
      <c r="F508" s="32" t="str">
        <f>'By Product'!D3</f>
        <v>PL - NTB</v>
      </c>
      <c r="G508" s="32" t="str">
        <f>'By Product'!E3</f>
        <v>PL- Renewal</v>
      </c>
      <c r="H508" s="32" t="str">
        <f>'By Product'!F3</f>
        <v>PL - Top-Up</v>
      </c>
      <c r="I508" s="32" t="str">
        <f>'By Product'!G3</f>
        <v>MBL -NTB</v>
      </c>
      <c r="J508" s="32" t="str">
        <f>'By Product'!H3</f>
        <v>MBL - XSELL</v>
      </c>
      <c r="K508" s="32" t="str">
        <f>'By Product'!I3</f>
        <v>Combined</v>
      </c>
      <c r="L508" s="199"/>
    </row>
    <row r="509" spans="1:16" ht="14.5" hidden="1" customHeight="1">
      <c r="B509" s="400"/>
      <c r="C509" s="402"/>
      <c r="D509" s="61" t="s">
        <v>331</v>
      </c>
      <c r="E509" s="403"/>
      <c r="F509" s="404"/>
      <c r="G509" s="404"/>
      <c r="H509" s="404"/>
      <c r="I509" s="404"/>
      <c r="J509" s="404"/>
      <c r="K509" s="404"/>
      <c r="L509" s="199"/>
    </row>
    <row r="510" spans="1:16" ht="14.5" hidden="1" customHeight="1">
      <c r="B510" s="400"/>
      <c r="C510" s="402"/>
      <c r="D510" s="335" t="s">
        <v>332</v>
      </c>
      <c r="E510" s="303"/>
      <c r="F510" s="291">
        <f>'By Product'!D189</f>
        <v>-4698.4520246316706</v>
      </c>
      <c r="G510" s="291">
        <f>'By Product'!E189</f>
        <v>100714.12203553141</v>
      </c>
      <c r="H510" s="291">
        <f>'By Product'!F189</f>
        <v>149117.57821356558</v>
      </c>
      <c r="I510" s="291">
        <f>'By Product'!G189</f>
        <v>-11365.713394912509</v>
      </c>
      <c r="J510" s="291">
        <f>'By Product'!H189</f>
        <v>274557.0727147921</v>
      </c>
      <c r="K510" s="291">
        <f>'By Product'!I189</f>
        <v>109573.14825708041</v>
      </c>
      <c r="L510" s="199"/>
    </row>
    <row r="511" spans="1:16" ht="14.5" hidden="1" customHeight="1">
      <c r="B511" s="400"/>
      <c r="C511" s="402"/>
      <c r="D511" s="335" t="s">
        <v>333</v>
      </c>
      <c r="E511" s="303"/>
      <c r="F511" s="291">
        <f>'By Product'!D193</f>
        <v>-162384.23796305095</v>
      </c>
      <c r="G511" s="291">
        <f>'By Product'!E193</f>
        <v>-56971.663902887871</v>
      </c>
      <c r="H511" s="291">
        <f>'By Product'!F193</f>
        <v>-8568.2077248537098</v>
      </c>
      <c r="I511" s="291">
        <f>'By Product'!G193</f>
        <v>-169051.4993333318</v>
      </c>
      <c r="J511" s="291">
        <f>'By Product'!H193</f>
        <v>116871.28677637281</v>
      </c>
      <c r="K511" s="291">
        <f>'By Product'!I193</f>
        <v>-48112.637681338878</v>
      </c>
      <c r="L511" s="199"/>
    </row>
    <row r="512" spans="1:16" ht="14.5" hidden="1" customHeight="1">
      <c r="B512" s="400"/>
      <c r="C512" s="402"/>
      <c r="D512" s="335" t="s">
        <v>334</v>
      </c>
      <c r="E512" s="303"/>
      <c r="F512" s="292">
        <f>'By Product'!D195</f>
        <v>0</v>
      </c>
      <c r="G512" s="292">
        <f>'By Product'!E195</f>
        <v>0.1657731021650049</v>
      </c>
      <c r="H512" s="292">
        <f>'By Product'!F195</f>
        <v>0.1801026116191328</v>
      </c>
      <c r="I512" s="292">
        <f>'By Product'!G195</f>
        <v>0</v>
      </c>
      <c r="J512" s="292">
        <f>'By Product'!H195</f>
        <v>0.19833825840652416</v>
      </c>
      <c r="K512" s="292">
        <f>'By Product'!I195</f>
        <v>0.16654149929716311</v>
      </c>
      <c r="L512" s="199"/>
    </row>
    <row r="513" spans="1:12" ht="14.5" hidden="1" customHeight="1">
      <c r="B513" s="400"/>
      <c r="C513" s="402"/>
      <c r="D513" s="335" t="s">
        <v>335</v>
      </c>
      <c r="E513" s="303"/>
      <c r="F513" s="406">
        <f>'By Product'!D196</f>
        <v>0</v>
      </c>
      <c r="G513" s="406">
        <f>'By Product'!E196</f>
        <v>-9.3774033569511028E-2</v>
      </c>
      <c r="H513" s="406">
        <f>'By Product'!F196</f>
        <v>-1.0348589392534788E-2</v>
      </c>
      <c r="I513" s="406">
        <f>'By Product'!G196</f>
        <v>0</v>
      </c>
      <c r="J513" s="406">
        <f>'By Product'!H196</f>
        <v>8.4427063734885038E-2</v>
      </c>
      <c r="K513" s="406">
        <f>'By Product'!I196</f>
        <v>-7.3126956211861813E-2</v>
      </c>
      <c r="L513" s="199"/>
    </row>
    <row r="514" spans="1:12" ht="14.5" hidden="1" customHeight="1">
      <c r="B514" s="400"/>
      <c r="C514" s="402"/>
      <c r="D514" s="303"/>
      <c r="E514" s="303"/>
      <c r="F514" s="351"/>
      <c r="G514" s="351"/>
      <c r="H514" s="351"/>
      <c r="I514" s="351"/>
      <c r="J514" s="351"/>
      <c r="K514" s="351"/>
      <c r="L514" s="199"/>
    </row>
    <row r="515" spans="1:12" ht="14.5" hidden="1" customHeight="1">
      <c r="B515" s="400"/>
      <c r="C515" s="402"/>
      <c r="D515" s="61" t="s">
        <v>1</v>
      </c>
      <c r="E515" s="303"/>
      <c r="F515" s="291"/>
      <c r="G515" s="291"/>
      <c r="H515" s="291"/>
      <c r="I515" s="291"/>
      <c r="J515" s="303"/>
      <c r="K515" s="303"/>
      <c r="L515" s="199"/>
    </row>
    <row r="516" spans="1:12" ht="14.5" hidden="1" customHeight="1">
      <c r="B516" s="400"/>
      <c r="C516" s="402"/>
      <c r="D516" s="303" t="s">
        <v>14</v>
      </c>
      <c r="E516" s="303"/>
      <c r="F516" s="165">
        <f>'Overhead Allocation'!K32</f>
        <v>0</v>
      </c>
      <c r="G516" s="165">
        <v>607542</v>
      </c>
      <c r="H516" s="165">
        <v>827959</v>
      </c>
      <c r="I516" s="165">
        <f>'Overhead Allocation'!J32</f>
        <v>0</v>
      </c>
      <c r="J516" s="165">
        <v>1384287</v>
      </c>
      <c r="K516" s="165">
        <v>657933</v>
      </c>
      <c r="L516" s="199"/>
    </row>
    <row r="517" spans="1:12" ht="14.5" hidden="1" customHeight="1">
      <c r="B517" s="400"/>
      <c r="C517" s="402"/>
      <c r="D517" s="303" t="s">
        <v>13</v>
      </c>
      <c r="E517" s="303"/>
      <c r="F517" s="165">
        <v>1</v>
      </c>
      <c r="G517" s="165">
        <v>1</v>
      </c>
      <c r="H517" s="165">
        <v>1</v>
      </c>
      <c r="I517" s="165">
        <v>1</v>
      </c>
      <c r="J517" s="165">
        <v>1</v>
      </c>
      <c r="K517" s="165">
        <v>1</v>
      </c>
      <c r="L517" s="408"/>
    </row>
    <row r="518" spans="1:12" ht="14.5" hidden="1" customHeight="1">
      <c r="B518" s="400"/>
      <c r="C518" s="402"/>
      <c r="D518" s="303" t="s">
        <v>336</v>
      </c>
      <c r="E518" s="303"/>
      <c r="F518" s="241">
        <v>0.15</v>
      </c>
      <c r="G518" s="241">
        <v>0.88</v>
      </c>
      <c r="H518" s="241">
        <v>0.9</v>
      </c>
      <c r="I518" s="241">
        <v>0.06</v>
      </c>
      <c r="J518" s="241">
        <v>0.79</v>
      </c>
      <c r="K518" s="241">
        <v>0.2</v>
      </c>
      <c r="L518" s="408"/>
    </row>
    <row r="519" spans="1:12" ht="14.5" hidden="1" customHeight="1">
      <c r="B519" s="400"/>
      <c r="C519" s="402"/>
      <c r="D519" s="303" t="s">
        <v>337</v>
      </c>
      <c r="E519" s="303"/>
      <c r="F519" s="406">
        <f>Assumption_Sheet!J283</f>
        <v>7.0980720081469884E-2</v>
      </c>
      <c r="G519" s="406">
        <f>Assumption_Sheet!K283</f>
        <v>6.0024908213089367E-2</v>
      </c>
      <c r="H519" s="406">
        <f>Assumption_Sheet!L283</f>
        <v>6.2979943202299382E-2</v>
      </c>
      <c r="I519" s="406">
        <f>Assumption_Sheet!M283</f>
        <v>0.10715764404203197</v>
      </c>
      <c r="J519" s="406">
        <f>Assumption_Sheet!N283</f>
        <v>9.4278345471185743E-2</v>
      </c>
      <c r="K519" s="406">
        <f>Assumption_Sheet!O283</f>
        <v>7.7095740520046613E-2</v>
      </c>
      <c r="L519" s="199"/>
    </row>
    <row r="520" spans="1:12" ht="14.5" hidden="1" customHeight="1">
      <c r="B520" s="400"/>
      <c r="C520" s="402"/>
      <c r="D520" s="303" t="s">
        <v>338</v>
      </c>
      <c r="E520" s="303"/>
      <c r="F520" s="161">
        <v>4.3099999999999999E-2</v>
      </c>
      <c r="G520" s="161">
        <v>3.5900000000000001E-2</v>
      </c>
      <c r="H520" s="161">
        <v>3.7900000000000003E-2</v>
      </c>
      <c r="I520" s="161">
        <v>6.7500000000000004E-2</v>
      </c>
      <c r="J520" s="161">
        <v>5.8599999999999999E-2</v>
      </c>
      <c r="K520" s="161">
        <v>4.7199999999999999E-2</v>
      </c>
      <c r="L520" s="199"/>
    </row>
    <row r="521" spans="1:12" ht="14.5" hidden="1" customHeight="1">
      <c r="B521" s="400"/>
      <c r="C521" s="402"/>
      <c r="D521" s="303" t="s">
        <v>10</v>
      </c>
      <c r="E521" s="303"/>
      <c r="F521" s="163">
        <v>11</v>
      </c>
      <c r="G521" s="163">
        <v>11</v>
      </c>
      <c r="H521" s="163">
        <v>12</v>
      </c>
      <c r="I521" s="163">
        <v>9</v>
      </c>
      <c r="J521" s="163">
        <v>9</v>
      </c>
      <c r="K521" s="163">
        <v>11</v>
      </c>
      <c r="L521" s="199"/>
    </row>
    <row r="522" spans="1:12" ht="14.5" hidden="1" customHeight="1">
      <c r="B522" s="400"/>
      <c r="C522" s="402"/>
      <c r="D522" s="303" t="s">
        <v>11</v>
      </c>
      <c r="E522" s="303"/>
      <c r="F522" s="406">
        <v>0.13500000000000001</v>
      </c>
      <c r="G522" s="406">
        <v>0.13500000000000001</v>
      </c>
      <c r="H522" s="406">
        <v>0.13500000000000001</v>
      </c>
      <c r="I522" s="406">
        <v>0.13500000000000001</v>
      </c>
      <c r="J522" s="406">
        <v>0.13500000000000001</v>
      </c>
      <c r="K522" s="406">
        <v>0.13500000000000001</v>
      </c>
      <c r="L522" s="199"/>
    </row>
    <row r="523" spans="1:12" ht="14.5" hidden="1" customHeight="1">
      <c r="A523" s="475" t="s">
        <v>379</v>
      </c>
      <c r="B523" s="400"/>
      <c r="C523" s="402"/>
      <c r="D523" s="303" t="s">
        <v>12</v>
      </c>
      <c r="E523" s="303"/>
      <c r="F523" s="243">
        <v>0.128</v>
      </c>
      <c r="G523" s="243">
        <v>5.1999999999999998E-2</v>
      </c>
      <c r="H523" s="243">
        <v>7.0000000000000007E-2</v>
      </c>
      <c r="I523" s="243">
        <v>0.29799999999999999</v>
      </c>
      <c r="J523" s="243">
        <v>0.155</v>
      </c>
      <c r="K523" s="243">
        <v>0.13100000000000001</v>
      </c>
      <c r="L523" s="199"/>
    </row>
    <row r="524" spans="1:12" ht="14.5" hidden="1" customHeight="1">
      <c r="A524" s="475" t="s">
        <v>379</v>
      </c>
      <c r="B524" s="400"/>
      <c r="C524" s="409"/>
      <c r="D524" s="482"/>
      <c r="E524" s="483"/>
      <c r="F524" s="484"/>
      <c r="G524" s="484"/>
      <c r="H524" s="484"/>
      <c r="I524" s="484"/>
      <c r="J524" s="484"/>
      <c r="K524" s="484"/>
      <c r="L524" s="199"/>
    </row>
    <row r="525" spans="1:12" ht="14.5" hidden="1" customHeight="1" thickBot="1">
      <c r="B525" s="400"/>
      <c r="C525" s="303"/>
      <c r="D525" s="303"/>
      <c r="E525" s="303"/>
      <c r="F525" s="292"/>
      <c r="G525" s="292"/>
      <c r="H525" s="292"/>
      <c r="I525" s="292"/>
      <c r="J525" s="303"/>
      <c r="K525" s="303"/>
      <c r="L525" s="199"/>
    </row>
    <row r="526" spans="1:12" ht="15" hidden="1" customHeight="1" thickBot="1">
      <c r="B526" s="200" t="s">
        <v>339</v>
      </c>
      <c r="C526" s="179"/>
      <c r="D526" s="411"/>
      <c r="E526" s="411"/>
      <c r="F526" s="412"/>
      <c r="G526" s="412"/>
      <c r="H526" s="412"/>
      <c r="I526" s="412"/>
      <c r="J526" s="411"/>
      <c r="K526" s="411"/>
      <c r="L526" s="413"/>
    </row>
    <row r="527" spans="1:12" ht="14.5" hidden="1" customHeight="1">
      <c r="B527" s="400"/>
      <c r="C527" s="303"/>
      <c r="D527" s="303"/>
      <c r="E527" s="303"/>
      <c r="F527" s="292"/>
      <c r="G527" s="292"/>
      <c r="H527" s="292"/>
      <c r="I527" s="292"/>
      <c r="J527" s="303"/>
      <c r="K527" s="303"/>
      <c r="L527" s="199"/>
    </row>
    <row r="528" spans="1:12" ht="14.5" hidden="1" customHeight="1">
      <c r="B528" s="400"/>
      <c r="C528" s="181" t="s">
        <v>340</v>
      </c>
      <c r="D528" s="180"/>
      <c r="E528" s="303"/>
      <c r="F528" s="292"/>
      <c r="G528" s="292"/>
      <c r="H528" s="292"/>
      <c r="I528" s="292"/>
      <c r="J528" s="303"/>
      <c r="K528" s="303"/>
      <c r="L528" s="199"/>
    </row>
    <row r="529" spans="2:12" ht="14.5" hidden="1" customHeight="1">
      <c r="B529" s="400"/>
      <c r="C529" s="303"/>
      <c r="D529" s="180"/>
      <c r="E529" s="303"/>
      <c r="F529" s="292"/>
      <c r="G529" s="292"/>
      <c r="H529" s="292"/>
      <c r="I529" s="292"/>
      <c r="J529" s="303"/>
      <c r="K529" s="303"/>
      <c r="L529" s="199"/>
    </row>
    <row r="530" spans="2:12" ht="14.5" hidden="1" customHeight="1">
      <c r="B530" s="400"/>
      <c r="C530" s="303"/>
      <c r="D530" s="183" t="s">
        <v>47</v>
      </c>
      <c r="E530" s="305"/>
      <c r="F530" s="410"/>
      <c r="G530" s="410"/>
      <c r="H530" s="410"/>
      <c r="I530" s="410"/>
      <c r="J530" s="305"/>
      <c r="K530" s="305"/>
      <c r="L530" s="199"/>
    </row>
    <row r="531" spans="2:12" ht="14.5" hidden="1" customHeight="1">
      <c r="B531" s="400"/>
      <c r="C531" s="303"/>
      <c r="D531" s="176" t="s">
        <v>37</v>
      </c>
      <c r="E531" s="303"/>
      <c r="F531" s="177" t="e">
        <f>-'By Product'!D580/'By Product'!D439</f>
        <v>#DIV/0!</v>
      </c>
      <c r="G531" s="177" t="e">
        <f>-'By Product'!E580/'By Product'!E439</f>
        <v>#DIV/0!</v>
      </c>
      <c r="H531" s="177" t="e">
        <f>-'By Product'!F580/'By Product'!F439</f>
        <v>#DIV/0!</v>
      </c>
      <c r="I531" s="177" t="e">
        <f>-'By Product'!G580/'By Product'!G439</f>
        <v>#DIV/0!</v>
      </c>
      <c r="J531" s="177" t="e">
        <f>-'By Product'!H580/'By Product'!H439</f>
        <v>#DIV/0!</v>
      </c>
      <c r="K531" s="177" t="e">
        <f>-'By Product'!I580/'By Product'!I439</f>
        <v>#DIV/0!</v>
      </c>
      <c r="L531" s="199"/>
    </row>
    <row r="532" spans="2:12" ht="14.5" hidden="1" customHeight="1">
      <c r="B532" s="400"/>
      <c r="C532" s="303"/>
      <c r="D532" s="176" t="s">
        <v>341</v>
      </c>
      <c r="E532" s="303"/>
      <c r="F532" s="177" t="e">
        <f>-SUM('By Product'!D581:D583)/'By Product'!D441</f>
        <v>#DIV/0!</v>
      </c>
      <c r="G532" s="177" t="e">
        <f>-SUM('By Product'!E581:E583)/'By Product'!E441</f>
        <v>#DIV/0!</v>
      </c>
      <c r="H532" s="177" t="e">
        <f>-SUM('By Product'!F581:F583)/'By Product'!F441</f>
        <v>#DIV/0!</v>
      </c>
      <c r="I532" s="177" t="e">
        <f>-SUM('By Product'!G581:G583)/'By Product'!G441</f>
        <v>#DIV/0!</v>
      </c>
      <c r="J532" s="177" t="e">
        <f>-SUM('By Product'!H581:H583)/'By Product'!H441</f>
        <v>#DIV/0!</v>
      </c>
      <c r="K532" s="177" t="e">
        <f>-SUM('By Product'!I581:I583)/'By Product'!I441</f>
        <v>#DIV/0!</v>
      </c>
      <c r="L532" s="199"/>
    </row>
    <row r="533" spans="2:12" ht="14.5" hidden="1" customHeight="1">
      <c r="B533" s="400"/>
      <c r="C533" s="303"/>
      <c r="D533" s="186" t="s">
        <v>342</v>
      </c>
      <c r="E533" s="186"/>
      <c r="F533" s="186" t="e">
        <f t="shared" ref="F533:K533" si="33">SUM(F531:F532)</f>
        <v>#DIV/0!</v>
      </c>
      <c r="G533" s="186" t="e">
        <f t="shared" si="33"/>
        <v>#DIV/0!</v>
      </c>
      <c r="H533" s="186" t="e">
        <f t="shared" si="33"/>
        <v>#DIV/0!</v>
      </c>
      <c r="I533" s="186" t="e">
        <f t="shared" si="33"/>
        <v>#DIV/0!</v>
      </c>
      <c r="J533" s="186" t="e">
        <f t="shared" si="33"/>
        <v>#DIV/0!</v>
      </c>
      <c r="K533" s="186" t="e">
        <f t="shared" si="33"/>
        <v>#DIV/0!</v>
      </c>
      <c r="L533" s="202"/>
    </row>
    <row r="534" spans="2:12" ht="14.5" hidden="1" customHeight="1">
      <c r="B534" s="400"/>
      <c r="C534" s="303"/>
      <c r="D534" s="180"/>
      <c r="E534" s="303"/>
      <c r="F534" s="292"/>
      <c r="G534" s="292"/>
      <c r="H534" s="292"/>
      <c r="I534" s="292"/>
      <c r="J534" s="303"/>
      <c r="K534" s="303"/>
      <c r="L534" s="199"/>
    </row>
    <row r="535" spans="2:12" ht="14.5" hidden="1" customHeight="1">
      <c r="B535" s="400"/>
      <c r="C535" s="303"/>
      <c r="D535" s="183" t="s">
        <v>343</v>
      </c>
      <c r="E535" s="305"/>
      <c r="F535" s="410"/>
      <c r="G535" s="410"/>
      <c r="H535" s="410"/>
      <c r="I535" s="410"/>
      <c r="J535" s="305"/>
      <c r="K535" s="305"/>
      <c r="L535" s="199"/>
    </row>
    <row r="536" spans="2:12" ht="14.5" hidden="1" customHeight="1">
      <c r="B536" s="400"/>
      <c r="C536" s="303"/>
      <c r="D536" s="176" t="s">
        <v>52</v>
      </c>
      <c r="E536" s="303"/>
      <c r="F536" s="177" t="e">
        <f>-'By Product'!D588/'By Product'!D$12</f>
        <v>#DIV/0!</v>
      </c>
      <c r="G536" s="177">
        <f>-'By Product'!E588/'By Product'!E$12</f>
        <v>0</v>
      </c>
      <c r="H536" s="177">
        <f>-'By Product'!F588/'By Product'!F$12</f>
        <v>0</v>
      </c>
      <c r="I536" s="177" t="e">
        <f>-'By Product'!G588/'By Product'!G$12</f>
        <v>#DIV/0!</v>
      </c>
      <c r="J536" s="177">
        <f>-'By Product'!H588/'By Product'!H$12</f>
        <v>0</v>
      </c>
      <c r="K536" s="177">
        <f>-'By Product'!I588/'By Product'!I$12</f>
        <v>0</v>
      </c>
      <c r="L536" s="202"/>
    </row>
    <row r="537" spans="2:12" ht="14.5" hidden="1" customHeight="1">
      <c r="B537" s="400"/>
      <c r="C537" s="303"/>
      <c r="D537" s="176" t="s">
        <v>53</v>
      </c>
      <c r="E537" s="303"/>
      <c r="F537" s="177" t="e">
        <f>-'By Product'!D589/'By Product'!D$12</f>
        <v>#DIV/0!</v>
      </c>
      <c r="G537" s="177">
        <f>-'By Product'!E589/'By Product'!E$12</f>
        <v>0</v>
      </c>
      <c r="H537" s="177">
        <f>-'By Product'!F589/'By Product'!F$12</f>
        <v>0</v>
      </c>
      <c r="I537" s="177" t="e">
        <f>-'By Product'!G589/'By Product'!G$12</f>
        <v>#DIV/0!</v>
      </c>
      <c r="J537" s="177">
        <f>-'By Product'!H589/'By Product'!H$12</f>
        <v>0</v>
      </c>
      <c r="K537" s="177">
        <f>-'By Product'!I589/'By Product'!I$12</f>
        <v>0</v>
      </c>
      <c r="L537" s="202"/>
    </row>
    <row r="538" spans="2:12" ht="14.5" hidden="1" customHeight="1">
      <c r="B538" s="400"/>
      <c r="C538" s="303"/>
      <c r="D538" s="176" t="s">
        <v>54</v>
      </c>
      <c r="E538" s="303"/>
      <c r="F538" s="177" t="e">
        <f>-'By Product'!D590/'By Product'!D$12</f>
        <v>#DIV/0!</v>
      </c>
      <c r="G538" s="177">
        <f>-'By Product'!E590/'By Product'!E$12</f>
        <v>0</v>
      </c>
      <c r="H538" s="177">
        <f>-'By Product'!F590/'By Product'!F$12</f>
        <v>0</v>
      </c>
      <c r="I538" s="177" t="e">
        <f>-'By Product'!G590/'By Product'!G$12</f>
        <v>#DIV/0!</v>
      </c>
      <c r="J538" s="177">
        <f>-'By Product'!H590/'By Product'!H$12</f>
        <v>0</v>
      </c>
      <c r="K538" s="177">
        <f>-'By Product'!I590/'By Product'!I$12</f>
        <v>0</v>
      </c>
      <c r="L538" s="202"/>
    </row>
    <row r="539" spans="2:12" ht="14.5" hidden="1" customHeight="1">
      <c r="B539" s="400"/>
      <c r="C539" s="303"/>
      <c r="D539" s="176" t="s">
        <v>55</v>
      </c>
      <c r="E539" s="303"/>
      <c r="F539" s="177" t="e">
        <f>-'By Product'!D591/'By Product'!D$12</f>
        <v>#DIV/0!</v>
      </c>
      <c r="G539" s="177">
        <f>-'By Product'!E591/'By Product'!E$12</f>
        <v>0</v>
      </c>
      <c r="H539" s="177">
        <f>-'By Product'!F591/'By Product'!F$12</f>
        <v>0</v>
      </c>
      <c r="I539" s="177" t="e">
        <f>-'By Product'!G591/'By Product'!G$12</f>
        <v>#DIV/0!</v>
      </c>
      <c r="J539" s="177">
        <f>-'By Product'!H591/'By Product'!H$12</f>
        <v>0</v>
      </c>
      <c r="K539" s="177">
        <f>-'By Product'!I591/'By Product'!I$12</f>
        <v>0</v>
      </c>
      <c r="L539" s="202"/>
    </row>
    <row r="540" spans="2:12" ht="14.5" hidden="1" customHeight="1">
      <c r="B540" s="400"/>
      <c r="C540" s="303"/>
      <c r="D540" s="176" t="s">
        <v>56</v>
      </c>
      <c r="E540" s="303"/>
      <c r="F540" s="177" t="e">
        <f>-'By Product'!D592/'By Product'!D$12</f>
        <v>#DIV/0!</v>
      </c>
      <c r="G540" s="177">
        <f>-'By Product'!E592/'By Product'!E$12</f>
        <v>0</v>
      </c>
      <c r="H540" s="177">
        <f>-'By Product'!F592/'By Product'!F$12</f>
        <v>0</v>
      </c>
      <c r="I540" s="177" t="e">
        <f>-'By Product'!G592/'By Product'!G$12</f>
        <v>#DIV/0!</v>
      </c>
      <c r="J540" s="177">
        <f>-'By Product'!H592/'By Product'!H$12</f>
        <v>0</v>
      </c>
      <c r="K540" s="185">
        <f>AVERAGE(Assumption_Sheet!$B579:$F579)*'By Product'!$I$12/'By Product'!$I$12</f>
        <v>0.87412648497554168</v>
      </c>
      <c r="L540" s="202"/>
    </row>
    <row r="541" spans="2:12" ht="14.5" hidden="1" customHeight="1">
      <c r="B541" s="400"/>
      <c r="C541" s="303"/>
      <c r="D541" s="176" t="s">
        <v>57</v>
      </c>
      <c r="E541" s="303"/>
      <c r="F541" s="177" t="e">
        <f>-'By Product'!D593/'By Product'!D$12</f>
        <v>#DIV/0!</v>
      </c>
      <c r="G541" s="177">
        <f>-'By Product'!E593/'By Product'!E$12</f>
        <v>0</v>
      </c>
      <c r="H541" s="177">
        <f>-'By Product'!F593/'By Product'!F$12</f>
        <v>0</v>
      </c>
      <c r="I541" s="177" t="e">
        <f>-'By Product'!G593/'By Product'!G$12</f>
        <v>#DIV/0!</v>
      </c>
      <c r="J541" s="177">
        <f>-'By Product'!H593/'By Product'!H$12</f>
        <v>0</v>
      </c>
      <c r="K541" s="185">
        <f>AVERAGE(Assumption_Sheet!$B580:$F580)*'By Product'!$I$12/'By Product'!$I$12</f>
        <v>0.88898133814929492</v>
      </c>
      <c r="L541" s="202"/>
    </row>
    <row r="542" spans="2:12" ht="14.5" hidden="1" customHeight="1">
      <c r="B542" s="400"/>
      <c r="C542" s="303"/>
      <c r="D542" s="176" t="s">
        <v>58</v>
      </c>
      <c r="E542" s="303"/>
      <c r="F542" s="177" t="e">
        <f>-'By Product'!D594/'By Product'!D$12</f>
        <v>#DIV/0!</v>
      </c>
      <c r="G542" s="177">
        <f>-'By Product'!E594/'By Product'!E$12</f>
        <v>0</v>
      </c>
      <c r="H542" s="177">
        <f>-'By Product'!F594/'By Product'!F$12</f>
        <v>0</v>
      </c>
      <c r="I542" s="177" t="e">
        <f>-'By Product'!G594/'By Product'!G$12</f>
        <v>#DIV/0!</v>
      </c>
      <c r="J542" s="177">
        <f>-'By Product'!H594/'By Product'!H$12</f>
        <v>0</v>
      </c>
      <c r="K542" s="185">
        <f>AVERAGE(Assumption_Sheet!$B581:$F581)*'By Product'!$I$12/'By Product'!$I$12</f>
        <v>0.85443830089231299</v>
      </c>
      <c r="L542" s="202"/>
    </row>
    <row r="543" spans="2:12" ht="14.5" hidden="1" customHeight="1">
      <c r="B543" s="400"/>
      <c r="C543" s="303"/>
      <c r="D543" s="176" t="s">
        <v>59</v>
      </c>
      <c r="E543" s="303"/>
      <c r="F543" s="177" t="e">
        <f>-'By Product'!D595/'By Product'!D$12</f>
        <v>#DIV/0!</v>
      </c>
      <c r="G543" s="177">
        <f>-'By Product'!E595/'By Product'!E$12</f>
        <v>0</v>
      </c>
      <c r="H543" s="177">
        <f>-'By Product'!F595/'By Product'!F$12</f>
        <v>0</v>
      </c>
      <c r="I543" s="177" t="e">
        <f>-'By Product'!G595/'By Product'!G$12</f>
        <v>#DIV/0!</v>
      </c>
      <c r="J543" s="177">
        <f>-'By Product'!H595/'By Product'!H$12</f>
        <v>0</v>
      </c>
      <c r="K543" s="177">
        <f>-'By Product'!I595/'By Product'!I$12</f>
        <v>0</v>
      </c>
      <c r="L543" s="202"/>
    </row>
    <row r="544" spans="2:12" ht="14.5" hidden="1" customHeight="1">
      <c r="B544" s="400"/>
      <c r="C544" s="303"/>
      <c r="D544" s="176" t="s">
        <v>344</v>
      </c>
      <c r="E544" s="303"/>
      <c r="F544" s="177" t="e">
        <f>-SUM('By Product'!#REF!)/'By Product'!D$12</f>
        <v>#REF!</v>
      </c>
      <c r="G544" s="177" t="e">
        <f>-SUM('By Product'!#REF!)/'By Product'!E$12</f>
        <v>#REF!</v>
      </c>
      <c r="H544" s="177" t="e">
        <f>-SUM('By Product'!#REF!)/'By Product'!F$12</f>
        <v>#REF!</v>
      </c>
      <c r="I544" s="177" t="e">
        <f>-SUM('By Product'!#REF!)/'By Product'!G$12</f>
        <v>#REF!</v>
      </c>
      <c r="J544" s="177" t="e">
        <f>-SUM('By Product'!#REF!)/'By Product'!H$12</f>
        <v>#REF!</v>
      </c>
      <c r="K544" s="177" t="e">
        <f>-SUM('By Product'!#REF!)/'By Product'!I$12</f>
        <v>#REF!</v>
      </c>
      <c r="L544" s="202"/>
    </row>
    <row r="545" spans="2:12" ht="14.5" hidden="1" customHeight="1">
      <c r="B545" s="400"/>
      <c r="C545" s="303"/>
      <c r="D545" s="186" t="s">
        <v>342</v>
      </c>
      <c r="E545" s="186"/>
      <c r="F545" s="186" t="e">
        <f t="shared" ref="F545:K545" si="34">SUM(F536:F544)</f>
        <v>#DIV/0!</v>
      </c>
      <c r="G545" s="186" t="e">
        <f t="shared" si="34"/>
        <v>#REF!</v>
      </c>
      <c r="H545" s="186" t="e">
        <f t="shared" si="34"/>
        <v>#REF!</v>
      </c>
      <c r="I545" s="186" t="e">
        <f t="shared" si="34"/>
        <v>#DIV/0!</v>
      </c>
      <c r="J545" s="186" t="e">
        <f t="shared" si="34"/>
        <v>#REF!</v>
      </c>
      <c r="K545" s="186" t="e">
        <f t="shared" si="34"/>
        <v>#REF!</v>
      </c>
      <c r="L545" s="202"/>
    </row>
    <row r="546" spans="2:12" ht="14.5" hidden="1" customHeight="1">
      <c r="B546" s="400"/>
      <c r="C546" s="303"/>
      <c r="D546" s="180"/>
      <c r="E546" s="303"/>
      <c r="F546" s="292"/>
      <c r="G546" s="292"/>
      <c r="H546" s="292"/>
      <c r="I546" s="292"/>
      <c r="J546" s="303"/>
      <c r="K546" s="303"/>
      <c r="L546" s="199"/>
    </row>
    <row r="547" spans="2:12" ht="14.5" hidden="1" customHeight="1">
      <c r="B547" s="400"/>
      <c r="C547" s="303"/>
      <c r="D547" s="183" t="s">
        <v>345</v>
      </c>
      <c r="E547" s="305"/>
      <c r="F547" s="410"/>
      <c r="G547" s="410"/>
      <c r="H547" s="410"/>
      <c r="I547" s="410"/>
      <c r="J547" s="305"/>
      <c r="K547" s="305"/>
      <c r="L547" s="199"/>
    </row>
    <row r="548" spans="2:12" ht="14.5" hidden="1" customHeight="1">
      <c r="B548" s="400"/>
      <c r="C548" s="303"/>
      <c r="D548" s="176" t="s">
        <v>66</v>
      </c>
      <c r="E548" s="303"/>
      <c r="F548" s="177" t="e">
        <f>-'By Product'!D608/'By Product'!D$12</f>
        <v>#DIV/0!</v>
      </c>
      <c r="G548" s="177">
        <f>-'By Product'!E608/'By Product'!E$12</f>
        <v>0</v>
      </c>
      <c r="H548" s="177">
        <f>-'By Product'!F608/'By Product'!F$12</f>
        <v>0</v>
      </c>
      <c r="I548" s="177" t="e">
        <f>-'By Product'!G608/'By Product'!G$12</f>
        <v>#DIV/0!</v>
      </c>
      <c r="J548" s="177">
        <f>-'By Product'!H608/'By Product'!H$12</f>
        <v>0</v>
      </c>
      <c r="K548" s="177">
        <f>-'By Product'!I608/'By Product'!I$12</f>
        <v>0</v>
      </c>
      <c r="L548" s="202"/>
    </row>
    <row r="549" spans="2:12" ht="14.5" hidden="1" customHeight="1">
      <c r="B549" s="400"/>
      <c r="C549" s="303"/>
      <c r="D549" s="176" t="s">
        <v>67</v>
      </c>
      <c r="E549" s="303"/>
      <c r="F549" s="177" t="e">
        <f>-'By Product'!D609/'By Product'!D$12</f>
        <v>#DIV/0!</v>
      </c>
      <c r="G549" s="177">
        <f>-'By Product'!E609/'By Product'!E$12</f>
        <v>0</v>
      </c>
      <c r="H549" s="177">
        <f>-'By Product'!F609/'By Product'!F$12</f>
        <v>0</v>
      </c>
      <c r="I549" s="177" t="e">
        <f>-'By Product'!G609/'By Product'!G$12</f>
        <v>#DIV/0!</v>
      </c>
      <c r="J549" s="177">
        <f>-'By Product'!H609/'By Product'!H$12</f>
        <v>0</v>
      </c>
      <c r="K549" s="177">
        <f>-'By Product'!I609/'By Product'!I$12</f>
        <v>0</v>
      </c>
      <c r="L549" s="202"/>
    </row>
    <row r="550" spans="2:12" ht="14.5" hidden="1" customHeight="1">
      <c r="B550" s="400"/>
      <c r="C550" s="303"/>
      <c r="D550" s="176" t="s">
        <v>68</v>
      </c>
      <c r="E550" s="303"/>
      <c r="F550" s="177" t="e">
        <f>-'By Product'!D610/'By Product'!D$12</f>
        <v>#DIV/0!</v>
      </c>
      <c r="G550" s="177">
        <f>-'By Product'!E610/'By Product'!E$12</f>
        <v>0</v>
      </c>
      <c r="H550" s="177">
        <f>-'By Product'!F610/'By Product'!F$12</f>
        <v>0</v>
      </c>
      <c r="I550" s="177" t="e">
        <f>-'By Product'!G610/'By Product'!G$12</f>
        <v>#DIV/0!</v>
      </c>
      <c r="J550" s="177">
        <f>-'By Product'!H610/'By Product'!H$12</f>
        <v>0</v>
      </c>
      <c r="K550" s="177">
        <f>-'By Product'!I610/'By Product'!I$12</f>
        <v>0</v>
      </c>
      <c r="L550" s="202"/>
    </row>
    <row r="551" spans="2:12" ht="14.5" hidden="1" customHeight="1">
      <c r="B551" s="400"/>
      <c r="C551" s="303"/>
      <c r="D551" s="186" t="s">
        <v>346</v>
      </c>
      <c r="E551" s="186"/>
      <c r="F551" s="186" t="e">
        <f t="shared" ref="F551:K551" si="35">SUM(F548:F550)</f>
        <v>#DIV/0!</v>
      </c>
      <c r="G551" s="186">
        <f t="shared" si="35"/>
        <v>0</v>
      </c>
      <c r="H551" s="186">
        <f t="shared" si="35"/>
        <v>0</v>
      </c>
      <c r="I551" s="186" t="e">
        <f t="shared" si="35"/>
        <v>#DIV/0!</v>
      </c>
      <c r="J551" s="186">
        <f t="shared" si="35"/>
        <v>0</v>
      </c>
      <c r="K551" s="186">
        <f t="shared" si="35"/>
        <v>0</v>
      </c>
      <c r="L551" s="202"/>
    </row>
    <row r="552" spans="2:12" ht="14.5" hidden="1" customHeight="1">
      <c r="B552" s="400"/>
      <c r="C552" s="303"/>
      <c r="D552" s="180"/>
      <c r="E552" s="303"/>
      <c r="F552" s="292"/>
      <c r="G552" s="292"/>
      <c r="H552" s="292"/>
      <c r="I552" s="292"/>
      <c r="J552" s="303"/>
      <c r="K552" s="303"/>
      <c r="L552" s="199"/>
    </row>
    <row r="553" spans="2:12" ht="14.5" hidden="1" customHeight="1">
      <c r="B553" s="400"/>
      <c r="C553" s="303"/>
      <c r="D553" s="183" t="s">
        <v>70</v>
      </c>
      <c r="E553" s="305"/>
      <c r="F553" s="410"/>
      <c r="G553" s="410"/>
      <c r="H553" s="410"/>
      <c r="I553" s="410"/>
      <c r="J553" s="305"/>
      <c r="K553" s="305"/>
      <c r="L553" s="199"/>
    </row>
    <row r="554" spans="2:12" ht="14.5" hidden="1" customHeight="1">
      <c r="B554" s="400"/>
      <c r="C554" s="303"/>
      <c r="D554" s="176" t="s">
        <v>347</v>
      </c>
      <c r="E554" s="303"/>
      <c r="F554" s="177" t="e">
        <f>-'By Product'!D615/'By Product'!D$12</f>
        <v>#DIV/0!</v>
      </c>
      <c r="G554" s="177">
        <f>-'By Product'!E615/'By Product'!E$12</f>
        <v>0</v>
      </c>
      <c r="H554" s="177">
        <f>-'By Product'!F615/'By Product'!F$12</f>
        <v>0</v>
      </c>
      <c r="I554" s="177" t="e">
        <f>-'By Product'!G615/'By Product'!G$12</f>
        <v>#DIV/0!</v>
      </c>
      <c r="J554" s="177">
        <f>-'By Product'!H615/'By Product'!H$12</f>
        <v>0</v>
      </c>
      <c r="K554" s="177">
        <f>-'By Product'!I615/'By Product'!I$12</f>
        <v>0</v>
      </c>
      <c r="L554" s="202"/>
    </row>
    <row r="555" spans="2:12" ht="14.5" hidden="1" customHeight="1">
      <c r="B555" s="400"/>
      <c r="C555" s="303"/>
      <c r="D555" s="176" t="s">
        <v>348</v>
      </c>
      <c r="E555" s="303"/>
      <c r="F555" s="177" t="e">
        <f>-'By Product'!D618/'By Product'!D$12</f>
        <v>#DIV/0!</v>
      </c>
      <c r="G555" s="177">
        <f>-'By Product'!E618/'By Product'!E$12</f>
        <v>0</v>
      </c>
      <c r="H555" s="177">
        <f>-'By Product'!F618/'By Product'!F$12</f>
        <v>0</v>
      </c>
      <c r="I555" s="177" t="e">
        <f>-'By Product'!G618/'By Product'!G$12</f>
        <v>#DIV/0!</v>
      </c>
      <c r="J555" s="177">
        <f>-'By Product'!H618/'By Product'!H$12</f>
        <v>0</v>
      </c>
      <c r="K555" s="177">
        <f>-'By Product'!I618/'By Product'!I$12</f>
        <v>0</v>
      </c>
      <c r="L555" s="202"/>
    </row>
    <row r="556" spans="2:12" ht="14.5" hidden="1" customHeight="1">
      <c r="B556" s="400"/>
      <c r="C556" s="303"/>
      <c r="D556" s="176" t="s">
        <v>349</v>
      </c>
      <c r="E556" s="303"/>
      <c r="F556" s="177" t="e">
        <f>-'By Product'!D619/'By Product'!D$12</f>
        <v>#DIV/0!</v>
      </c>
      <c r="G556" s="177">
        <f>-'By Product'!E619/'By Product'!E$12</f>
        <v>0</v>
      </c>
      <c r="H556" s="177">
        <f>-'By Product'!F619/'By Product'!F$12</f>
        <v>0</v>
      </c>
      <c r="I556" s="177" t="e">
        <f>-'By Product'!G619/'By Product'!G$12</f>
        <v>#DIV/0!</v>
      </c>
      <c r="J556" s="177">
        <f>-'By Product'!H619/'By Product'!H$12</f>
        <v>0</v>
      </c>
      <c r="K556" s="177">
        <f>-'By Product'!I619/'By Product'!I$12</f>
        <v>0</v>
      </c>
      <c r="L556" s="202"/>
    </row>
    <row r="557" spans="2:12" ht="14.5" hidden="1" customHeight="1">
      <c r="B557" s="400"/>
      <c r="C557" s="303"/>
      <c r="D557" s="176" t="s">
        <v>350</v>
      </c>
      <c r="E557" s="303"/>
      <c r="F557" s="177" t="e">
        <f>-'By Product'!D620/'By Product'!D$12</f>
        <v>#DIV/0!</v>
      </c>
      <c r="G557" s="177">
        <f>-'By Product'!E620/'By Product'!E$12</f>
        <v>0</v>
      </c>
      <c r="H557" s="177">
        <f>-'By Product'!F620/'By Product'!F$12</f>
        <v>0</v>
      </c>
      <c r="I557" s="177" t="e">
        <f>-'By Product'!G620/'By Product'!G$12</f>
        <v>#DIV/0!</v>
      </c>
      <c r="J557" s="177">
        <f>-'By Product'!H620/'By Product'!H$12</f>
        <v>0</v>
      </c>
      <c r="K557" s="177">
        <f>-'By Product'!I620/'By Product'!I$12</f>
        <v>0</v>
      </c>
      <c r="L557" s="202"/>
    </row>
    <row r="558" spans="2:12" ht="14.5" hidden="1" customHeight="1">
      <c r="B558" s="400"/>
      <c r="C558" s="303"/>
      <c r="D558" s="176" t="s">
        <v>351</v>
      </c>
      <c r="E558" s="303"/>
      <c r="F558" s="177" t="e">
        <f>-'By Product'!D621/'By Product'!D$12</f>
        <v>#DIV/0!</v>
      </c>
      <c r="G558" s="177">
        <f>-'By Product'!E621/'By Product'!E$12</f>
        <v>0</v>
      </c>
      <c r="H558" s="177">
        <f>-'By Product'!F621/'By Product'!F$12</f>
        <v>0</v>
      </c>
      <c r="I558" s="177" t="e">
        <f>-'By Product'!G621/'By Product'!G$12</f>
        <v>#DIV/0!</v>
      </c>
      <c r="J558" s="177">
        <f>-'By Product'!H621/'By Product'!H$12</f>
        <v>0</v>
      </c>
      <c r="K558" s="177">
        <f>-'By Product'!I621/'By Product'!I$12</f>
        <v>0</v>
      </c>
      <c r="L558" s="202"/>
    </row>
    <row r="559" spans="2:12" ht="14.5" hidden="1" customHeight="1">
      <c r="B559" s="400"/>
      <c r="C559" s="303"/>
      <c r="D559" s="186" t="s">
        <v>352</v>
      </c>
      <c r="E559" s="186"/>
      <c r="F559" s="186" t="e">
        <f t="shared" ref="F559:K559" si="36">SUM(F554:F558)</f>
        <v>#DIV/0!</v>
      </c>
      <c r="G559" s="186">
        <f t="shared" si="36"/>
        <v>0</v>
      </c>
      <c r="H559" s="186">
        <f t="shared" si="36"/>
        <v>0</v>
      </c>
      <c r="I559" s="186" t="e">
        <f t="shared" si="36"/>
        <v>#DIV/0!</v>
      </c>
      <c r="J559" s="186">
        <f t="shared" si="36"/>
        <v>0</v>
      </c>
      <c r="K559" s="186">
        <f t="shared" si="36"/>
        <v>0</v>
      </c>
      <c r="L559" s="202"/>
    </row>
    <row r="560" spans="2:12" ht="14.5" hidden="1" customHeight="1">
      <c r="B560" s="400"/>
      <c r="C560" s="303"/>
      <c r="D560" s="180"/>
      <c r="E560" s="303"/>
      <c r="F560" s="292"/>
      <c r="G560" s="292"/>
      <c r="H560" s="292"/>
      <c r="I560" s="292"/>
      <c r="J560" s="303"/>
      <c r="K560" s="303"/>
      <c r="L560" s="199"/>
    </row>
    <row r="561" spans="2:12" ht="14.5" hidden="1" customHeight="1">
      <c r="B561" s="400"/>
      <c r="C561" s="181" t="s">
        <v>353</v>
      </c>
      <c r="D561" s="182"/>
      <c r="E561" s="303"/>
      <c r="F561" s="292"/>
      <c r="G561" s="292"/>
      <c r="H561" s="292"/>
      <c r="I561" s="292"/>
      <c r="J561" s="303"/>
      <c r="K561" s="303"/>
      <c r="L561" s="199"/>
    </row>
    <row r="562" spans="2:12" ht="14.5" hidden="1" customHeight="1">
      <c r="B562" s="400"/>
      <c r="C562" s="303"/>
      <c r="D562" s="190" t="s">
        <v>81</v>
      </c>
      <c r="E562" s="187"/>
      <c r="F562" s="187" t="e">
        <f>-'By Product'!D630/'By Product'!D$12</f>
        <v>#DIV/0!</v>
      </c>
      <c r="G562" s="187">
        <f>-'By Product'!E630/'By Product'!E$12</f>
        <v>0</v>
      </c>
      <c r="H562" s="187">
        <f>-'By Product'!F630/'By Product'!F$12</f>
        <v>0</v>
      </c>
      <c r="I562" s="187" t="e">
        <f>-'By Product'!G630/'By Product'!G$12</f>
        <v>#DIV/0!</v>
      </c>
      <c r="J562" s="187">
        <f>-'By Product'!H630/'By Product'!H$12</f>
        <v>0</v>
      </c>
      <c r="K562" s="187">
        <f>-'By Product'!I630/'By Product'!I$12</f>
        <v>0</v>
      </c>
      <c r="L562" s="202"/>
    </row>
    <row r="563" spans="2:12" ht="14.5" hidden="1" customHeight="1">
      <c r="B563" s="400"/>
      <c r="C563" s="303"/>
      <c r="D563" s="187"/>
      <c r="E563" s="187"/>
      <c r="F563" s="187"/>
      <c r="G563" s="187"/>
      <c r="H563" s="187"/>
      <c r="I563" s="187"/>
      <c r="J563" s="187"/>
      <c r="K563" s="187"/>
      <c r="L563" s="202"/>
    </row>
    <row r="564" spans="2:12" ht="15" hidden="1" customHeight="1" thickBot="1">
      <c r="B564" s="400"/>
      <c r="C564" s="303"/>
      <c r="D564" s="189" t="s">
        <v>342</v>
      </c>
      <c r="E564" s="189"/>
      <c r="F564" s="189" t="e">
        <f t="shared" ref="F564:K564" si="37">SUM(F533,F545,F551,F559,F562)</f>
        <v>#DIV/0!</v>
      </c>
      <c r="G564" s="189" t="e">
        <f t="shared" si="37"/>
        <v>#DIV/0!</v>
      </c>
      <c r="H564" s="189" t="e">
        <f t="shared" si="37"/>
        <v>#DIV/0!</v>
      </c>
      <c r="I564" s="189" t="e">
        <f t="shared" si="37"/>
        <v>#DIV/0!</v>
      </c>
      <c r="J564" s="189" t="e">
        <f t="shared" si="37"/>
        <v>#DIV/0!</v>
      </c>
      <c r="K564" s="189" t="e">
        <f t="shared" si="37"/>
        <v>#DIV/0!</v>
      </c>
      <c r="L564" s="202"/>
    </row>
    <row r="565" spans="2:12" ht="146.5" hidden="1" customHeight="1" thickTop="1">
      <c r="B565" s="400"/>
      <c r="C565" s="303"/>
      <c r="D565" s="191"/>
      <c r="E565" s="191"/>
      <c r="F565" s="191"/>
      <c r="G565" s="191"/>
      <c r="H565" s="191"/>
      <c r="I565" s="191"/>
      <c r="J565" s="191"/>
      <c r="K565" s="191"/>
      <c r="L565" s="202"/>
    </row>
    <row r="566" spans="2:12" ht="14.5" hidden="1" customHeight="1">
      <c r="B566" s="400"/>
      <c r="C566" s="303"/>
      <c r="D566" s="191"/>
      <c r="E566" s="215" t="s">
        <v>354</v>
      </c>
      <c r="F566" s="217" t="e">
        <f>ROUND(('By Product'!D$150/'By Product'!D$12)-Model_Summary!F$61-Model_Summary!F$10,0)</f>
        <v>#DIV/0!</v>
      </c>
      <c r="G566" s="217" t="e">
        <f>ROUND(('By Product'!E$150/'By Product'!E$12)-Model_Summary!G$61-Model_Summary!G$10,0)</f>
        <v>#REF!</v>
      </c>
      <c r="H566" s="217" t="e">
        <f>ROUND(('By Product'!F$150/'By Product'!F$12)-Model_Summary!H$61-Model_Summary!H$10,0)</f>
        <v>#REF!</v>
      </c>
      <c r="I566" s="217" t="e">
        <f>ROUND(('By Product'!G$150/'By Product'!G$12)-Model_Summary!I$61-Model_Summary!I$10,0)</f>
        <v>#DIV/0!</v>
      </c>
      <c r="J566" s="217" t="e">
        <f>ROUND(('By Product'!H$150/'By Product'!H$12)-Model_Summary!J$61-Model_Summary!J$10,0)</f>
        <v>#REF!</v>
      </c>
      <c r="K566" s="217" t="e">
        <f>ROUND(('By Product'!I$150/'By Product'!I$12)-Model_Summary!K$61-Model_Summary!K$10,0)</f>
        <v>#REF!</v>
      </c>
      <c r="L566" s="202"/>
    </row>
    <row r="567" spans="2:12" ht="15" hidden="1" thickBot="1">
      <c r="B567" s="414"/>
      <c r="C567" s="334"/>
      <c r="D567" s="334"/>
      <c r="E567" s="334"/>
      <c r="F567" s="334"/>
      <c r="G567" s="334"/>
      <c r="H567" s="334"/>
      <c r="I567" s="334"/>
      <c r="J567" s="334"/>
      <c r="K567" s="334"/>
      <c r="L567" s="201"/>
    </row>
    <row r="568" spans="2:12" hidden="1">
      <c r="B568" s="260"/>
      <c r="C568" s="260"/>
      <c r="D568" s="260"/>
      <c r="E568" s="260"/>
      <c r="F568" s="260"/>
      <c r="G568" s="260"/>
      <c r="H568" s="260"/>
      <c r="I568" s="260"/>
      <c r="J568" s="260"/>
      <c r="K568" s="260"/>
    </row>
    <row r="569" spans="2:12" hidden="1"/>
    <row r="570" spans="2:12" hidden="1"/>
    <row r="571" spans="2:12" hidden="1"/>
    <row r="572" spans="2:12" hidden="1"/>
    <row r="573" spans="2:12" hidden="1"/>
    <row r="574" spans="2:12" hidden="1"/>
  </sheetData>
  <mergeCells count="3">
    <mergeCell ref="E200:K201"/>
    <mergeCell ref="E334:K335"/>
    <mergeCell ref="E399:K400"/>
  </mergeCells>
  <conditionalFormatting sqref="F75:K76">
    <cfRule type="colorScale" priority="1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140:K141">
    <cfRule type="colorScale" priority="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205:K206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272:K273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:J8"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339:K340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7:K8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10:K511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404:K405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8549-2EE5-42BF-9297-4262DDC197BC}">
  <dimension ref="A1:P327"/>
  <sheetViews>
    <sheetView topLeftCell="A149" zoomScale="77" zoomScaleNormal="77" workbookViewId="0">
      <pane xSplit="1" topLeftCell="B1" activePane="topRight" state="frozen"/>
      <selection pane="topRight" activeCell="A156" sqref="A156"/>
    </sheetView>
  </sheetViews>
  <sheetFormatPr defaultColWidth="8.58203125" defaultRowHeight="14.5" outlineLevelRow="1"/>
  <cols>
    <col min="1" max="1" width="29.5" style="60" customWidth="1"/>
    <col min="2" max="2" width="12.58203125" style="60" bestFit="1" customWidth="1"/>
    <col min="3" max="3" width="14" style="60" customWidth="1"/>
    <col min="4" max="4" width="15.25" style="60" bestFit="1" customWidth="1"/>
    <col min="5" max="5" width="14.33203125" style="60" bestFit="1" customWidth="1"/>
    <col min="6" max="6" width="12.33203125" style="60" bestFit="1" customWidth="1"/>
    <col min="7" max="7" width="13.83203125" style="60" customWidth="1"/>
    <col min="8" max="8" width="13.75" style="60" customWidth="1"/>
    <col min="9" max="9" width="4.5" style="481" customWidth="1"/>
    <col min="10" max="10" width="12.58203125" style="480" customWidth="1"/>
    <col min="11" max="11" width="15.25" style="480" bestFit="1" customWidth="1"/>
    <col min="12" max="12" width="14.33203125" style="480" bestFit="1" customWidth="1"/>
    <col min="13" max="13" width="12.33203125" style="480" bestFit="1" customWidth="1"/>
    <col min="14" max="14" width="13.83203125" style="480" customWidth="1"/>
    <col min="15" max="15" width="13.5" style="480" customWidth="1"/>
    <col min="16" max="16" width="8.58203125" style="481"/>
    <col min="17" max="16384" width="8.58203125" style="60"/>
  </cols>
  <sheetData>
    <row r="1" spans="1:16">
      <c r="C1" s="749"/>
      <c r="D1" s="749"/>
      <c r="E1" s="749"/>
      <c r="F1" s="749"/>
      <c r="G1" s="749"/>
      <c r="H1" s="749"/>
      <c r="J1" s="749"/>
      <c r="K1" s="749"/>
      <c r="L1" s="749"/>
      <c r="M1" s="749"/>
      <c r="N1" s="749"/>
      <c r="O1" s="749"/>
    </row>
    <row r="2" spans="1:16" s="62" customFormat="1" ht="6" customHeight="1">
      <c r="A2" s="15" t="s">
        <v>0</v>
      </c>
      <c r="B2" s="15"/>
      <c r="C2" s="16"/>
      <c r="D2" s="15"/>
      <c r="E2" s="15"/>
      <c r="F2" s="15"/>
      <c r="G2" s="15"/>
      <c r="H2" s="15"/>
      <c r="I2" s="481"/>
      <c r="J2" s="749"/>
      <c r="K2" s="749"/>
      <c r="L2" s="749"/>
      <c r="M2" s="749"/>
      <c r="N2" s="749"/>
      <c r="O2" s="749"/>
      <c r="P2" s="481"/>
    </row>
    <row r="3" spans="1:16" s="64" customFormat="1">
      <c r="A3" s="24" t="s">
        <v>1</v>
      </c>
      <c r="B3" s="63"/>
      <c r="C3" s="48" t="s">
        <v>2</v>
      </c>
      <c r="D3" s="48" t="s">
        <v>3</v>
      </c>
      <c r="E3" s="48" t="s">
        <v>4</v>
      </c>
      <c r="F3" s="48" t="s">
        <v>5</v>
      </c>
      <c r="G3" s="48" t="s">
        <v>6</v>
      </c>
      <c r="H3" s="48" t="s">
        <v>7</v>
      </c>
      <c r="I3" s="481"/>
      <c r="J3" s="749"/>
      <c r="K3" s="749"/>
      <c r="L3" s="749"/>
      <c r="M3" s="749"/>
      <c r="N3" s="749"/>
      <c r="O3" s="749"/>
      <c r="P3" s="481"/>
    </row>
    <row r="4" spans="1:16" ht="6.75" customHeight="1">
      <c r="A4" s="260"/>
      <c r="B4" s="260"/>
      <c r="C4" s="260"/>
      <c r="D4" s="260"/>
      <c r="E4" s="260"/>
      <c r="F4" s="260"/>
      <c r="G4" s="260"/>
      <c r="H4" s="260"/>
      <c r="J4" s="749"/>
      <c r="K4" s="749"/>
      <c r="L4" s="749"/>
      <c r="M4" s="749"/>
      <c r="N4" s="749"/>
      <c r="O4" s="749"/>
    </row>
    <row r="5" spans="1:16">
      <c r="A5" s="260" t="s">
        <v>8</v>
      </c>
      <c r="B5" s="4"/>
      <c r="C5" s="17">
        <f>Model_Summary!F519</f>
        <v>7.0980720081469884E-2</v>
      </c>
      <c r="D5" s="17">
        <f>Model_Summary!G519</f>
        <v>6.0024908213089367E-2</v>
      </c>
      <c r="E5" s="17">
        <f>Model_Summary!H519</f>
        <v>6.2979943202299382E-2</v>
      </c>
      <c r="F5" s="17">
        <f>Model_Summary!I519</f>
        <v>0.10715764404203197</v>
      </c>
      <c r="G5" s="17">
        <f>Model_Summary!J519</f>
        <v>9.4278345471185743E-2</v>
      </c>
      <c r="H5" s="17">
        <f>Model_Summary!K519</f>
        <v>7.7095740520046613E-2</v>
      </c>
      <c r="J5" s="749"/>
      <c r="K5" s="749"/>
      <c r="L5" s="749"/>
      <c r="M5" s="749"/>
      <c r="N5" s="749"/>
      <c r="O5" s="749"/>
    </row>
    <row r="6" spans="1:16" ht="15" customHeight="1">
      <c r="A6" s="260" t="s">
        <v>9</v>
      </c>
      <c r="B6" s="4"/>
      <c r="C6" s="17">
        <f>Model_Summary!F520</f>
        <v>4.3099999999999999E-2</v>
      </c>
      <c r="D6" s="17">
        <f>Model_Summary!G520</f>
        <v>3.5900000000000001E-2</v>
      </c>
      <c r="E6" s="17">
        <f>Model_Summary!H520</f>
        <v>3.7900000000000003E-2</v>
      </c>
      <c r="F6" s="17">
        <f>Model_Summary!I520</f>
        <v>6.7500000000000004E-2</v>
      </c>
      <c r="G6" s="17">
        <f>Model_Summary!J520</f>
        <v>5.8599999999999999E-2</v>
      </c>
      <c r="H6" s="17">
        <f>Model_Summary!K520</f>
        <v>4.7199999999999999E-2</v>
      </c>
      <c r="J6" s="749"/>
      <c r="K6" s="749"/>
      <c r="L6" s="749"/>
      <c r="M6" s="749"/>
      <c r="N6" s="749"/>
      <c r="O6" s="749"/>
    </row>
    <row r="7" spans="1:16" ht="15" customHeight="1">
      <c r="A7" s="260" t="s">
        <v>10</v>
      </c>
      <c r="B7" s="4"/>
      <c r="C7" s="18">
        <f>Model_Summary!F521</f>
        <v>11</v>
      </c>
      <c r="D7" s="18">
        <f>Model_Summary!G521</f>
        <v>11</v>
      </c>
      <c r="E7" s="18">
        <f>Model_Summary!H521</f>
        <v>12</v>
      </c>
      <c r="F7" s="18">
        <f>Model_Summary!I521</f>
        <v>9</v>
      </c>
      <c r="G7" s="18">
        <f>Model_Summary!J521</f>
        <v>9</v>
      </c>
      <c r="H7" s="18">
        <f>Model_Summary!K521</f>
        <v>11</v>
      </c>
      <c r="J7" s="749"/>
      <c r="K7" s="749"/>
      <c r="L7" s="749"/>
      <c r="M7" s="749"/>
      <c r="N7" s="749"/>
      <c r="O7" s="749"/>
    </row>
    <row r="8" spans="1:16" ht="15" customHeight="1">
      <c r="A8" s="260" t="s">
        <v>11</v>
      </c>
      <c r="B8" s="4"/>
      <c r="C8" s="17">
        <f>Model_Summary!F522</f>
        <v>0.13500000000000001</v>
      </c>
      <c r="D8" s="17">
        <f>Model_Summary!G522</f>
        <v>0.13500000000000001</v>
      </c>
      <c r="E8" s="17">
        <f>Model_Summary!H522</f>
        <v>0.13500000000000001</v>
      </c>
      <c r="F8" s="17">
        <f>Model_Summary!I522</f>
        <v>0.13500000000000001</v>
      </c>
      <c r="G8" s="17">
        <f>Model_Summary!J522</f>
        <v>0.13500000000000001</v>
      </c>
      <c r="H8" s="17">
        <f>Model_Summary!K522</f>
        <v>0.13500000000000001</v>
      </c>
      <c r="J8" s="749"/>
      <c r="K8" s="749"/>
      <c r="L8" s="749"/>
      <c r="M8" s="749"/>
      <c r="N8" s="749"/>
      <c r="O8" s="749"/>
    </row>
    <row r="9" spans="1:16">
      <c r="A9" s="274" t="s">
        <v>12</v>
      </c>
      <c r="B9" s="274"/>
      <c r="C9" s="27">
        <f>Model_Summary!F523</f>
        <v>0.128</v>
      </c>
      <c r="D9" s="27">
        <f>Model_Summary!G523</f>
        <v>5.1999999999999998E-2</v>
      </c>
      <c r="E9" s="27">
        <f>Model_Summary!H523</f>
        <v>7.0000000000000007E-2</v>
      </c>
      <c r="F9" s="27">
        <f>Model_Summary!I523</f>
        <v>0.29799999999999999</v>
      </c>
      <c r="G9" s="27">
        <f>Model_Summary!J523</f>
        <v>0.155</v>
      </c>
      <c r="H9" s="27">
        <f>Model_Summary!K523</f>
        <v>0.13100000000000001</v>
      </c>
      <c r="J9" s="749"/>
      <c r="K9" s="749"/>
      <c r="L9" s="749"/>
      <c r="M9" s="749"/>
      <c r="N9" s="749"/>
      <c r="O9" s="749"/>
    </row>
    <row r="10" spans="1:16" ht="3" customHeight="1">
      <c r="A10" s="260"/>
      <c r="B10" s="260"/>
      <c r="C10" s="2"/>
      <c r="D10" s="2"/>
      <c r="E10" s="2"/>
      <c r="F10" s="2"/>
      <c r="G10" s="2"/>
      <c r="H10" s="2"/>
      <c r="J10" s="749"/>
      <c r="K10" s="749"/>
      <c r="L10" s="749"/>
      <c r="M10" s="749"/>
      <c r="N10" s="749"/>
      <c r="O10" s="749"/>
    </row>
    <row r="11" spans="1:16">
      <c r="A11" s="260" t="s">
        <v>13</v>
      </c>
      <c r="B11" s="260"/>
      <c r="C11" s="18">
        <f>Model_Summary!F$14</f>
        <v>1</v>
      </c>
      <c r="D11" s="18">
        <f>Model_Summary!G$14</f>
        <v>1</v>
      </c>
      <c r="E11" s="18">
        <f>Model_Summary!H$14</f>
        <v>1</v>
      </c>
      <c r="F11" s="18">
        <f>Model_Summary!I$14</f>
        <v>1</v>
      </c>
      <c r="G11" s="18">
        <f>Model_Summary!J$14</f>
        <v>1</v>
      </c>
      <c r="H11" s="18">
        <f>Model_Summary!K$14</f>
        <v>1</v>
      </c>
      <c r="J11" s="749"/>
      <c r="K11" s="749"/>
      <c r="L11" s="749"/>
      <c r="M11" s="749"/>
      <c r="N11" s="749"/>
      <c r="O11" s="749"/>
    </row>
    <row r="12" spans="1:16">
      <c r="A12" s="260" t="s">
        <v>14</v>
      </c>
      <c r="B12" s="276"/>
      <c r="C12" s="18">
        <f>Model_Summary!F516</f>
        <v>0</v>
      </c>
      <c r="D12" s="18">
        <f>Model_Summary!G516</f>
        <v>607542</v>
      </c>
      <c r="E12" s="18">
        <f>Model_Summary!H516</f>
        <v>827959</v>
      </c>
      <c r="F12" s="18">
        <f>Model_Summary!I516</f>
        <v>0</v>
      </c>
      <c r="G12" s="18">
        <f>Model_Summary!J516</f>
        <v>1384287</v>
      </c>
      <c r="H12" s="18">
        <f>Model_Summary!K516</f>
        <v>657933</v>
      </c>
      <c r="J12" s="749"/>
      <c r="K12" s="749"/>
      <c r="L12" s="749"/>
      <c r="M12" s="749"/>
      <c r="N12" s="749"/>
      <c r="O12" s="749"/>
    </row>
    <row r="13" spans="1:16" ht="3" customHeight="1">
      <c r="A13" s="260"/>
      <c r="B13" s="276"/>
      <c r="C13" s="276"/>
      <c r="D13" s="276"/>
      <c r="E13" s="276"/>
      <c r="F13" s="276"/>
      <c r="G13" s="276"/>
      <c r="H13" s="276"/>
      <c r="J13" s="749"/>
      <c r="K13" s="749"/>
      <c r="L13" s="749"/>
      <c r="M13" s="749"/>
      <c r="N13" s="749"/>
      <c r="O13" s="749"/>
    </row>
    <row r="14" spans="1:16" ht="15" thickBot="1">
      <c r="A14" s="2" t="s">
        <v>15</v>
      </c>
      <c r="B14" s="260"/>
      <c r="C14" s="19">
        <f t="shared" ref="C14:H14" si="0">C11*C12</f>
        <v>0</v>
      </c>
      <c r="D14" s="19">
        <f t="shared" si="0"/>
        <v>607542</v>
      </c>
      <c r="E14" s="19">
        <f t="shared" si="0"/>
        <v>827959</v>
      </c>
      <c r="F14" s="19">
        <f t="shared" si="0"/>
        <v>0</v>
      </c>
      <c r="G14" s="19">
        <f t="shared" si="0"/>
        <v>1384287</v>
      </c>
      <c r="H14" s="19">
        <f t="shared" si="0"/>
        <v>657933</v>
      </c>
      <c r="J14" s="749"/>
      <c r="K14" s="749"/>
      <c r="L14" s="749"/>
      <c r="M14" s="749"/>
      <c r="N14" s="749"/>
      <c r="O14" s="749"/>
    </row>
    <row r="15" spans="1:16" ht="15" thickTop="1">
      <c r="A15" s="260" t="s">
        <v>16</v>
      </c>
      <c r="B15" s="260"/>
      <c r="C15" s="65">
        <f>Model_Summary!F518</f>
        <v>0.15</v>
      </c>
      <c r="D15" s="65">
        <f>Model_Summary!G518</f>
        <v>0.88</v>
      </c>
      <c r="E15" s="65">
        <f>Model_Summary!H518</f>
        <v>0.9</v>
      </c>
      <c r="F15" s="65">
        <f>Model_Summary!I518</f>
        <v>0.06</v>
      </c>
      <c r="G15" s="65">
        <f>Model_Summary!J518</f>
        <v>0.79</v>
      </c>
      <c r="H15" s="65">
        <f>Model_Summary!K518</f>
        <v>0.2</v>
      </c>
      <c r="J15" s="749"/>
      <c r="K15" s="749"/>
      <c r="L15" s="749"/>
      <c r="M15" s="749"/>
      <c r="N15" s="749"/>
      <c r="O15" s="749"/>
    </row>
    <row r="16" spans="1:16">
      <c r="A16" s="260" t="s">
        <v>17</v>
      </c>
      <c r="B16" s="260"/>
      <c r="C16" s="277">
        <f t="shared" ref="C16:H16" si="1">(C11/C15)</f>
        <v>6.666666666666667</v>
      </c>
      <c r="D16" s="277">
        <f t="shared" si="1"/>
        <v>1.1363636363636365</v>
      </c>
      <c r="E16" s="277">
        <f t="shared" si="1"/>
        <v>1.1111111111111112</v>
      </c>
      <c r="F16" s="277">
        <f t="shared" si="1"/>
        <v>16.666666666666668</v>
      </c>
      <c r="G16" s="277">
        <f t="shared" si="1"/>
        <v>1.2658227848101264</v>
      </c>
      <c r="H16" s="277">
        <f t="shared" si="1"/>
        <v>5</v>
      </c>
      <c r="J16" s="749"/>
      <c r="K16" s="749"/>
      <c r="L16" s="749"/>
      <c r="M16" s="749"/>
      <c r="N16" s="749"/>
      <c r="O16" s="749"/>
    </row>
    <row r="17" spans="1:16">
      <c r="A17" s="2" t="s">
        <v>18</v>
      </c>
      <c r="B17" s="260"/>
      <c r="C17" s="17"/>
      <c r="D17" s="17"/>
      <c r="E17" s="17"/>
      <c r="F17" s="17"/>
      <c r="G17" s="17"/>
      <c r="H17" s="17"/>
      <c r="J17" s="749"/>
      <c r="K17" s="749"/>
      <c r="L17" s="749"/>
      <c r="M17" s="749"/>
      <c r="N17" s="749"/>
      <c r="O17" s="749"/>
    </row>
    <row r="18" spans="1:16">
      <c r="A18" s="2" t="s">
        <v>19</v>
      </c>
      <c r="B18" s="260"/>
      <c r="C18" s="277">
        <f t="shared" ref="C18:H18" si="2">C$17*C14</f>
        <v>0</v>
      </c>
      <c r="D18" s="277">
        <f t="shared" si="2"/>
        <v>0</v>
      </c>
      <c r="E18" s="277">
        <f t="shared" si="2"/>
        <v>0</v>
      </c>
      <c r="F18" s="277">
        <f t="shared" si="2"/>
        <v>0</v>
      </c>
      <c r="G18" s="277">
        <f t="shared" si="2"/>
        <v>0</v>
      </c>
      <c r="H18" s="277">
        <f t="shared" si="2"/>
        <v>0</v>
      </c>
      <c r="J18" s="749"/>
      <c r="K18" s="749"/>
      <c r="L18" s="749"/>
      <c r="M18" s="749"/>
      <c r="N18" s="749"/>
      <c r="O18" s="749"/>
    </row>
    <row r="19" spans="1:16" s="62" customFormat="1">
      <c r="A19" s="26"/>
      <c r="B19" s="260"/>
      <c r="C19" s="260"/>
      <c r="D19" s="260"/>
      <c r="E19" s="260"/>
      <c r="F19" s="260"/>
      <c r="G19" s="260"/>
      <c r="H19" s="260"/>
      <c r="I19" s="481"/>
      <c r="J19" s="749"/>
      <c r="K19" s="749"/>
      <c r="L19" s="749"/>
      <c r="M19" s="749"/>
      <c r="N19" s="749"/>
      <c r="O19" s="749"/>
      <c r="P19" s="481"/>
    </row>
    <row r="20" spans="1:16">
      <c r="A20" s="2" t="s">
        <v>11</v>
      </c>
      <c r="B20" s="260"/>
      <c r="C20" s="278">
        <f t="shared" ref="C20:H20" si="3">C8</f>
        <v>0.13500000000000001</v>
      </c>
      <c r="D20" s="278">
        <f t="shared" si="3"/>
        <v>0.13500000000000001</v>
      </c>
      <c r="E20" s="278">
        <f t="shared" si="3"/>
        <v>0.13500000000000001</v>
      </c>
      <c r="F20" s="278">
        <f t="shared" si="3"/>
        <v>0.13500000000000001</v>
      </c>
      <c r="G20" s="278">
        <f t="shared" si="3"/>
        <v>0.13500000000000001</v>
      </c>
      <c r="H20" s="278">
        <f t="shared" si="3"/>
        <v>0.13500000000000001</v>
      </c>
      <c r="J20" s="749"/>
      <c r="K20" s="749"/>
      <c r="L20" s="749"/>
      <c r="M20" s="749"/>
      <c r="N20" s="749"/>
      <c r="O20" s="749"/>
    </row>
    <row r="21" spans="1:16">
      <c r="A21" s="260"/>
      <c r="B21" s="260"/>
      <c r="C21" s="260"/>
      <c r="D21" s="260"/>
      <c r="E21" s="260"/>
      <c r="F21" s="260"/>
      <c r="G21" s="260"/>
      <c r="H21" s="260"/>
      <c r="J21" s="749"/>
      <c r="K21" s="749"/>
      <c r="L21" s="749"/>
      <c r="M21" s="749"/>
      <c r="N21" s="749"/>
      <c r="O21" s="749"/>
    </row>
    <row r="22" spans="1:16" ht="15" hidden="1" customHeight="1" outlineLevel="1">
      <c r="A22" s="6" t="s">
        <v>20</v>
      </c>
      <c r="B22" s="2"/>
      <c r="C22" s="260"/>
      <c r="D22" s="260"/>
      <c r="E22" s="260"/>
      <c r="F22" s="260"/>
      <c r="G22" s="260"/>
      <c r="H22" s="260"/>
      <c r="J22" s="749"/>
      <c r="K22" s="749"/>
      <c r="L22" s="749"/>
      <c r="M22" s="749"/>
      <c r="N22" s="749"/>
      <c r="O22" s="749"/>
    </row>
    <row r="23" spans="1:16" ht="15" hidden="1" customHeight="1" outlineLevel="1">
      <c r="A23" s="7" t="s">
        <v>22</v>
      </c>
      <c r="B23" s="260">
        <v>1</v>
      </c>
      <c r="C23" s="279">
        <f t="shared" ref="C23:H38" si="4">IFERROR(PPMT(C$101,$B23,C$102,C$103),0)</f>
        <v>0</v>
      </c>
      <c r="D23" s="279">
        <f t="shared" si="4"/>
        <v>-40574.195923495754</v>
      </c>
      <c r="E23" s="279">
        <f t="shared" si="4"/>
        <v>-48231.418639503499</v>
      </c>
      <c r="F23" s="279">
        <f t="shared" si="4"/>
        <v>0</v>
      </c>
      <c r="G23" s="279">
        <f t="shared" si="4"/>
        <v>-104420.59684942813</v>
      </c>
      <c r="H23" s="279">
        <f t="shared" si="4"/>
        <v>-40142.696661515016</v>
      </c>
      <c r="J23" s="749"/>
      <c r="K23" s="749"/>
      <c r="L23" s="749"/>
      <c r="M23" s="749"/>
      <c r="N23" s="749"/>
      <c r="O23" s="749"/>
    </row>
    <row r="24" spans="1:16" ht="15" hidden="1" customHeight="1" outlineLevel="1">
      <c r="A24" s="7" t="s">
        <v>23</v>
      </c>
      <c r="B24" s="260">
        <v>2</v>
      </c>
      <c r="C24" s="279">
        <f t="shared" si="4"/>
        <v>0</v>
      </c>
      <c r="D24" s="279">
        <f t="shared" si="4"/>
        <v>-43009.658309623483</v>
      </c>
      <c r="E24" s="279">
        <f t="shared" si="4"/>
        <v>-51269.030645985767</v>
      </c>
      <c r="F24" s="279">
        <f t="shared" si="4"/>
        <v>0</v>
      </c>
      <c r="G24" s="279">
        <f t="shared" si="4"/>
        <v>-114265.19795350594</v>
      </c>
      <c r="H24" s="279">
        <f t="shared" si="4"/>
        <v>-43237.527587106117</v>
      </c>
      <c r="J24" s="749"/>
      <c r="K24" s="749"/>
      <c r="L24" s="749"/>
      <c r="M24" s="749"/>
      <c r="N24" s="749"/>
      <c r="O24" s="749"/>
    </row>
    <row r="25" spans="1:16" ht="15" hidden="1" customHeight="1" outlineLevel="1">
      <c r="A25" s="7" t="s">
        <v>24</v>
      </c>
      <c r="B25" s="260">
        <v>3</v>
      </c>
      <c r="C25" s="279">
        <f t="shared" si="4"/>
        <v>0</v>
      </c>
      <c r="D25" s="279">
        <f t="shared" si="4"/>
        <v>-45591.309101934974</v>
      </c>
      <c r="E25" s="279">
        <f t="shared" si="4"/>
        <v>-54497.951284106886</v>
      </c>
      <c r="F25" s="279">
        <f t="shared" si="4"/>
        <v>0</v>
      </c>
      <c r="G25" s="279">
        <f t="shared" si="4"/>
        <v>-125037.93176150002</v>
      </c>
      <c r="H25" s="279">
        <f t="shared" si="4"/>
        <v>-46570.956794690006</v>
      </c>
      <c r="J25" s="749"/>
      <c r="K25" s="749"/>
      <c r="L25" s="749"/>
      <c r="M25" s="749"/>
      <c r="N25" s="749"/>
      <c r="O25" s="749"/>
    </row>
    <row r="26" spans="1:16" ht="15" hidden="1" customHeight="1" outlineLevel="1">
      <c r="A26" s="7" t="s">
        <v>25</v>
      </c>
      <c r="B26" s="260">
        <v>4</v>
      </c>
      <c r="C26" s="279">
        <f t="shared" si="4"/>
        <v>0</v>
      </c>
      <c r="D26" s="279">
        <f t="shared" si="4"/>
        <v>-48327.923246093196</v>
      </c>
      <c r="E26" s="279">
        <f t="shared" si="4"/>
        <v>-57930.229160621617</v>
      </c>
      <c r="F26" s="279">
        <f t="shared" si="4"/>
        <v>0</v>
      </c>
      <c r="G26" s="279">
        <f t="shared" si="4"/>
        <v>-136826.30108911323</v>
      </c>
      <c r="H26" s="279">
        <f t="shared" si="4"/>
        <v>-50161.379195503738</v>
      </c>
      <c r="J26" s="749"/>
      <c r="K26" s="749"/>
      <c r="L26" s="749"/>
      <c r="M26" s="749"/>
      <c r="N26" s="749"/>
      <c r="O26" s="749"/>
    </row>
    <row r="27" spans="1:16" ht="15" hidden="1" customHeight="1" outlineLevel="1">
      <c r="A27" s="7" t="s">
        <v>26</v>
      </c>
      <c r="B27" s="260">
        <v>5</v>
      </c>
      <c r="C27" s="279">
        <f t="shared" si="4"/>
        <v>0</v>
      </c>
      <c r="D27" s="279">
        <f t="shared" si="4"/>
        <v>-51228.802403069174</v>
      </c>
      <c r="E27" s="279">
        <f t="shared" si="4"/>
        <v>-61578.671702853768</v>
      </c>
      <c r="F27" s="279">
        <f t="shared" si="4"/>
        <v>0</v>
      </c>
      <c r="G27" s="279">
        <f t="shared" si="4"/>
        <v>-149726.05837273714</v>
      </c>
      <c r="H27" s="279">
        <f t="shared" si="4"/>
        <v>-54028.607870087952</v>
      </c>
      <c r="J27" s="749"/>
      <c r="K27" s="749"/>
      <c r="L27" s="749"/>
      <c r="M27" s="749"/>
      <c r="N27" s="749"/>
      <c r="O27" s="749"/>
    </row>
    <row r="28" spans="1:16" ht="15" hidden="1" customHeight="1" outlineLevel="1">
      <c r="A28" s="7" t="s">
        <v>27</v>
      </c>
      <c r="B28" s="260">
        <v>6</v>
      </c>
      <c r="C28" s="279">
        <f t="shared" si="4"/>
        <v>0</v>
      </c>
      <c r="D28" s="279">
        <f t="shared" si="4"/>
        <v>-54303.806565179897</v>
      </c>
      <c r="E28" s="279">
        <f t="shared" si="4"/>
        <v>-65456.892949172528</v>
      </c>
      <c r="F28" s="279">
        <f t="shared" si="4"/>
        <v>0</v>
      </c>
      <c r="G28" s="279">
        <f t="shared" si="4"/>
        <v>-163841.98343004097</v>
      </c>
      <c r="H28" s="279">
        <f t="shared" si="4"/>
        <v>-58193.983403099599</v>
      </c>
      <c r="J28" s="749"/>
      <c r="K28" s="749"/>
      <c r="L28" s="749"/>
      <c r="M28" s="749"/>
      <c r="N28" s="749"/>
      <c r="O28" s="749"/>
    </row>
    <row r="29" spans="1:16" ht="15" hidden="1" customHeight="1" outlineLevel="1">
      <c r="A29" s="7" t="s">
        <v>28</v>
      </c>
      <c r="B29" s="260">
        <v>7</v>
      </c>
      <c r="C29" s="279">
        <f t="shared" si="4"/>
        <v>0</v>
      </c>
      <c r="D29" s="279">
        <f t="shared" si="4"/>
        <v>-57563.387569876177</v>
      </c>
      <c r="E29" s="279">
        <f t="shared" si="4"/>
        <v>-69579.364349310403</v>
      </c>
      <c r="F29" s="279">
        <f t="shared" si="4"/>
        <v>0</v>
      </c>
      <c r="G29" s="279">
        <f t="shared" si="4"/>
        <v>-179288.73454654266</v>
      </c>
      <c r="H29" s="279">
        <f t="shared" si="4"/>
        <v>-62680.491647372866</v>
      </c>
      <c r="J29" s="749"/>
      <c r="K29" s="749"/>
      <c r="L29" s="749"/>
      <c r="M29" s="749"/>
      <c r="N29" s="749"/>
      <c r="O29" s="749"/>
    </row>
    <row r="30" spans="1:16" ht="15" hidden="1" customHeight="1" outlineLevel="1">
      <c r="A30" s="7" t="s">
        <v>29</v>
      </c>
      <c r="B30" s="260">
        <v>8</v>
      </c>
      <c r="C30" s="279">
        <f t="shared" si="4"/>
        <v>0</v>
      </c>
      <c r="D30" s="279">
        <f t="shared" si="4"/>
        <v>-61018.624625192482</v>
      </c>
      <c r="E30" s="279">
        <f t="shared" si="4"/>
        <v>-73961.468764082063</v>
      </c>
      <c r="F30" s="279">
        <f t="shared" si="4"/>
        <v>0</v>
      </c>
      <c r="G30" s="279">
        <f t="shared" si="4"/>
        <v>-196191.77980121333</v>
      </c>
      <c r="H30" s="279">
        <f t="shared" si="4"/>
        <v>-67512.89056708767</v>
      </c>
      <c r="J30" s="749"/>
      <c r="K30" s="749"/>
      <c r="L30" s="749"/>
      <c r="M30" s="749"/>
      <c r="N30" s="749"/>
      <c r="O30" s="749"/>
    </row>
    <row r="31" spans="1:16" ht="15" hidden="1" customHeight="1" outlineLevel="1">
      <c r="A31" s="7" t="s">
        <v>30</v>
      </c>
      <c r="B31" s="260">
        <v>9</v>
      </c>
      <c r="C31" s="279">
        <f t="shared" si="4"/>
        <v>0</v>
      </c>
      <c r="D31" s="279">
        <f t="shared" si="4"/>
        <v>-64681.261967608618</v>
      </c>
      <c r="E31" s="279">
        <f t="shared" si="4"/>
        <v>-78619.557866002593</v>
      </c>
      <c r="F31" s="279">
        <f t="shared" si="4"/>
        <v>0</v>
      </c>
      <c r="G31" s="279">
        <f t="shared" si="4"/>
        <v>-214688.41619591892</v>
      </c>
      <c r="H31" s="279">
        <f t="shared" si="4"/>
        <v>-72717.846860006161</v>
      </c>
      <c r="J31" s="749"/>
      <c r="K31" s="749"/>
      <c r="L31" s="749"/>
      <c r="M31" s="749"/>
      <c r="N31" s="749"/>
      <c r="O31" s="749"/>
    </row>
    <row r="32" spans="1:16" ht="15" hidden="1" customHeight="1" outlineLevel="1">
      <c r="A32" s="7" t="s">
        <v>31</v>
      </c>
      <c r="B32" s="260">
        <v>10</v>
      </c>
      <c r="C32" s="279">
        <f t="shared" si="4"/>
        <v>0</v>
      </c>
      <c r="D32" s="279">
        <f t="shared" si="4"/>
        <v>-68563.748780321112</v>
      </c>
      <c r="E32" s="279">
        <f t="shared" si="4"/>
        <v>-83571.013154993314</v>
      </c>
      <c r="F32" s="279">
        <f t="shared" si="4"/>
        <v>0</v>
      </c>
      <c r="G32" s="279">
        <f t="shared" si="4"/>
        <v>0</v>
      </c>
      <c r="H32" s="279">
        <f t="shared" si="4"/>
        <v>-78324.083112701686</v>
      </c>
      <c r="J32" s="749"/>
      <c r="K32" s="749"/>
      <c r="L32" s="749"/>
      <c r="M32" s="749"/>
      <c r="N32" s="749"/>
      <c r="O32" s="749"/>
    </row>
    <row r="33" spans="1:15" ht="15" hidden="1" customHeight="1" outlineLevel="1">
      <c r="A33" s="7" t="s">
        <v>33</v>
      </c>
      <c r="B33" s="260">
        <v>11</v>
      </c>
      <c r="C33" s="279">
        <f t="shared" si="4"/>
        <v>0</v>
      </c>
      <c r="D33" s="279">
        <f t="shared" si="4"/>
        <v>-72679.281507605192</v>
      </c>
      <c r="E33" s="279">
        <f t="shared" si="4"/>
        <v>-88834.310816853424</v>
      </c>
      <c r="F33" s="279">
        <f t="shared" si="4"/>
        <v>0</v>
      </c>
      <c r="G33" s="279">
        <f t="shared" si="4"/>
        <v>0</v>
      </c>
      <c r="H33" s="279">
        <f t="shared" si="4"/>
        <v>-84362.536300829102</v>
      </c>
      <c r="J33" s="749"/>
      <c r="K33" s="749"/>
      <c r="L33" s="749"/>
      <c r="M33" s="749"/>
      <c r="N33" s="749"/>
      <c r="O33" s="749"/>
    </row>
    <row r="34" spans="1:15" ht="15" hidden="1" customHeight="1" outlineLevel="1">
      <c r="A34" s="7" t="s">
        <v>34</v>
      </c>
      <c r="B34" s="260">
        <v>12</v>
      </c>
      <c r="C34" s="279">
        <f t="shared" si="4"/>
        <v>0</v>
      </c>
      <c r="D34" s="279">
        <f t="shared" si="4"/>
        <v>0</v>
      </c>
      <c r="E34" s="279">
        <f t="shared" si="4"/>
        <v>-94429.090666514254</v>
      </c>
      <c r="F34" s="279">
        <f t="shared" si="4"/>
        <v>0</v>
      </c>
      <c r="G34" s="279">
        <f t="shared" si="4"/>
        <v>0</v>
      </c>
      <c r="H34" s="279">
        <f t="shared" si="4"/>
        <v>0</v>
      </c>
      <c r="J34" s="749"/>
      <c r="K34" s="749"/>
      <c r="L34" s="749"/>
      <c r="M34" s="749"/>
      <c r="N34" s="749"/>
      <c r="O34" s="749"/>
    </row>
    <row r="35" spans="1:15" ht="15" hidden="1" customHeight="1" outlineLevel="1">
      <c r="A35" s="7" t="s">
        <v>22</v>
      </c>
      <c r="B35" s="260">
        <v>13</v>
      </c>
      <c r="C35" s="279">
        <f t="shared" si="4"/>
        <v>0</v>
      </c>
      <c r="D35" s="279">
        <f t="shared" si="4"/>
        <v>0</v>
      </c>
      <c r="E35" s="279">
        <f t="shared" si="4"/>
        <v>0</v>
      </c>
      <c r="F35" s="279">
        <f t="shared" si="4"/>
        <v>0</v>
      </c>
      <c r="G35" s="279">
        <f t="shared" si="4"/>
        <v>0</v>
      </c>
      <c r="H35" s="279">
        <f t="shared" si="4"/>
        <v>0</v>
      </c>
      <c r="J35" s="749"/>
      <c r="K35" s="749"/>
      <c r="L35" s="749"/>
      <c r="M35" s="749"/>
      <c r="N35" s="749"/>
      <c r="O35" s="749"/>
    </row>
    <row r="36" spans="1:15" ht="15" hidden="1" customHeight="1" outlineLevel="1">
      <c r="A36" s="7" t="s">
        <v>23</v>
      </c>
      <c r="B36" s="260">
        <v>14</v>
      </c>
      <c r="C36" s="279">
        <f t="shared" si="4"/>
        <v>0</v>
      </c>
      <c r="D36" s="279">
        <f t="shared" si="4"/>
        <v>0</v>
      </c>
      <c r="E36" s="279">
        <f t="shared" si="4"/>
        <v>0</v>
      </c>
      <c r="F36" s="279">
        <f t="shared" si="4"/>
        <v>0</v>
      </c>
      <c r="G36" s="279">
        <f t="shared" si="4"/>
        <v>0</v>
      </c>
      <c r="H36" s="279">
        <f t="shared" si="4"/>
        <v>0</v>
      </c>
      <c r="J36" s="749"/>
      <c r="K36" s="749"/>
      <c r="L36" s="749"/>
      <c r="M36" s="749"/>
      <c r="N36" s="749"/>
      <c r="O36" s="749"/>
    </row>
    <row r="37" spans="1:15" ht="15" hidden="1" customHeight="1" outlineLevel="1">
      <c r="A37" s="7" t="s">
        <v>24</v>
      </c>
      <c r="B37" s="260">
        <v>15</v>
      </c>
      <c r="C37" s="279">
        <f t="shared" si="4"/>
        <v>0</v>
      </c>
      <c r="D37" s="279">
        <f t="shared" si="4"/>
        <v>0</v>
      </c>
      <c r="E37" s="279">
        <f t="shared" si="4"/>
        <v>0</v>
      </c>
      <c r="F37" s="279">
        <f t="shared" si="4"/>
        <v>0</v>
      </c>
      <c r="G37" s="279">
        <f t="shared" si="4"/>
        <v>0</v>
      </c>
      <c r="H37" s="279">
        <f t="shared" si="4"/>
        <v>0</v>
      </c>
      <c r="J37" s="749"/>
      <c r="K37" s="749"/>
      <c r="L37" s="749"/>
      <c r="M37" s="749"/>
      <c r="N37" s="749"/>
      <c r="O37" s="749"/>
    </row>
    <row r="38" spans="1:15" ht="15" hidden="1" customHeight="1" outlineLevel="1">
      <c r="A38" s="7" t="s">
        <v>25</v>
      </c>
      <c r="B38" s="260">
        <v>16</v>
      </c>
      <c r="C38" s="279">
        <f t="shared" si="4"/>
        <v>0</v>
      </c>
      <c r="D38" s="279">
        <f t="shared" si="4"/>
        <v>0</v>
      </c>
      <c r="E38" s="279">
        <f t="shared" si="4"/>
        <v>0</v>
      </c>
      <c r="F38" s="279">
        <f t="shared" si="4"/>
        <v>0</v>
      </c>
      <c r="G38" s="279">
        <f t="shared" si="4"/>
        <v>0</v>
      </c>
      <c r="H38" s="279">
        <f t="shared" si="4"/>
        <v>0</v>
      </c>
      <c r="J38" s="749"/>
      <c r="K38" s="749"/>
      <c r="L38" s="749"/>
      <c r="M38" s="749"/>
      <c r="N38" s="749"/>
      <c r="O38" s="749"/>
    </row>
    <row r="39" spans="1:15" ht="15" hidden="1" customHeight="1" outlineLevel="1">
      <c r="A39" s="7" t="s">
        <v>26</v>
      </c>
      <c r="B39" s="260">
        <v>17</v>
      </c>
      <c r="C39" s="279">
        <f t="shared" ref="C39:H40" si="5">IFERROR(PPMT(C$101,$B39,C$102,C$103),0)</f>
        <v>0</v>
      </c>
      <c r="D39" s="279">
        <f t="shared" si="5"/>
        <v>0</v>
      </c>
      <c r="E39" s="279">
        <f t="shared" si="5"/>
        <v>0</v>
      </c>
      <c r="F39" s="279">
        <f t="shared" si="5"/>
        <v>0</v>
      </c>
      <c r="G39" s="279">
        <f t="shared" si="5"/>
        <v>0</v>
      </c>
      <c r="H39" s="279">
        <f t="shared" si="5"/>
        <v>0</v>
      </c>
      <c r="J39" s="749"/>
      <c r="K39" s="749"/>
      <c r="L39" s="749"/>
      <c r="M39" s="749"/>
      <c r="N39" s="749"/>
      <c r="O39" s="749"/>
    </row>
    <row r="40" spans="1:15" ht="15" hidden="1" customHeight="1" outlineLevel="1">
      <c r="A40" s="7" t="s">
        <v>27</v>
      </c>
      <c r="B40" s="260">
        <v>18</v>
      </c>
      <c r="C40" s="279">
        <f t="shared" si="5"/>
        <v>0</v>
      </c>
      <c r="D40" s="279">
        <f t="shared" si="5"/>
        <v>0</v>
      </c>
      <c r="E40" s="279">
        <f t="shared" si="5"/>
        <v>0</v>
      </c>
      <c r="F40" s="279">
        <f t="shared" si="5"/>
        <v>0</v>
      </c>
      <c r="G40" s="279">
        <f t="shared" si="5"/>
        <v>0</v>
      </c>
      <c r="H40" s="279">
        <f t="shared" si="5"/>
        <v>0</v>
      </c>
      <c r="J40" s="749"/>
      <c r="K40" s="749"/>
      <c r="L40" s="749"/>
      <c r="M40" s="749"/>
      <c r="N40" s="749"/>
      <c r="O40" s="749"/>
    </row>
    <row r="41" spans="1:15" ht="15" hidden="1" customHeight="1" outlineLevel="1">
      <c r="A41" s="6"/>
      <c r="B41" s="2"/>
      <c r="C41" s="260"/>
      <c r="D41" s="260"/>
      <c r="E41" s="260"/>
      <c r="F41" s="260"/>
      <c r="G41" s="260"/>
      <c r="H41" s="260"/>
      <c r="J41" s="749"/>
      <c r="K41" s="749"/>
      <c r="L41" s="749"/>
      <c r="M41" s="749"/>
      <c r="N41" s="749"/>
      <c r="O41" s="749"/>
    </row>
    <row r="42" spans="1:15" ht="15" hidden="1" customHeight="1" outlineLevel="1">
      <c r="A42" s="6"/>
      <c r="B42" s="2"/>
      <c r="C42" s="260"/>
      <c r="D42" s="260"/>
      <c r="E42" s="260"/>
      <c r="F42" s="260"/>
      <c r="G42" s="260"/>
      <c r="H42" s="260"/>
      <c r="J42" s="749"/>
      <c r="K42" s="749"/>
      <c r="L42" s="749"/>
      <c r="M42" s="749"/>
      <c r="N42" s="749"/>
      <c r="O42" s="749"/>
    </row>
    <row r="43" spans="1:15" ht="15" hidden="1" customHeight="1" outlineLevel="1">
      <c r="A43" s="6"/>
      <c r="B43" s="2"/>
      <c r="C43" s="280"/>
      <c r="D43" s="260"/>
      <c r="E43" s="260"/>
      <c r="F43" s="260"/>
      <c r="G43" s="260"/>
      <c r="H43" s="260"/>
      <c r="J43" s="749"/>
      <c r="K43" s="749"/>
      <c r="L43" s="749"/>
      <c r="M43" s="749"/>
      <c r="N43" s="749"/>
      <c r="O43" s="749"/>
    </row>
    <row r="44" spans="1:15" ht="15" hidden="1" customHeight="1" outlineLevel="1">
      <c r="A44" s="9" t="s">
        <v>35</v>
      </c>
      <c r="B44" s="2"/>
      <c r="C44" s="260"/>
      <c r="D44" s="260"/>
      <c r="E44" s="260"/>
      <c r="F44" s="260"/>
      <c r="G44" s="260"/>
      <c r="H44" s="260"/>
      <c r="J44" s="749"/>
      <c r="K44" s="749"/>
      <c r="L44" s="749"/>
      <c r="M44" s="749"/>
      <c r="N44" s="749"/>
      <c r="O44" s="749"/>
    </row>
    <row r="45" spans="1:15" ht="15" hidden="1" customHeight="1" outlineLevel="1">
      <c r="A45" s="7" t="s">
        <v>22</v>
      </c>
      <c r="B45" s="260">
        <v>1</v>
      </c>
      <c r="C45" s="279">
        <f t="shared" ref="C45:H60" si="6">C23+C104</f>
        <v>0</v>
      </c>
      <c r="D45" s="279">
        <f t="shared" si="6"/>
        <v>-75946.672370089073</v>
      </c>
      <c r="E45" s="279">
        <f t="shared" si="6"/>
        <v>-98810.245372914971</v>
      </c>
      <c r="F45" s="279">
        <f t="shared" si="6"/>
        <v>0</v>
      </c>
      <c r="G45" s="279">
        <f t="shared" si="6"/>
        <v>-231009.53228536708</v>
      </c>
      <c r="H45" s="279">
        <f t="shared" si="6"/>
        <v>-89343.218500913019</v>
      </c>
      <c r="J45" s="749"/>
      <c r="K45" s="749"/>
      <c r="L45" s="749"/>
      <c r="M45" s="749"/>
      <c r="N45" s="749"/>
      <c r="O45" s="749"/>
    </row>
    <row r="46" spans="1:15" ht="15" hidden="1" customHeight="1" outlineLevel="1">
      <c r="A46" s="7" t="s">
        <v>23</v>
      </c>
      <c r="B46" s="260">
        <v>2</v>
      </c>
      <c r="C46" s="279">
        <f t="shared" si="6"/>
        <v>0</v>
      </c>
      <c r="D46" s="279">
        <f t="shared" si="6"/>
        <v>-74966.724554414512</v>
      </c>
      <c r="E46" s="279">
        <f t="shared" si="6"/>
        <v>-97381.901616758259</v>
      </c>
      <c r="F46" s="279">
        <f t="shared" si="6"/>
        <v>0</v>
      </c>
      <c r="G46" s="279">
        <f t="shared" si="6"/>
        <v>-227571.37633236847</v>
      </c>
      <c r="H46" s="279">
        <f t="shared" si="6"/>
        <v>-87962.334300129995</v>
      </c>
      <c r="J46" s="749"/>
      <c r="K46" s="749"/>
      <c r="L46" s="749"/>
      <c r="M46" s="749"/>
      <c r="N46" s="749"/>
      <c r="O46" s="749"/>
    </row>
    <row r="47" spans="1:15" ht="15" hidden="1" customHeight="1" outlineLevel="1">
      <c r="A47" s="7" t="s">
        <v>24</v>
      </c>
      <c r="B47" s="260">
        <v>3</v>
      </c>
      <c r="C47" s="279">
        <f t="shared" si="6"/>
        <v>0</v>
      </c>
      <c r="D47" s="279">
        <f t="shared" si="6"/>
        <v>-73573.867287521178</v>
      </c>
      <c r="E47" s="279">
        <f t="shared" si="6"/>
        <v>-95317.333202538255</v>
      </c>
      <c r="F47" s="279">
        <f t="shared" si="6"/>
        <v>0</v>
      </c>
      <c r="G47" s="279">
        <f t="shared" si="6"/>
        <v>-222811.45258961176</v>
      </c>
      <c r="H47" s="279">
        <f t="shared" si="6"/>
        <v>-85982.153815295052</v>
      </c>
      <c r="J47" s="749"/>
      <c r="K47" s="749"/>
      <c r="L47" s="749"/>
      <c r="M47" s="749"/>
      <c r="N47" s="749"/>
      <c r="O47" s="749"/>
    </row>
    <row r="48" spans="1:15" ht="15" hidden="1" customHeight="1" outlineLevel="1">
      <c r="A48" s="7" t="s">
        <v>25</v>
      </c>
      <c r="B48" s="260">
        <v>4</v>
      </c>
      <c r="C48" s="279">
        <f t="shared" si="6"/>
        <v>0</v>
      </c>
      <c r="D48" s="279">
        <f t="shared" si="6"/>
        <v>-72001.654083466157</v>
      </c>
      <c r="E48" s="279">
        <f t="shared" si="6"/>
        <v>-92925.624926838151</v>
      </c>
      <c r="F48" s="279">
        <f t="shared" si="6"/>
        <v>0</v>
      </c>
      <c r="G48" s="279">
        <f t="shared" si="6"/>
        <v>-217708.80410299468</v>
      </c>
      <c r="H48" s="279">
        <f t="shared" si="6"/>
        <v>-83721.497953445301</v>
      </c>
      <c r="J48" s="749"/>
      <c r="K48" s="749"/>
      <c r="L48" s="749"/>
      <c r="M48" s="749"/>
      <c r="N48" s="749"/>
      <c r="O48" s="749"/>
    </row>
    <row r="49" spans="1:15" ht="15" hidden="1" customHeight="1" outlineLevel="1">
      <c r="A49" s="7" t="s">
        <v>26</v>
      </c>
      <c r="B49" s="260">
        <v>5</v>
      </c>
      <c r="C49" s="279">
        <f t="shared" si="6"/>
        <v>0</v>
      </c>
      <c r="D49" s="279">
        <f t="shared" si="6"/>
        <v>-70698.820766983335</v>
      </c>
      <c r="E49" s="279">
        <f t="shared" si="6"/>
        <v>-90842.523498263356</v>
      </c>
      <c r="F49" s="279">
        <f t="shared" si="6"/>
        <v>0</v>
      </c>
      <c r="G49" s="279">
        <f t="shared" si="6"/>
        <v>-213992.0336794852</v>
      </c>
      <c r="H49" s="279">
        <f t="shared" si="6"/>
        <v>-81814.363291075846</v>
      </c>
      <c r="J49" s="749"/>
      <c r="K49" s="749"/>
      <c r="L49" s="749"/>
      <c r="M49" s="749"/>
      <c r="N49" s="749"/>
      <c r="O49" s="749"/>
    </row>
    <row r="50" spans="1:15" ht="15" hidden="1" customHeight="1" outlineLevel="1">
      <c r="A50" s="7" t="s">
        <v>27</v>
      </c>
      <c r="B50" s="260">
        <v>6</v>
      </c>
      <c r="C50" s="279">
        <f t="shared" si="6"/>
        <v>0</v>
      </c>
      <c r="D50" s="279">
        <f t="shared" si="6"/>
        <v>-69695.970982195126</v>
      </c>
      <c r="E50" s="279">
        <f t="shared" si="6"/>
        <v>-89094.995345830233</v>
      </c>
      <c r="F50" s="279">
        <f t="shared" si="6"/>
        <v>0</v>
      </c>
      <c r="G50" s="279">
        <f t="shared" si="6"/>
        <v>-211963.15709503641</v>
      </c>
      <c r="H50" s="279">
        <f t="shared" si="6"/>
        <v>-80311.155277917307</v>
      </c>
      <c r="J50" s="749"/>
      <c r="K50" s="749"/>
      <c r="L50" s="749"/>
      <c r="M50" s="749"/>
      <c r="N50" s="749"/>
      <c r="O50" s="749"/>
    </row>
    <row r="51" spans="1:15" ht="15" hidden="1" customHeight="1" outlineLevel="1">
      <c r="A51" s="7" t="s">
        <v>28</v>
      </c>
      <c r="B51" s="260">
        <v>7</v>
      </c>
      <c r="C51" s="279">
        <f t="shared" si="6"/>
        <v>0</v>
      </c>
      <c r="D51" s="279">
        <f t="shared" si="6"/>
        <v>-69486.023567416079</v>
      </c>
      <c r="E51" s="279">
        <f t="shared" si="6"/>
        <v>-88429.919823784468</v>
      </c>
      <c r="F51" s="279">
        <f t="shared" si="6"/>
        <v>0</v>
      </c>
      <c r="G51" s="279">
        <f t="shared" si="6"/>
        <v>-213345.69902511965</v>
      </c>
      <c r="H51" s="279">
        <f t="shared" si="6"/>
        <v>-79932.976600556678</v>
      </c>
      <c r="J51" s="749"/>
      <c r="K51" s="749"/>
      <c r="L51" s="749"/>
      <c r="M51" s="749"/>
      <c r="N51" s="749"/>
      <c r="O51" s="749"/>
    </row>
    <row r="52" spans="1:15" ht="15" hidden="1" customHeight="1" outlineLevel="1">
      <c r="A52" s="7" t="s">
        <v>29</v>
      </c>
      <c r="B52" s="260">
        <v>8</v>
      </c>
      <c r="C52" s="279">
        <f t="shared" si="6"/>
        <v>0</v>
      </c>
      <c r="D52" s="279">
        <f t="shared" si="6"/>
        <v>-69835.390841714179</v>
      </c>
      <c r="E52" s="279">
        <f t="shared" si="6"/>
        <v>-88496.169662398388</v>
      </c>
      <c r="F52" s="279">
        <f t="shared" si="6"/>
        <v>0</v>
      </c>
      <c r="G52" s="279">
        <f t="shared" si="6"/>
        <v>-217506.84083255733</v>
      </c>
      <c r="H52" s="279">
        <f t="shared" si="6"/>
        <v>-80363.211136892525</v>
      </c>
      <c r="J52" s="749"/>
      <c r="K52" s="749"/>
      <c r="L52" s="749"/>
      <c r="M52" s="749"/>
      <c r="N52" s="749"/>
      <c r="O52" s="749"/>
    </row>
    <row r="53" spans="1:15" ht="15" hidden="1" customHeight="1" outlineLevel="1">
      <c r="A53" s="7" t="s">
        <v>30</v>
      </c>
      <c r="B53" s="260">
        <v>9</v>
      </c>
      <c r="C53" s="279">
        <f t="shared" si="6"/>
        <v>0</v>
      </c>
      <c r="D53" s="279">
        <f t="shared" si="6"/>
        <v>-71063.134830762865</v>
      </c>
      <c r="E53" s="279">
        <f t="shared" si="6"/>
        <v>-89852.706807236158</v>
      </c>
      <c r="F53" s="279">
        <f t="shared" si="6"/>
        <v>0</v>
      </c>
      <c r="G53" s="279">
        <f t="shared" si="6"/>
        <v>-225138.73707866942</v>
      </c>
      <c r="H53" s="279">
        <f t="shared" si="6"/>
        <v>-82088.160854049987</v>
      </c>
      <c r="J53" s="749"/>
      <c r="K53" s="749"/>
      <c r="L53" s="749"/>
      <c r="M53" s="749"/>
      <c r="N53" s="749"/>
      <c r="O53" s="749"/>
    </row>
    <row r="54" spans="1:15" ht="15" hidden="1" customHeight="1" outlineLevel="1">
      <c r="A54" s="7" t="s">
        <v>31</v>
      </c>
      <c r="B54" s="260">
        <v>10</v>
      </c>
      <c r="C54" s="279">
        <f t="shared" si="6"/>
        <v>0</v>
      </c>
      <c r="D54" s="279">
        <f t="shared" si="6"/>
        <v>-72656.851934174949</v>
      </c>
      <c r="E54" s="279">
        <f t="shared" si="6"/>
        <v>-91684.326789885672</v>
      </c>
      <c r="F54" s="279">
        <f t="shared" si="6"/>
        <v>0</v>
      </c>
      <c r="G54" s="279">
        <f t="shared" si="6"/>
        <v>0</v>
      </c>
      <c r="H54" s="279">
        <f t="shared" si="6"/>
        <v>-84379.393057183523</v>
      </c>
      <c r="J54" s="749"/>
      <c r="K54" s="749"/>
      <c r="L54" s="749"/>
      <c r="M54" s="749"/>
      <c r="N54" s="749"/>
      <c r="O54" s="749"/>
    </row>
    <row r="55" spans="1:15" ht="15" hidden="1" customHeight="1" outlineLevel="1">
      <c r="A55" s="7" t="s">
        <v>33</v>
      </c>
      <c r="B55" s="260">
        <v>11</v>
      </c>
      <c r="C55" s="279">
        <f t="shared" si="6"/>
        <v>0</v>
      </c>
      <c r="D55" s="279">
        <f t="shared" si="6"/>
        <v>-74785.465407456286</v>
      </c>
      <c r="E55" s="279">
        <f t="shared" si="6"/>
        <v>-94406.581005640386</v>
      </c>
      <c r="F55" s="279">
        <f t="shared" si="6"/>
        <v>0</v>
      </c>
      <c r="G55" s="279">
        <f t="shared" si="6"/>
        <v>0</v>
      </c>
      <c r="H55" s="279">
        <f t="shared" si="6"/>
        <v>-87502.569002016535</v>
      </c>
      <c r="J55" s="749"/>
      <c r="K55" s="749"/>
      <c r="L55" s="749"/>
      <c r="M55" s="749"/>
      <c r="N55" s="749"/>
      <c r="O55" s="749"/>
    </row>
    <row r="56" spans="1:15" ht="15" hidden="1" customHeight="1" outlineLevel="1">
      <c r="A56" s="7" t="s">
        <v>34</v>
      </c>
      <c r="B56" s="260">
        <v>12</v>
      </c>
      <c r="C56" s="279">
        <f t="shared" si="6"/>
        <v>0</v>
      </c>
      <c r="D56" s="279">
        <f t="shared" si="6"/>
        <v>0</v>
      </c>
      <c r="E56" s="279">
        <f t="shared" si="6"/>
        <v>-97300.282637285534</v>
      </c>
      <c r="F56" s="279">
        <f t="shared" si="6"/>
        <v>0</v>
      </c>
      <c r="G56" s="279">
        <f t="shared" si="6"/>
        <v>0</v>
      </c>
      <c r="H56" s="279">
        <f t="shared" si="6"/>
        <v>0</v>
      </c>
      <c r="J56" s="749"/>
      <c r="K56" s="749"/>
      <c r="L56" s="749"/>
      <c r="M56" s="749"/>
      <c r="N56" s="749"/>
      <c r="O56" s="749"/>
    </row>
    <row r="57" spans="1:15" ht="15" hidden="1" customHeight="1" outlineLevel="1">
      <c r="A57" s="7" t="s">
        <v>22</v>
      </c>
      <c r="B57" s="260">
        <v>13</v>
      </c>
      <c r="C57" s="279">
        <f t="shared" si="6"/>
        <v>0</v>
      </c>
      <c r="D57" s="279">
        <f t="shared" si="6"/>
        <v>0</v>
      </c>
      <c r="E57" s="279">
        <f t="shared" si="6"/>
        <v>0</v>
      </c>
      <c r="F57" s="279">
        <f t="shared" si="6"/>
        <v>0</v>
      </c>
      <c r="G57" s="279">
        <f t="shared" si="6"/>
        <v>0</v>
      </c>
      <c r="H57" s="279">
        <f t="shared" si="6"/>
        <v>0</v>
      </c>
      <c r="J57" s="749"/>
      <c r="K57" s="749"/>
      <c r="L57" s="749"/>
      <c r="M57" s="749"/>
      <c r="N57" s="749"/>
      <c r="O57" s="749"/>
    </row>
    <row r="58" spans="1:15" ht="15" hidden="1" customHeight="1" outlineLevel="1">
      <c r="A58" s="7" t="s">
        <v>23</v>
      </c>
      <c r="B58" s="260">
        <v>14</v>
      </c>
      <c r="C58" s="279">
        <f t="shared" si="6"/>
        <v>0</v>
      </c>
      <c r="D58" s="279">
        <f t="shared" si="6"/>
        <v>0</v>
      </c>
      <c r="E58" s="279">
        <f t="shared" si="6"/>
        <v>0</v>
      </c>
      <c r="F58" s="279">
        <f t="shared" si="6"/>
        <v>0</v>
      </c>
      <c r="G58" s="279">
        <f t="shared" si="6"/>
        <v>0</v>
      </c>
      <c r="H58" s="279">
        <f t="shared" si="6"/>
        <v>0</v>
      </c>
      <c r="J58" s="749"/>
      <c r="K58" s="749"/>
      <c r="L58" s="749"/>
      <c r="M58" s="749"/>
      <c r="N58" s="749"/>
      <c r="O58" s="749"/>
    </row>
    <row r="59" spans="1:15" ht="15" hidden="1" customHeight="1" outlineLevel="1">
      <c r="A59" s="7" t="s">
        <v>24</v>
      </c>
      <c r="B59" s="260">
        <v>15</v>
      </c>
      <c r="C59" s="279">
        <f t="shared" si="6"/>
        <v>0</v>
      </c>
      <c r="D59" s="279">
        <f t="shared" si="6"/>
        <v>0</v>
      </c>
      <c r="E59" s="279">
        <f t="shared" si="6"/>
        <v>0</v>
      </c>
      <c r="F59" s="279">
        <f t="shared" si="6"/>
        <v>0</v>
      </c>
      <c r="G59" s="279">
        <f t="shared" si="6"/>
        <v>0</v>
      </c>
      <c r="H59" s="279">
        <f t="shared" si="6"/>
        <v>0</v>
      </c>
      <c r="J59" s="749"/>
      <c r="K59" s="749"/>
      <c r="L59" s="749"/>
      <c r="M59" s="749"/>
      <c r="N59" s="749"/>
      <c r="O59" s="749"/>
    </row>
    <row r="60" spans="1:15" ht="15" hidden="1" customHeight="1" outlineLevel="1">
      <c r="A60" s="7" t="s">
        <v>25</v>
      </c>
      <c r="B60" s="260">
        <v>16</v>
      </c>
      <c r="C60" s="279">
        <f t="shared" si="6"/>
        <v>0</v>
      </c>
      <c r="D60" s="279">
        <f t="shared" si="6"/>
        <v>0</v>
      </c>
      <c r="E60" s="279">
        <f t="shared" si="6"/>
        <v>0</v>
      </c>
      <c r="F60" s="279">
        <f t="shared" si="6"/>
        <v>0</v>
      </c>
      <c r="G60" s="279">
        <f t="shared" si="6"/>
        <v>0</v>
      </c>
      <c r="H60" s="279">
        <f t="shared" si="6"/>
        <v>0</v>
      </c>
      <c r="J60" s="749"/>
      <c r="K60" s="749"/>
      <c r="L60" s="749"/>
      <c r="M60" s="749"/>
      <c r="N60" s="749"/>
      <c r="O60" s="749"/>
    </row>
    <row r="61" spans="1:15" ht="15" hidden="1" customHeight="1" outlineLevel="1">
      <c r="A61" s="7" t="s">
        <v>26</v>
      </c>
      <c r="B61" s="260">
        <v>17</v>
      </c>
      <c r="C61" s="279">
        <f t="shared" ref="C61:H62" si="7">C39+C120</f>
        <v>0</v>
      </c>
      <c r="D61" s="279">
        <f t="shared" si="7"/>
        <v>0</v>
      </c>
      <c r="E61" s="279">
        <f t="shared" si="7"/>
        <v>0</v>
      </c>
      <c r="F61" s="279">
        <f t="shared" si="7"/>
        <v>0</v>
      </c>
      <c r="G61" s="279">
        <f t="shared" si="7"/>
        <v>0</v>
      </c>
      <c r="H61" s="279">
        <f t="shared" si="7"/>
        <v>0</v>
      </c>
      <c r="J61" s="749"/>
      <c r="K61" s="749"/>
      <c r="L61" s="749"/>
      <c r="M61" s="749"/>
      <c r="N61" s="749"/>
      <c r="O61" s="749"/>
    </row>
    <row r="62" spans="1:15" ht="15" hidden="1" customHeight="1" outlineLevel="1">
      <c r="A62" s="7" t="s">
        <v>27</v>
      </c>
      <c r="B62" s="260">
        <v>18</v>
      </c>
      <c r="C62" s="279">
        <f t="shared" si="7"/>
        <v>0</v>
      </c>
      <c r="D62" s="279">
        <f t="shared" si="7"/>
        <v>0</v>
      </c>
      <c r="E62" s="279">
        <f t="shared" si="7"/>
        <v>0</v>
      </c>
      <c r="F62" s="279">
        <f t="shared" si="7"/>
        <v>0</v>
      </c>
      <c r="G62" s="279">
        <f t="shared" si="7"/>
        <v>0</v>
      </c>
      <c r="H62" s="279">
        <f t="shared" si="7"/>
        <v>0</v>
      </c>
      <c r="J62" s="749"/>
      <c r="K62" s="749"/>
      <c r="L62" s="749"/>
      <c r="M62" s="749"/>
      <c r="N62" s="749"/>
      <c r="O62" s="749"/>
    </row>
    <row r="63" spans="1:15" ht="15" hidden="1" customHeight="1" outlineLevel="1">
      <c r="A63" s="260"/>
      <c r="B63" s="260"/>
      <c r="C63" s="260"/>
      <c r="D63" s="260"/>
      <c r="E63" s="260"/>
      <c r="F63" s="260"/>
      <c r="G63" s="260"/>
      <c r="H63" s="260"/>
      <c r="J63" s="749"/>
      <c r="K63" s="749"/>
      <c r="L63" s="749"/>
      <c r="M63" s="749"/>
      <c r="N63" s="749"/>
      <c r="O63" s="749"/>
    </row>
    <row r="64" spans="1:15" ht="15" hidden="1" customHeight="1" outlineLevel="1">
      <c r="A64" s="260"/>
      <c r="B64" s="260"/>
      <c r="C64" s="260"/>
      <c r="D64" s="260"/>
      <c r="E64" s="260"/>
      <c r="F64" s="260"/>
      <c r="G64" s="260"/>
      <c r="H64" s="260"/>
      <c r="J64" s="749"/>
      <c r="K64" s="749"/>
      <c r="L64" s="749"/>
      <c r="M64" s="749"/>
      <c r="N64" s="749"/>
      <c r="O64" s="749"/>
    </row>
    <row r="65" spans="1:15" ht="15" hidden="1" customHeight="1" outlineLevel="1">
      <c r="A65" s="2" t="s">
        <v>36</v>
      </c>
      <c r="B65" s="260"/>
      <c r="C65" s="260"/>
      <c r="D65" s="260"/>
      <c r="E65" s="260"/>
      <c r="F65" s="260"/>
      <c r="G65" s="260"/>
      <c r="H65" s="260"/>
      <c r="J65" s="749"/>
      <c r="K65" s="749"/>
      <c r="L65" s="749"/>
      <c r="M65" s="749"/>
      <c r="N65" s="749"/>
      <c r="O65" s="749"/>
    </row>
    <row r="66" spans="1:15" ht="15" hidden="1" customHeight="1" outlineLevel="1">
      <c r="C66" s="281">
        <f t="shared" ref="C66:H66" si="8">C103</f>
        <v>0</v>
      </c>
      <c r="D66" s="281">
        <f t="shared" si="8"/>
        <v>607542</v>
      </c>
      <c r="E66" s="281">
        <f t="shared" si="8"/>
        <v>827959</v>
      </c>
      <c r="F66" s="281">
        <f t="shared" si="8"/>
        <v>0</v>
      </c>
      <c r="G66" s="281">
        <f t="shared" si="8"/>
        <v>1384287</v>
      </c>
      <c r="H66" s="281">
        <f t="shared" si="8"/>
        <v>657933</v>
      </c>
      <c r="J66" s="749"/>
      <c r="K66" s="749"/>
      <c r="L66" s="749"/>
      <c r="M66" s="749"/>
      <c r="N66" s="749"/>
      <c r="O66" s="749"/>
    </row>
    <row r="67" spans="1:15" ht="15" hidden="1" customHeight="1" outlineLevel="1">
      <c r="C67" s="281">
        <f>IF((C66+C23)&lt;0,0,C66+C23)</f>
        <v>0</v>
      </c>
      <c r="D67" s="281">
        <f t="shared" ref="D67:H81" si="9">IF((D66+D23)&lt;0,0,D66+D23)</f>
        <v>566967.8040765042</v>
      </c>
      <c r="E67" s="281">
        <f t="shared" si="9"/>
        <v>779727.58136049646</v>
      </c>
      <c r="F67" s="281">
        <f t="shared" si="9"/>
        <v>0</v>
      </c>
      <c r="G67" s="281">
        <f t="shared" si="9"/>
        <v>1279866.403150572</v>
      </c>
      <c r="H67" s="281">
        <f t="shared" si="9"/>
        <v>617790.30333848496</v>
      </c>
      <c r="J67" s="749"/>
      <c r="K67" s="749"/>
      <c r="L67" s="749"/>
      <c r="M67" s="749"/>
      <c r="N67" s="749"/>
      <c r="O67" s="749"/>
    </row>
    <row r="68" spans="1:15" ht="15" hidden="1" customHeight="1" outlineLevel="1">
      <c r="C68" s="281">
        <f t="shared" ref="C68:C81" si="10">IF((C67+C24)&lt;0,0,C67+C24)</f>
        <v>0</v>
      </c>
      <c r="D68" s="281">
        <f t="shared" si="9"/>
        <v>523958.14576688071</v>
      </c>
      <c r="E68" s="281">
        <f t="shared" si="9"/>
        <v>728458.55071451073</v>
      </c>
      <c r="F68" s="281">
        <f t="shared" si="9"/>
        <v>0</v>
      </c>
      <c r="G68" s="281">
        <f t="shared" si="9"/>
        <v>1165601.2051970661</v>
      </c>
      <c r="H68" s="281">
        <f t="shared" si="9"/>
        <v>574552.77575137885</v>
      </c>
      <c r="J68" s="749"/>
      <c r="K68" s="749"/>
      <c r="L68" s="749"/>
      <c r="M68" s="749"/>
      <c r="N68" s="749"/>
      <c r="O68" s="749"/>
    </row>
    <row r="69" spans="1:15" ht="15" hidden="1" customHeight="1" outlineLevel="1">
      <c r="C69" s="281">
        <f t="shared" si="10"/>
        <v>0</v>
      </c>
      <c r="D69" s="281">
        <f t="shared" si="9"/>
        <v>478366.83666494576</v>
      </c>
      <c r="E69" s="281">
        <f t="shared" si="9"/>
        <v>673960.59943040379</v>
      </c>
      <c r="F69" s="281">
        <f t="shared" si="9"/>
        <v>0</v>
      </c>
      <c r="G69" s="281">
        <f t="shared" si="9"/>
        <v>1040563.2734355661</v>
      </c>
      <c r="H69" s="281">
        <f t="shared" si="9"/>
        <v>527981.81895668886</v>
      </c>
      <c r="J69" s="749"/>
      <c r="K69" s="749"/>
      <c r="L69" s="749"/>
      <c r="M69" s="749"/>
      <c r="N69" s="749"/>
      <c r="O69" s="749"/>
    </row>
    <row r="70" spans="1:15" ht="15" hidden="1" customHeight="1" outlineLevel="1">
      <c r="C70" s="281">
        <f t="shared" si="10"/>
        <v>0</v>
      </c>
      <c r="D70" s="281">
        <f t="shared" si="9"/>
        <v>430038.91341885255</v>
      </c>
      <c r="E70" s="281">
        <f t="shared" si="9"/>
        <v>616030.37026978214</v>
      </c>
      <c r="F70" s="281">
        <f t="shared" si="9"/>
        <v>0</v>
      </c>
      <c r="G70" s="281">
        <f t="shared" si="9"/>
        <v>903736.97234645288</v>
      </c>
      <c r="H70" s="281">
        <f t="shared" si="9"/>
        <v>477820.43976118515</v>
      </c>
      <c r="J70" s="749"/>
      <c r="K70" s="749"/>
      <c r="L70" s="749"/>
      <c r="M70" s="749"/>
      <c r="N70" s="749"/>
      <c r="O70" s="749"/>
    </row>
    <row r="71" spans="1:15" ht="15" hidden="1" customHeight="1" outlineLevel="1">
      <c r="C71" s="281">
        <f t="shared" si="10"/>
        <v>0</v>
      </c>
      <c r="D71" s="281">
        <f t="shared" si="9"/>
        <v>378810.11101578339</v>
      </c>
      <c r="E71" s="281">
        <f t="shared" si="9"/>
        <v>554451.69856692839</v>
      </c>
      <c r="F71" s="281">
        <f t="shared" si="9"/>
        <v>0</v>
      </c>
      <c r="G71" s="281">
        <f t="shared" si="9"/>
        <v>754010.91397371574</v>
      </c>
      <c r="H71" s="281">
        <f t="shared" si="9"/>
        <v>423791.83189109719</v>
      </c>
      <c r="J71" s="749"/>
      <c r="K71" s="749"/>
      <c r="L71" s="749"/>
      <c r="M71" s="749"/>
      <c r="N71" s="749"/>
      <c r="O71" s="749"/>
    </row>
    <row r="72" spans="1:15" ht="15" hidden="1" customHeight="1" outlineLevel="1">
      <c r="C72" s="281">
        <f t="shared" si="10"/>
        <v>0</v>
      </c>
      <c r="D72" s="281">
        <f t="shared" si="9"/>
        <v>324506.30445060349</v>
      </c>
      <c r="E72" s="281">
        <f t="shared" si="9"/>
        <v>488994.80561775586</v>
      </c>
      <c r="F72" s="281">
        <f t="shared" si="9"/>
        <v>0</v>
      </c>
      <c r="G72" s="281">
        <f t="shared" si="9"/>
        <v>590168.93054367474</v>
      </c>
      <c r="H72" s="281">
        <f t="shared" si="9"/>
        <v>365597.8484879976</v>
      </c>
      <c r="J72" s="749"/>
      <c r="K72" s="749"/>
      <c r="L72" s="749"/>
      <c r="M72" s="749"/>
      <c r="N72" s="749"/>
      <c r="O72" s="749"/>
    </row>
    <row r="73" spans="1:15" ht="15" hidden="1" customHeight="1" outlineLevel="1">
      <c r="C73" s="281">
        <f t="shared" si="10"/>
        <v>0</v>
      </c>
      <c r="D73" s="281">
        <f t="shared" si="9"/>
        <v>266942.91688072734</v>
      </c>
      <c r="E73" s="281">
        <f t="shared" si="9"/>
        <v>419415.44126844546</v>
      </c>
      <c r="F73" s="281">
        <f t="shared" si="9"/>
        <v>0</v>
      </c>
      <c r="G73" s="281">
        <f t="shared" si="9"/>
        <v>410880.1959971321</v>
      </c>
      <c r="H73" s="281">
        <f t="shared" si="9"/>
        <v>302917.35684062471</v>
      </c>
      <c r="J73" s="749"/>
      <c r="K73" s="749"/>
      <c r="L73" s="749"/>
      <c r="M73" s="749"/>
      <c r="N73" s="749"/>
      <c r="O73" s="749"/>
    </row>
    <row r="74" spans="1:15" ht="15" hidden="1" customHeight="1" outlineLevel="1">
      <c r="C74" s="281">
        <f t="shared" si="10"/>
        <v>0</v>
      </c>
      <c r="D74" s="281">
        <f t="shared" si="9"/>
        <v>205924.29225553485</v>
      </c>
      <c r="E74" s="281">
        <f t="shared" si="9"/>
        <v>345453.9725043634</v>
      </c>
      <c r="F74" s="281">
        <f t="shared" si="9"/>
        <v>0</v>
      </c>
      <c r="G74" s="281">
        <f t="shared" si="9"/>
        <v>214688.41619591878</v>
      </c>
      <c r="H74" s="281">
        <f t="shared" si="9"/>
        <v>235404.46627353702</v>
      </c>
      <c r="J74" s="749"/>
      <c r="K74" s="749"/>
      <c r="L74" s="749"/>
      <c r="M74" s="749"/>
      <c r="N74" s="749"/>
      <c r="O74" s="749"/>
    </row>
    <row r="75" spans="1:15" ht="15" hidden="1" customHeight="1" outlineLevel="1">
      <c r="C75" s="281">
        <f t="shared" si="10"/>
        <v>0</v>
      </c>
      <c r="D75" s="281">
        <f t="shared" si="9"/>
        <v>141243.03028792623</v>
      </c>
      <c r="E75" s="281">
        <f t="shared" si="9"/>
        <v>266834.41463836079</v>
      </c>
      <c r="F75" s="281">
        <f t="shared" si="9"/>
        <v>0</v>
      </c>
      <c r="G75" s="281">
        <f t="shared" si="9"/>
        <v>0</v>
      </c>
      <c r="H75" s="281">
        <f t="shared" si="9"/>
        <v>162686.61941353086</v>
      </c>
      <c r="J75" s="749"/>
      <c r="K75" s="749"/>
      <c r="L75" s="749"/>
      <c r="M75" s="749"/>
      <c r="N75" s="749"/>
      <c r="O75" s="749"/>
    </row>
    <row r="76" spans="1:15" ht="15" hidden="1" customHeight="1" outlineLevel="1">
      <c r="C76" s="281">
        <f t="shared" si="10"/>
        <v>0</v>
      </c>
      <c r="D76" s="281">
        <f t="shared" si="9"/>
        <v>72679.281507605119</v>
      </c>
      <c r="E76" s="281">
        <f t="shared" si="9"/>
        <v>183263.40148336749</v>
      </c>
      <c r="F76" s="281">
        <f t="shared" si="9"/>
        <v>0</v>
      </c>
      <c r="G76" s="281">
        <f t="shared" si="9"/>
        <v>0</v>
      </c>
      <c r="H76" s="281">
        <f t="shared" si="9"/>
        <v>84362.536300829175</v>
      </c>
      <c r="J76" s="749"/>
      <c r="K76" s="749"/>
      <c r="L76" s="749"/>
      <c r="M76" s="749"/>
      <c r="N76" s="749"/>
      <c r="O76" s="749"/>
    </row>
    <row r="77" spans="1:15" ht="15" hidden="1" customHeight="1" outlineLevel="1">
      <c r="C77" s="281">
        <f t="shared" si="10"/>
        <v>0</v>
      </c>
      <c r="D77" s="281">
        <f t="shared" si="9"/>
        <v>0</v>
      </c>
      <c r="E77" s="281">
        <f t="shared" si="9"/>
        <v>94429.090666514065</v>
      </c>
      <c r="F77" s="281">
        <f t="shared" si="9"/>
        <v>0</v>
      </c>
      <c r="G77" s="281">
        <f t="shared" si="9"/>
        <v>0</v>
      </c>
      <c r="H77" s="281">
        <f t="shared" si="9"/>
        <v>7.2759576141834259E-11</v>
      </c>
      <c r="J77" s="749"/>
      <c r="K77" s="749"/>
      <c r="L77" s="749"/>
      <c r="M77" s="749"/>
      <c r="N77" s="749"/>
      <c r="O77" s="749"/>
    </row>
    <row r="78" spans="1:15" ht="15" hidden="1" customHeight="1" outlineLevel="1">
      <c r="C78" s="281">
        <f t="shared" si="10"/>
        <v>0</v>
      </c>
      <c r="D78" s="281">
        <f t="shared" si="9"/>
        <v>0</v>
      </c>
      <c r="E78" s="281">
        <f t="shared" si="9"/>
        <v>0</v>
      </c>
      <c r="F78" s="281">
        <f t="shared" si="9"/>
        <v>0</v>
      </c>
      <c r="G78" s="281">
        <f t="shared" si="9"/>
        <v>0</v>
      </c>
      <c r="H78" s="281">
        <f t="shared" si="9"/>
        <v>7.2759576141834259E-11</v>
      </c>
      <c r="J78" s="749"/>
      <c r="K78" s="749"/>
      <c r="L78" s="749"/>
      <c r="M78" s="749"/>
      <c r="N78" s="749"/>
      <c r="O78" s="749"/>
    </row>
    <row r="79" spans="1:15" ht="15" hidden="1" customHeight="1" outlineLevel="1">
      <c r="C79" s="281">
        <f t="shared" si="10"/>
        <v>0</v>
      </c>
      <c r="D79" s="281">
        <f t="shared" si="9"/>
        <v>0</v>
      </c>
      <c r="E79" s="281">
        <f t="shared" si="9"/>
        <v>0</v>
      </c>
      <c r="F79" s="281">
        <f t="shared" si="9"/>
        <v>0</v>
      </c>
      <c r="G79" s="281">
        <f t="shared" si="9"/>
        <v>0</v>
      </c>
      <c r="H79" s="281">
        <f t="shared" si="9"/>
        <v>7.2759576141834259E-11</v>
      </c>
      <c r="J79" s="749"/>
      <c r="K79" s="749"/>
      <c r="L79" s="749"/>
      <c r="M79" s="749"/>
      <c r="N79" s="749"/>
      <c r="O79" s="749"/>
    </row>
    <row r="80" spans="1:15" ht="15" hidden="1" customHeight="1" outlineLevel="1">
      <c r="C80" s="281">
        <f t="shared" si="10"/>
        <v>0</v>
      </c>
      <c r="D80" s="281">
        <f t="shared" si="9"/>
        <v>0</v>
      </c>
      <c r="E80" s="281">
        <f t="shared" si="9"/>
        <v>0</v>
      </c>
      <c r="F80" s="281">
        <f t="shared" si="9"/>
        <v>0</v>
      </c>
      <c r="G80" s="281">
        <f t="shared" si="9"/>
        <v>0</v>
      </c>
      <c r="H80" s="281">
        <f t="shared" si="9"/>
        <v>7.2759576141834259E-11</v>
      </c>
      <c r="J80" s="749"/>
      <c r="K80" s="749"/>
      <c r="L80" s="749"/>
      <c r="M80" s="749"/>
      <c r="N80" s="749"/>
      <c r="O80" s="749"/>
    </row>
    <row r="81" spans="1:15" ht="15" hidden="1" customHeight="1" outlineLevel="1">
      <c r="C81" s="281">
        <f t="shared" si="10"/>
        <v>0</v>
      </c>
      <c r="D81" s="281">
        <f t="shared" si="9"/>
        <v>0</v>
      </c>
      <c r="E81" s="281">
        <f t="shared" si="9"/>
        <v>0</v>
      </c>
      <c r="F81" s="281">
        <f t="shared" si="9"/>
        <v>0</v>
      </c>
      <c r="G81" s="281">
        <f t="shared" si="9"/>
        <v>0</v>
      </c>
      <c r="H81" s="281">
        <f t="shared" si="9"/>
        <v>7.2759576141834259E-11</v>
      </c>
      <c r="J81" s="749"/>
      <c r="K81" s="749"/>
      <c r="L81" s="749"/>
      <c r="M81" s="749"/>
      <c r="N81" s="749"/>
      <c r="O81" s="749"/>
    </row>
    <row r="82" spans="1:15" ht="15" hidden="1" customHeight="1" outlineLevel="1">
      <c r="A82" s="260"/>
      <c r="B82" s="260"/>
      <c r="C82" s="260"/>
      <c r="D82" s="260"/>
      <c r="E82" s="260"/>
      <c r="F82" s="260"/>
      <c r="G82" s="260"/>
      <c r="H82" s="260"/>
      <c r="J82" s="749"/>
      <c r="K82" s="749"/>
      <c r="L82" s="749"/>
      <c r="M82" s="749"/>
      <c r="N82" s="749"/>
      <c r="O82" s="749"/>
    </row>
    <row r="83" spans="1:15" ht="15" hidden="1" customHeight="1" outlineLevel="1">
      <c r="A83" s="2" t="s">
        <v>37</v>
      </c>
      <c r="B83" s="260"/>
      <c r="C83" s="260"/>
      <c r="D83" s="260"/>
      <c r="E83" s="260"/>
      <c r="F83" s="260"/>
      <c r="G83" s="260"/>
      <c r="H83" s="260"/>
      <c r="J83" s="749"/>
      <c r="K83" s="749"/>
      <c r="L83" s="749"/>
      <c r="M83" s="749"/>
      <c r="N83" s="749"/>
      <c r="O83" s="749"/>
    </row>
    <row r="84" spans="1:15" hidden="1" outlineLevel="1">
      <c r="A84" s="2" t="s">
        <v>38</v>
      </c>
      <c r="B84" s="260"/>
      <c r="C84" s="278">
        <f t="shared" ref="C84:H84" si="11">C20/12</f>
        <v>1.1250000000000001E-2</v>
      </c>
      <c r="D84" s="278">
        <f t="shared" si="11"/>
        <v>1.1250000000000001E-2</v>
      </c>
      <c r="E84" s="278">
        <f t="shared" si="11"/>
        <v>1.1250000000000001E-2</v>
      </c>
      <c r="F84" s="278">
        <f t="shared" si="11"/>
        <v>1.1250000000000001E-2</v>
      </c>
      <c r="G84" s="278">
        <f t="shared" si="11"/>
        <v>1.1250000000000001E-2</v>
      </c>
      <c r="H84" s="278">
        <f t="shared" si="11"/>
        <v>1.1250000000000001E-2</v>
      </c>
      <c r="J84" s="749"/>
      <c r="K84" s="749"/>
      <c r="L84" s="749"/>
      <c r="M84" s="749"/>
      <c r="N84" s="749"/>
      <c r="O84" s="749"/>
    </row>
    <row r="85" spans="1:15" hidden="1" outlineLevel="1">
      <c r="A85" s="260"/>
      <c r="B85" s="260"/>
      <c r="C85" s="282"/>
      <c r="D85" s="282"/>
      <c r="E85" s="282"/>
      <c r="F85" s="282"/>
      <c r="G85" s="282"/>
      <c r="H85" s="282"/>
      <c r="J85" s="749"/>
      <c r="K85" s="749"/>
      <c r="L85" s="749"/>
      <c r="M85" s="749"/>
      <c r="N85" s="749"/>
      <c r="O85" s="749"/>
    </row>
    <row r="86" spans="1:15" hidden="1" outlineLevel="1">
      <c r="A86" s="260"/>
      <c r="B86" s="260"/>
      <c r="C86" s="283">
        <f t="shared" ref="C86:H97" si="12">(C66*C$84)</f>
        <v>0</v>
      </c>
      <c r="D86" s="283">
        <f t="shared" si="12"/>
        <v>6834.8475000000008</v>
      </c>
      <c r="E86" s="283">
        <f t="shared" si="12"/>
        <v>9314.5387500000015</v>
      </c>
      <c r="F86" s="283">
        <f t="shared" si="12"/>
        <v>0</v>
      </c>
      <c r="G86" s="283">
        <f t="shared" si="12"/>
        <v>15573.228750000002</v>
      </c>
      <c r="H86" s="283">
        <f t="shared" si="12"/>
        <v>7401.7462500000011</v>
      </c>
      <c r="J86" s="749"/>
      <c r="K86" s="749"/>
      <c r="L86" s="749"/>
      <c r="M86" s="749"/>
      <c r="N86" s="749"/>
      <c r="O86" s="749"/>
    </row>
    <row r="87" spans="1:15" hidden="1" outlineLevel="1">
      <c r="A87" s="260"/>
      <c r="B87" s="260"/>
      <c r="C87" s="283">
        <f t="shared" si="12"/>
        <v>0</v>
      </c>
      <c r="D87" s="283">
        <f t="shared" si="12"/>
        <v>6378.3877958606727</v>
      </c>
      <c r="E87" s="283">
        <f t="shared" si="12"/>
        <v>8771.935290305586</v>
      </c>
      <c r="F87" s="283">
        <f t="shared" si="12"/>
        <v>0</v>
      </c>
      <c r="G87" s="283">
        <f t="shared" si="12"/>
        <v>14398.497035443936</v>
      </c>
      <c r="H87" s="283">
        <f t="shared" si="12"/>
        <v>6950.1409125579567</v>
      </c>
      <c r="J87" s="749"/>
      <c r="K87" s="749"/>
      <c r="L87" s="749"/>
      <c r="M87" s="749"/>
      <c r="N87" s="749"/>
      <c r="O87" s="749"/>
    </row>
    <row r="88" spans="1:15" hidden="1" outlineLevel="1">
      <c r="A88" s="260"/>
      <c r="B88" s="260"/>
      <c r="C88" s="283">
        <f t="shared" si="12"/>
        <v>0</v>
      </c>
      <c r="D88" s="283">
        <f t="shared" si="12"/>
        <v>5894.5291398774089</v>
      </c>
      <c r="E88" s="283">
        <f t="shared" si="12"/>
        <v>8195.1586955382463</v>
      </c>
      <c r="F88" s="283">
        <f t="shared" si="12"/>
        <v>0</v>
      </c>
      <c r="G88" s="283">
        <f t="shared" si="12"/>
        <v>13113.013558466995</v>
      </c>
      <c r="H88" s="283">
        <f t="shared" si="12"/>
        <v>6463.7187272030133</v>
      </c>
      <c r="J88" s="749"/>
      <c r="K88" s="749"/>
      <c r="L88" s="749"/>
      <c r="M88" s="749"/>
      <c r="N88" s="749"/>
      <c r="O88" s="749"/>
    </row>
    <row r="89" spans="1:15" hidden="1" outlineLevel="1">
      <c r="A89" s="260"/>
      <c r="B89" s="260"/>
      <c r="C89" s="283">
        <f t="shared" si="12"/>
        <v>0</v>
      </c>
      <c r="D89" s="283">
        <f t="shared" si="12"/>
        <v>5381.6269124806404</v>
      </c>
      <c r="E89" s="283">
        <f t="shared" si="12"/>
        <v>7582.0567435920439</v>
      </c>
      <c r="F89" s="283">
        <f t="shared" si="12"/>
        <v>0</v>
      </c>
      <c r="G89" s="283">
        <f t="shared" si="12"/>
        <v>11706.33682615012</v>
      </c>
      <c r="H89" s="283">
        <f t="shared" si="12"/>
        <v>5939.7954632627507</v>
      </c>
      <c r="J89" s="749"/>
      <c r="K89" s="749"/>
      <c r="L89" s="749"/>
      <c r="M89" s="749"/>
      <c r="N89" s="749"/>
      <c r="O89" s="749"/>
    </row>
    <row r="90" spans="1:15" hidden="1" outlineLevel="1">
      <c r="A90" s="260"/>
      <c r="B90" s="260"/>
      <c r="C90" s="283">
        <f t="shared" si="12"/>
        <v>0</v>
      </c>
      <c r="D90" s="283">
        <f t="shared" si="12"/>
        <v>4837.937775962092</v>
      </c>
      <c r="E90" s="283">
        <f t="shared" si="12"/>
        <v>6930.3416655350502</v>
      </c>
      <c r="F90" s="283">
        <f t="shared" si="12"/>
        <v>0</v>
      </c>
      <c r="G90" s="283">
        <f t="shared" si="12"/>
        <v>10167.040938897597</v>
      </c>
      <c r="H90" s="283">
        <f t="shared" si="12"/>
        <v>5375.4799473133335</v>
      </c>
      <c r="J90" s="749"/>
      <c r="K90" s="749"/>
      <c r="L90" s="749"/>
      <c r="M90" s="749"/>
      <c r="N90" s="749"/>
      <c r="O90" s="749"/>
    </row>
    <row r="91" spans="1:15" hidden="1" outlineLevel="1">
      <c r="A91" s="260"/>
      <c r="B91" s="260"/>
      <c r="C91" s="283">
        <f t="shared" si="12"/>
        <v>0</v>
      </c>
      <c r="D91" s="283">
        <f t="shared" si="12"/>
        <v>4261.6137489275634</v>
      </c>
      <c r="E91" s="283">
        <f t="shared" si="12"/>
        <v>6237.5816088779447</v>
      </c>
      <c r="F91" s="283">
        <f t="shared" si="12"/>
        <v>0</v>
      </c>
      <c r="G91" s="283">
        <f t="shared" si="12"/>
        <v>8482.6227822043038</v>
      </c>
      <c r="H91" s="283">
        <f t="shared" si="12"/>
        <v>4767.6581087748436</v>
      </c>
      <c r="J91" s="749"/>
      <c r="K91" s="749"/>
      <c r="L91" s="749"/>
      <c r="M91" s="749"/>
      <c r="N91" s="749"/>
      <c r="O91" s="749"/>
    </row>
    <row r="92" spans="1:15" hidden="1" outlineLevel="1">
      <c r="A92" s="260"/>
      <c r="B92" s="260"/>
      <c r="C92" s="283">
        <f t="shared" si="12"/>
        <v>0</v>
      </c>
      <c r="D92" s="283">
        <f t="shared" si="12"/>
        <v>3650.6959250692898</v>
      </c>
      <c r="E92" s="283">
        <f t="shared" si="12"/>
        <v>5501.1915631997545</v>
      </c>
      <c r="F92" s="283">
        <f t="shared" si="12"/>
        <v>0</v>
      </c>
      <c r="G92" s="283">
        <f t="shared" si="12"/>
        <v>6639.4004686163416</v>
      </c>
      <c r="H92" s="283">
        <f t="shared" si="12"/>
        <v>4112.9757954899733</v>
      </c>
      <c r="J92" s="749"/>
      <c r="K92" s="749"/>
      <c r="L92" s="749"/>
      <c r="M92" s="749"/>
      <c r="N92" s="749"/>
      <c r="O92" s="749"/>
    </row>
    <row r="93" spans="1:15" hidden="1" outlineLevel="1">
      <c r="A93" s="260"/>
      <c r="B93" s="260"/>
      <c r="C93" s="283">
        <f t="shared" si="12"/>
        <v>0</v>
      </c>
      <c r="D93" s="283">
        <f t="shared" si="12"/>
        <v>3003.1078149081827</v>
      </c>
      <c r="E93" s="283">
        <f t="shared" si="12"/>
        <v>4718.4237142700122</v>
      </c>
      <c r="F93" s="283">
        <f t="shared" si="12"/>
        <v>0</v>
      </c>
      <c r="G93" s="283">
        <f t="shared" si="12"/>
        <v>4622.4022049677369</v>
      </c>
      <c r="H93" s="283">
        <f t="shared" si="12"/>
        <v>3407.8202644570283</v>
      </c>
      <c r="J93" s="749"/>
      <c r="K93" s="749"/>
      <c r="L93" s="749"/>
      <c r="M93" s="749"/>
      <c r="N93" s="749"/>
      <c r="O93" s="749"/>
    </row>
    <row r="94" spans="1:15" hidden="1" outlineLevel="1">
      <c r="A94" s="260"/>
      <c r="B94" s="260"/>
      <c r="C94" s="283">
        <f t="shared" si="12"/>
        <v>0</v>
      </c>
      <c r="D94" s="283">
        <f t="shared" si="12"/>
        <v>2316.6482878747674</v>
      </c>
      <c r="E94" s="283">
        <f t="shared" si="12"/>
        <v>3886.3571906740885</v>
      </c>
      <c r="F94" s="283">
        <f t="shared" si="12"/>
        <v>0</v>
      </c>
      <c r="G94" s="283">
        <f t="shared" si="12"/>
        <v>2415.2446822040865</v>
      </c>
      <c r="H94" s="283">
        <f t="shared" si="12"/>
        <v>2648.3002455772917</v>
      </c>
      <c r="J94" s="749"/>
      <c r="K94" s="749"/>
      <c r="L94" s="749"/>
      <c r="M94" s="749"/>
      <c r="N94" s="749"/>
      <c r="O94" s="749"/>
    </row>
    <row r="95" spans="1:15" hidden="1" outlineLevel="1">
      <c r="A95" s="260"/>
      <c r="B95" s="260"/>
      <c r="C95" s="283">
        <f t="shared" si="12"/>
        <v>0</v>
      </c>
      <c r="D95" s="283">
        <f t="shared" si="12"/>
        <v>1588.9840907391704</v>
      </c>
      <c r="E95" s="283">
        <f t="shared" si="12"/>
        <v>3001.8871646815592</v>
      </c>
      <c r="F95" s="283">
        <f t="shared" si="12"/>
        <v>0</v>
      </c>
      <c r="G95" s="283">
        <f t="shared" si="12"/>
        <v>0</v>
      </c>
      <c r="H95" s="283">
        <f t="shared" si="12"/>
        <v>1830.2244684022223</v>
      </c>
      <c r="J95" s="749"/>
      <c r="K95" s="749"/>
      <c r="L95" s="749"/>
      <c r="M95" s="749"/>
      <c r="N95" s="749"/>
      <c r="O95" s="749"/>
    </row>
    <row r="96" spans="1:15" hidden="1" outlineLevel="1">
      <c r="A96" s="260"/>
      <c r="B96" s="260"/>
      <c r="C96" s="283">
        <f t="shared" si="12"/>
        <v>0</v>
      </c>
      <c r="D96" s="283">
        <f t="shared" si="12"/>
        <v>817.64191696055764</v>
      </c>
      <c r="E96" s="283">
        <f t="shared" si="12"/>
        <v>2061.7132666878847</v>
      </c>
      <c r="F96" s="283">
        <f t="shared" si="12"/>
        <v>0</v>
      </c>
      <c r="G96" s="283">
        <f t="shared" si="12"/>
        <v>0</v>
      </c>
      <c r="H96" s="283">
        <f t="shared" si="12"/>
        <v>949.07853338432835</v>
      </c>
      <c r="J96" s="749"/>
      <c r="K96" s="749"/>
      <c r="L96" s="749"/>
      <c r="M96" s="749"/>
      <c r="N96" s="749"/>
      <c r="O96" s="749"/>
    </row>
    <row r="97" spans="1:15" hidden="1" outlineLevel="1">
      <c r="A97" s="260"/>
      <c r="B97" s="260"/>
      <c r="C97" s="283">
        <f t="shared" si="12"/>
        <v>0</v>
      </c>
      <c r="D97" s="283">
        <f t="shared" si="12"/>
        <v>0</v>
      </c>
      <c r="E97" s="283">
        <f t="shared" si="12"/>
        <v>1062.3272699982833</v>
      </c>
      <c r="F97" s="283">
        <f t="shared" si="12"/>
        <v>0</v>
      </c>
      <c r="G97" s="283">
        <f t="shared" si="12"/>
        <v>0</v>
      </c>
      <c r="H97" s="283">
        <f t="shared" si="12"/>
        <v>8.1854523159563554E-13</v>
      </c>
      <c r="J97" s="749"/>
      <c r="K97" s="749"/>
      <c r="L97" s="749"/>
      <c r="M97" s="749"/>
      <c r="N97" s="749"/>
      <c r="O97" s="749"/>
    </row>
    <row r="98" spans="1:15" hidden="1" outlineLevel="1">
      <c r="A98" s="260"/>
      <c r="B98" s="260"/>
      <c r="C98" s="260"/>
      <c r="D98" s="260"/>
      <c r="E98" s="260"/>
      <c r="F98" s="260"/>
      <c r="G98" s="260"/>
      <c r="H98" s="260"/>
      <c r="J98" s="749"/>
      <c r="K98" s="749"/>
      <c r="L98" s="749"/>
      <c r="M98" s="749"/>
      <c r="N98" s="749"/>
      <c r="O98" s="749"/>
    </row>
    <row r="99" spans="1:15" collapsed="1">
      <c r="A99" s="2" t="s">
        <v>37</v>
      </c>
      <c r="B99" s="2"/>
      <c r="C99" s="25">
        <f t="shared" ref="C99:G99" si="13">SUM(C86:C98)</f>
        <v>0</v>
      </c>
      <c r="D99" s="25">
        <f t="shared" si="13"/>
        <v>44966.020908660343</v>
      </c>
      <c r="E99" s="25">
        <f t="shared" si="13"/>
        <v>67263.512923360468</v>
      </c>
      <c r="F99" s="25">
        <f t="shared" si="13"/>
        <v>0</v>
      </c>
      <c r="G99" s="25">
        <f t="shared" si="13"/>
        <v>87117.787246951091</v>
      </c>
      <c r="H99" s="25">
        <f>SUM(H86:H98)</f>
        <v>49846.938716422745</v>
      </c>
      <c r="J99" s="749"/>
      <c r="K99" s="749"/>
      <c r="L99" s="749"/>
      <c r="M99" s="749"/>
      <c r="N99" s="749"/>
      <c r="O99" s="749"/>
    </row>
    <row r="100" spans="1:15" ht="4" customHeight="1">
      <c r="A100" s="8"/>
      <c r="B100" s="273"/>
      <c r="C100" s="260"/>
      <c r="D100" s="260"/>
      <c r="E100" s="260"/>
      <c r="F100" s="260"/>
      <c r="G100" s="260"/>
      <c r="H100" s="260"/>
      <c r="J100" s="749"/>
      <c r="K100" s="749"/>
      <c r="L100" s="749"/>
      <c r="M100" s="749"/>
      <c r="N100" s="749"/>
      <c r="O100" s="749"/>
    </row>
    <row r="101" spans="1:15">
      <c r="A101" s="8" t="s">
        <v>39</v>
      </c>
      <c r="B101" s="273"/>
      <c r="C101" s="278">
        <f t="shared" ref="C101:H101" si="14">C5</f>
        <v>7.0980720081469884E-2</v>
      </c>
      <c r="D101" s="278">
        <f t="shared" si="14"/>
        <v>6.0024908213089367E-2</v>
      </c>
      <c r="E101" s="278">
        <f t="shared" si="14"/>
        <v>6.2979943202299382E-2</v>
      </c>
      <c r="F101" s="278">
        <f t="shared" si="14"/>
        <v>0.10715764404203197</v>
      </c>
      <c r="G101" s="278">
        <f t="shared" si="14"/>
        <v>9.4278345471185743E-2</v>
      </c>
      <c r="H101" s="278">
        <f t="shared" si="14"/>
        <v>7.7095740520046613E-2</v>
      </c>
      <c r="J101" s="749"/>
      <c r="K101" s="749"/>
      <c r="L101" s="749"/>
      <c r="M101" s="749"/>
      <c r="N101" s="749"/>
      <c r="O101" s="749"/>
    </row>
    <row r="102" spans="1:15">
      <c r="A102" s="260" t="s">
        <v>40</v>
      </c>
      <c r="B102" s="273"/>
      <c r="C102" s="284">
        <f t="shared" ref="C102:H102" si="15">ROUND(C7,0)</f>
        <v>11</v>
      </c>
      <c r="D102" s="284">
        <f t="shared" si="15"/>
        <v>11</v>
      </c>
      <c r="E102" s="284">
        <f t="shared" si="15"/>
        <v>12</v>
      </c>
      <c r="F102" s="284">
        <f t="shared" si="15"/>
        <v>9</v>
      </c>
      <c r="G102" s="284">
        <f t="shared" si="15"/>
        <v>9</v>
      </c>
      <c r="H102" s="284">
        <f t="shared" si="15"/>
        <v>11</v>
      </c>
      <c r="J102" s="749"/>
      <c r="K102" s="749"/>
      <c r="L102" s="749"/>
      <c r="M102" s="749"/>
      <c r="N102" s="749"/>
      <c r="O102" s="749"/>
    </row>
    <row r="103" spans="1:15">
      <c r="A103" s="260" t="s">
        <v>41</v>
      </c>
      <c r="B103" s="260"/>
      <c r="C103" s="285">
        <f t="shared" ref="C103:H103" si="16">C18+C14</f>
        <v>0</v>
      </c>
      <c r="D103" s="285">
        <f t="shared" si="16"/>
        <v>607542</v>
      </c>
      <c r="E103" s="285">
        <f t="shared" si="16"/>
        <v>827959</v>
      </c>
      <c r="F103" s="285">
        <f t="shared" si="16"/>
        <v>0</v>
      </c>
      <c r="G103" s="285">
        <f t="shared" si="16"/>
        <v>1384287</v>
      </c>
      <c r="H103" s="285">
        <f t="shared" si="16"/>
        <v>657933</v>
      </c>
      <c r="J103" s="749"/>
      <c r="K103" s="749"/>
      <c r="L103" s="749"/>
      <c r="M103" s="749"/>
      <c r="N103" s="749"/>
      <c r="O103" s="749"/>
    </row>
    <row r="104" spans="1:15" ht="18.5" hidden="1" customHeight="1" outlineLevel="1">
      <c r="A104" s="7" t="s">
        <v>22</v>
      </c>
      <c r="B104" s="260">
        <v>1</v>
      </c>
      <c r="C104" s="286">
        <f>IFERROR(IPMT(C$101,$B104,C$102,C$103),0)*Assumption_Sheet!$C82</f>
        <v>0</v>
      </c>
      <c r="D104" s="286">
        <f>IFERROR(IPMT(D$101,$B104,D$102,D$103),0)*Assumption_Sheet!$C82</f>
        <v>-35372.476446593319</v>
      </c>
      <c r="E104" s="286">
        <f>IFERROR(IPMT(E$101,$B104,E$102,E$103),0)*Assumption_Sheet!$C82</f>
        <v>-50578.826733411479</v>
      </c>
      <c r="F104" s="286">
        <f>IFERROR(IPMT(F$101,$B104,F$102,F$103),0)*Assumption_Sheet!$C82</f>
        <v>0</v>
      </c>
      <c r="G104" s="286">
        <f>IFERROR(IPMT(G$101,$B104,G$102,G$103),0)*Assumption_Sheet!$C82</f>
        <v>-126588.93543593897</v>
      </c>
      <c r="H104" s="286">
        <f>IFERROR(IPMT(H$101,$B104,H$102,H$103),0)*Assumption_Sheet!$C82</f>
        <v>-49200.521839398003</v>
      </c>
      <c r="J104" s="749"/>
      <c r="K104" s="749"/>
      <c r="L104" s="749"/>
      <c r="M104" s="749"/>
      <c r="N104" s="749"/>
      <c r="O104" s="749"/>
    </row>
    <row r="105" spans="1:15" ht="18.5" hidden="1" customHeight="1" outlineLevel="1">
      <c r="A105" s="7" t="s">
        <v>23</v>
      </c>
      <c r="B105" s="260">
        <v>2</v>
      </c>
      <c r="C105" s="286">
        <f>IFERROR(IPMT(C$101,$B105,C$102,C$103),0)*Assumption_Sheet!$C83</f>
        <v>0</v>
      </c>
      <c r="D105" s="286">
        <f>IFERROR(IPMT(D$101,$B105,D$102,D$103),0)*Assumption_Sheet!$C83</f>
        <v>-31957.066244791029</v>
      </c>
      <c r="E105" s="286">
        <f>IFERROR(IPMT(E$101,$B105,E$102,E$103),0)*Assumption_Sheet!$C83</f>
        <v>-46112.870970772499</v>
      </c>
      <c r="F105" s="286">
        <f>IFERROR(IPMT(F$101,$B105,F$102,F$103),0)*Assumption_Sheet!$C83</f>
        <v>0</v>
      </c>
      <c r="G105" s="286">
        <f>IFERROR(IPMT(G$101,$B105,G$102,G$103),0)*Assumption_Sheet!$C83</f>
        <v>-113306.17837886255</v>
      </c>
      <c r="H105" s="286">
        <f>IFERROR(IPMT(H$101,$B105,H$102,H$103),0)*Assumption_Sheet!$C83</f>
        <v>-44724.806713023885</v>
      </c>
      <c r="J105" s="749"/>
      <c r="K105" s="749"/>
      <c r="L105" s="749"/>
      <c r="M105" s="749"/>
      <c r="N105" s="749"/>
      <c r="O105" s="749"/>
    </row>
    <row r="106" spans="1:15" ht="18.5" hidden="1" customHeight="1" outlineLevel="1">
      <c r="A106" s="7" t="s">
        <v>24</v>
      </c>
      <c r="B106" s="260">
        <v>3</v>
      </c>
      <c r="C106" s="286">
        <f>IFERROR(IPMT(C$101,$B106,C$102,C$103),0)*Assumption_Sheet!$C84</f>
        <v>0</v>
      </c>
      <c r="D106" s="286">
        <f>IFERROR(IPMT(D$101,$B106,D$102,D$103),0)*Assumption_Sheet!$C84</f>
        <v>-27982.5581855862</v>
      </c>
      <c r="E106" s="286">
        <f>IFERROR(IPMT(E$101,$B106,E$102,E$103),0)*Assumption_Sheet!$C84</f>
        <v>-40819.381918431362</v>
      </c>
      <c r="F106" s="286">
        <f>IFERROR(IPMT(F$101,$B106,F$102,F$103),0)*Assumption_Sheet!$C84</f>
        <v>0</v>
      </c>
      <c r="G106" s="286">
        <f>IFERROR(IPMT(G$101,$B106,G$102,G$103),0)*Assumption_Sheet!$C84</f>
        <v>-97773.520828111738</v>
      </c>
      <c r="H106" s="286">
        <f>IFERROR(IPMT(H$101,$B106,H$102,H$103),0)*Assumption_Sheet!$C84</f>
        <v>-39411.197020605054</v>
      </c>
      <c r="J106" s="749"/>
      <c r="K106" s="749"/>
      <c r="L106" s="749"/>
      <c r="M106" s="749"/>
      <c r="N106" s="749"/>
      <c r="O106" s="749"/>
    </row>
    <row r="107" spans="1:15" ht="18.5" hidden="1" customHeight="1" outlineLevel="1">
      <c r="A107" s="7" t="s">
        <v>25</v>
      </c>
      <c r="B107" s="260">
        <v>4</v>
      </c>
      <c r="C107" s="286">
        <f>IFERROR(IPMT(C$101,$B107,C$102,C$103),0)*Assumption_Sheet!$C85</f>
        <v>0</v>
      </c>
      <c r="D107" s="286">
        <f>IFERROR(IPMT(D$101,$B107,D$102,D$103),0)*Assumption_Sheet!$C85</f>
        <v>-23673.730837372961</v>
      </c>
      <c r="E107" s="286">
        <f>IFERROR(IPMT(E$101,$B107,E$102,E$103),0)*Assumption_Sheet!$C85</f>
        <v>-34995.395766216527</v>
      </c>
      <c r="F107" s="286">
        <f>IFERROR(IPMT(F$101,$B107,F$102,F$103),0)*Assumption_Sheet!$C85</f>
        <v>0</v>
      </c>
      <c r="G107" s="286">
        <f>IFERROR(IPMT(G$101,$B107,G$102,G$103),0)*Assumption_Sheet!$C85</f>
        <v>-80882.503013881447</v>
      </c>
      <c r="H107" s="286">
        <f>IFERROR(IPMT(H$101,$B107,H$102,H$103),0)*Assumption_Sheet!$C85</f>
        <v>-33560.118757941564</v>
      </c>
      <c r="J107" s="749"/>
      <c r="K107" s="749"/>
      <c r="L107" s="749"/>
      <c r="M107" s="749"/>
      <c r="N107" s="749"/>
      <c r="O107" s="749"/>
    </row>
    <row r="108" spans="1:15" ht="18.5" hidden="1" customHeight="1" outlineLevel="1">
      <c r="A108" s="7" t="s">
        <v>26</v>
      </c>
      <c r="B108" s="260">
        <v>5</v>
      </c>
      <c r="C108" s="286">
        <f>IFERROR(IPMT(C$101,$B108,C$102,C$103),0)*Assumption_Sheet!$C86</f>
        <v>0</v>
      </c>
      <c r="D108" s="286">
        <f>IFERROR(IPMT(D$101,$B108,D$102,D$103),0)*Assumption_Sheet!$C86</f>
        <v>-19470.018363914165</v>
      </c>
      <c r="E108" s="286">
        <f>IFERROR(IPMT(E$101,$B108,E$102,E$103),0)*Assumption_Sheet!$C86</f>
        <v>-29263.851795409595</v>
      </c>
      <c r="F108" s="286">
        <f>IFERROR(IPMT(F$101,$B108,F$102,F$103),0)*Assumption_Sheet!$C86</f>
        <v>0</v>
      </c>
      <c r="G108" s="286">
        <f>IFERROR(IPMT(G$101,$B108,G$102,G$103),0)*Assumption_Sheet!$C86</f>
        <v>-64265.975306748071</v>
      </c>
      <c r="H108" s="286">
        <f>IFERROR(IPMT(H$101,$B108,H$102,H$103),0)*Assumption_Sheet!$C86</f>
        <v>-27785.755420987898</v>
      </c>
      <c r="J108" s="749"/>
      <c r="K108" s="749"/>
      <c r="L108" s="749"/>
      <c r="M108" s="749"/>
      <c r="N108" s="749"/>
      <c r="O108" s="749"/>
    </row>
    <row r="109" spans="1:15" ht="18.5" hidden="1" customHeight="1" outlineLevel="1">
      <c r="A109" s="7" t="s">
        <v>27</v>
      </c>
      <c r="B109" s="260">
        <v>6</v>
      </c>
      <c r="C109" s="286">
        <f>IFERROR(IPMT(C$101,$B109,C$102,C$103),0)*Assumption_Sheet!$C87</f>
        <v>0</v>
      </c>
      <c r="D109" s="286">
        <f>IFERROR(IPMT(D$101,$B109,D$102,D$103),0)*Assumption_Sheet!$C87</f>
        <v>-15392.164417015223</v>
      </c>
      <c r="E109" s="286">
        <f>IFERROR(IPMT(E$101,$B109,E$102,E$103),0)*Assumption_Sheet!$C87</f>
        <v>-23638.102396657705</v>
      </c>
      <c r="F109" s="286">
        <f>IFERROR(IPMT(F$101,$B109,F$102,F$103),0)*Assumption_Sheet!$C87</f>
        <v>0</v>
      </c>
      <c r="G109" s="286">
        <f>IFERROR(IPMT(G$101,$B109,G$102,G$103),0)*Assumption_Sheet!$C87</f>
        <v>-48121.17366499544</v>
      </c>
      <c r="H109" s="286">
        <f>IFERROR(IPMT(H$101,$B109,H$102,H$103),0)*Assumption_Sheet!$C87</f>
        <v>-22117.171874817708</v>
      </c>
      <c r="J109" s="749"/>
      <c r="K109" s="749"/>
      <c r="L109" s="749"/>
      <c r="M109" s="749"/>
      <c r="N109" s="749"/>
      <c r="O109" s="749"/>
    </row>
    <row r="110" spans="1:15" ht="18.5" hidden="1" customHeight="1" outlineLevel="1">
      <c r="A110" s="7" t="s">
        <v>28</v>
      </c>
      <c r="B110" s="260">
        <v>7</v>
      </c>
      <c r="C110" s="286">
        <f>IFERROR(IPMT(C$101,$B110,C$102,C$103),0)*Assumption_Sheet!$C88</f>
        <v>0</v>
      </c>
      <c r="D110" s="286">
        <f>IFERROR(IPMT(D$101,$B110,D$102,D$103),0)*Assumption_Sheet!$C88</f>
        <v>-11922.635997539897</v>
      </c>
      <c r="E110" s="286">
        <f>IFERROR(IPMT(E$101,$B110,E$102,E$103),0)*Assumption_Sheet!$C88</f>
        <v>-18850.555474474066</v>
      </c>
      <c r="F110" s="286">
        <f>IFERROR(IPMT(F$101,$B110,F$102,F$103),0)*Assumption_Sheet!$C88</f>
        <v>0</v>
      </c>
      <c r="G110" s="286">
        <f>IFERROR(IPMT(G$101,$B110,G$102,G$103),0)*Assumption_Sheet!$C88</f>
        <v>-34056.964478577</v>
      </c>
      <c r="H110" s="286">
        <f>IFERROR(IPMT(H$101,$B110,H$102,H$103),0)*Assumption_Sheet!$C88</f>
        <v>-17252.484953183815</v>
      </c>
      <c r="J110" s="749"/>
      <c r="K110" s="749"/>
      <c r="L110" s="749"/>
      <c r="M110" s="749"/>
      <c r="N110" s="749"/>
      <c r="O110" s="749"/>
    </row>
    <row r="111" spans="1:15" ht="18.5" hidden="1" customHeight="1" outlineLevel="1">
      <c r="A111" s="7" t="s">
        <v>29</v>
      </c>
      <c r="B111" s="260">
        <v>8</v>
      </c>
      <c r="C111" s="286">
        <f>IFERROR(IPMT(C$101,$B111,C$102,C$103),0)*Assumption_Sheet!$C89</f>
        <v>0</v>
      </c>
      <c r="D111" s="286">
        <f>IFERROR(IPMT(D$101,$B111,D$102,D$103),0)*Assumption_Sheet!$C89</f>
        <v>-8816.7662165216971</v>
      </c>
      <c r="E111" s="286">
        <f>IFERROR(IPMT(E$101,$B111,E$102,E$103),0)*Assumption_Sheet!$C89</f>
        <v>-14534.70089831632</v>
      </c>
      <c r="F111" s="286">
        <f>IFERROR(IPMT(F$101,$B111,F$102,F$103),0)*Assumption_Sheet!$C89</f>
        <v>0</v>
      </c>
      <c r="G111" s="286">
        <f>IFERROR(IPMT(G$101,$B111,G$102,G$103),0)*Assumption_Sheet!$C89</f>
        <v>-21315.061031343997</v>
      </c>
      <c r="H111" s="286">
        <f>IFERROR(IPMT(H$101,$B111,H$102,H$103),0)*Assumption_Sheet!$C89</f>
        <v>-12850.320569804855</v>
      </c>
      <c r="J111" s="749"/>
      <c r="K111" s="749"/>
      <c r="L111" s="749"/>
      <c r="M111" s="749"/>
      <c r="N111" s="749"/>
      <c r="O111" s="749"/>
    </row>
    <row r="112" spans="1:15" ht="18.5" hidden="1" customHeight="1" outlineLevel="1">
      <c r="A112" s="7" t="s">
        <v>30</v>
      </c>
      <c r="B112" s="260">
        <v>9</v>
      </c>
      <c r="C112" s="286">
        <f>IFERROR(IPMT(C$101,$B112,C$102,C$103),0)*Assumption_Sheet!$C90</f>
        <v>0</v>
      </c>
      <c r="D112" s="286">
        <f>IFERROR(IPMT(D$101,$B112,D$102,D$103),0)*Assumption_Sheet!$C90</f>
        <v>-6381.8728631542426</v>
      </c>
      <c r="E112" s="286">
        <f>IFERROR(IPMT(E$101,$B112,E$102,E$103),0)*Assumption_Sheet!$C90</f>
        <v>-11233.148941233569</v>
      </c>
      <c r="F112" s="286">
        <f>IFERROR(IPMT(F$101,$B112,F$102,F$103),0)*Assumption_Sheet!$C90</f>
        <v>0</v>
      </c>
      <c r="G112" s="286">
        <f>IFERROR(IPMT(G$101,$B112,G$102,G$103),0)*Assumption_Sheet!$C90</f>
        <v>-10450.320882750513</v>
      </c>
      <c r="H112" s="286">
        <f>IFERROR(IPMT(H$101,$B112,H$102,H$103),0)*Assumption_Sheet!$C90</f>
        <v>-9370.3139940438232</v>
      </c>
      <c r="J112" s="749"/>
      <c r="K112" s="749"/>
      <c r="L112" s="749"/>
      <c r="M112" s="749"/>
      <c r="N112" s="749"/>
      <c r="O112" s="749"/>
    </row>
    <row r="113" spans="1:15" ht="18.5" hidden="1" customHeight="1" outlineLevel="1">
      <c r="A113" s="7" t="s">
        <v>31</v>
      </c>
      <c r="B113" s="260">
        <v>10</v>
      </c>
      <c r="C113" s="286">
        <f>IFERROR(IPMT(C$101,$B113,C$102,C$103),0)*Assumption_Sheet!$C91</f>
        <v>0</v>
      </c>
      <c r="D113" s="286">
        <f>IFERROR(IPMT(D$101,$B113,D$102,D$103),0)*Assumption_Sheet!$C91</f>
        <v>-4093.1031538538423</v>
      </c>
      <c r="E113" s="286">
        <f>IFERROR(IPMT(E$101,$B113,E$102,E$103),0)*Assumption_Sheet!$C91</f>
        <v>-8113.3136348923617</v>
      </c>
      <c r="F113" s="286">
        <f>IFERROR(IPMT(F$101,$B113,F$102,F$103),0)*Assumption_Sheet!$C91</f>
        <v>0</v>
      </c>
      <c r="G113" s="286">
        <f>IFERROR(IPMT(G$101,$B113,G$102,G$103),0)*Assumption_Sheet!$C91</f>
        <v>0</v>
      </c>
      <c r="H113" s="286">
        <f>IFERROR(IPMT(H$101,$B113,H$102,H$103),0)*Assumption_Sheet!$C91</f>
        <v>-6055.3099444818336</v>
      </c>
      <c r="J113" s="749"/>
      <c r="K113" s="749"/>
      <c r="L113" s="749"/>
      <c r="M113" s="749"/>
      <c r="N113" s="749"/>
      <c r="O113" s="749"/>
    </row>
    <row r="114" spans="1:15" ht="18.5" hidden="1" customHeight="1" outlineLevel="1">
      <c r="A114" s="7" t="s">
        <v>33</v>
      </c>
      <c r="B114" s="260">
        <v>11</v>
      </c>
      <c r="C114" s="286">
        <f>IFERROR(IPMT(C$101,$B114,C$102,C$103),0)*Assumption_Sheet!$C92</f>
        <v>0</v>
      </c>
      <c r="D114" s="286">
        <f>IFERROR(IPMT(D$101,$B114,D$102,D$103),0)*Assumption_Sheet!$C92</f>
        <v>-2106.1838998510893</v>
      </c>
      <c r="E114" s="286">
        <f>IFERROR(IPMT(E$101,$B114,E$102,E$103),0)*Assumption_Sheet!$C92</f>
        <v>-5572.2701887869689</v>
      </c>
      <c r="F114" s="286">
        <f>IFERROR(IPMT(F$101,$B114,F$102,F$103),0)*Assumption_Sheet!$C92</f>
        <v>0</v>
      </c>
      <c r="G114" s="286">
        <f>IFERROR(IPMT(G$101,$B114,G$102,G$103),0)*Assumption_Sheet!$C92</f>
        <v>0</v>
      </c>
      <c r="H114" s="286">
        <f>IFERROR(IPMT(H$101,$B114,H$102,H$103),0)*Assumption_Sheet!$C92</f>
        <v>-3140.0327011874269</v>
      </c>
      <c r="J114" s="749"/>
      <c r="K114" s="749"/>
      <c r="L114" s="749"/>
      <c r="M114" s="749"/>
      <c r="N114" s="749"/>
      <c r="O114" s="749"/>
    </row>
    <row r="115" spans="1:15" ht="18.5" hidden="1" customHeight="1" outlineLevel="1">
      <c r="A115" s="7" t="s">
        <v>34</v>
      </c>
      <c r="B115" s="260">
        <v>12</v>
      </c>
      <c r="C115" s="286">
        <f>IFERROR(IPMT(C$101,$B115,C$102,C$103),0)*Assumption_Sheet!$C93</f>
        <v>0</v>
      </c>
      <c r="D115" s="286">
        <f>IFERROR(IPMT(D$101,$B115,D$102,D$103),0)*Assumption_Sheet!$C93</f>
        <v>0</v>
      </c>
      <c r="E115" s="286">
        <f>IFERROR(IPMT(E$101,$B115,E$102,E$103),0)*Assumption_Sheet!$C93</f>
        <v>-2871.1919707712823</v>
      </c>
      <c r="F115" s="286">
        <f>IFERROR(IPMT(F$101,$B115,F$102,F$103),0)*Assumption_Sheet!$C93</f>
        <v>0</v>
      </c>
      <c r="G115" s="286">
        <f>IFERROR(IPMT(G$101,$B115,G$102,G$103),0)*Assumption_Sheet!$C93</f>
        <v>0</v>
      </c>
      <c r="H115" s="286">
        <f>IFERROR(IPMT(H$101,$B115,H$102,H$103),0)*Assumption_Sheet!$C93</f>
        <v>0</v>
      </c>
      <c r="J115" s="749"/>
      <c r="K115" s="749"/>
      <c r="L115" s="749"/>
      <c r="M115" s="749"/>
      <c r="N115" s="749"/>
      <c r="O115" s="749"/>
    </row>
    <row r="116" spans="1:15" ht="18.5" hidden="1" customHeight="1" outlineLevel="1">
      <c r="A116" s="7" t="s">
        <v>22</v>
      </c>
      <c r="B116" s="260">
        <v>13</v>
      </c>
      <c r="C116" s="286">
        <f t="shared" ref="C116:H121" si="17">IFERROR(IPMT(C$101,$B116,C$102,C$103),0)</f>
        <v>0</v>
      </c>
      <c r="D116" s="286">
        <f t="shared" si="17"/>
        <v>0</v>
      </c>
      <c r="E116" s="286">
        <f t="shared" si="17"/>
        <v>0</v>
      </c>
      <c r="F116" s="286">
        <f t="shared" si="17"/>
        <v>0</v>
      </c>
      <c r="G116" s="286">
        <f t="shared" si="17"/>
        <v>0</v>
      </c>
      <c r="H116" s="286">
        <f t="shared" si="17"/>
        <v>0</v>
      </c>
      <c r="J116" s="749"/>
      <c r="K116" s="749"/>
      <c r="L116" s="749"/>
      <c r="M116" s="749"/>
      <c r="N116" s="749"/>
      <c r="O116" s="749"/>
    </row>
    <row r="117" spans="1:15" ht="18.5" hidden="1" customHeight="1" outlineLevel="1">
      <c r="A117" s="7" t="s">
        <v>23</v>
      </c>
      <c r="B117" s="260">
        <v>14</v>
      </c>
      <c r="C117" s="286">
        <f t="shared" si="17"/>
        <v>0</v>
      </c>
      <c r="D117" s="286">
        <f t="shared" si="17"/>
        <v>0</v>
      </c>
      <c r="E117" s="286">
        <f t="shared" si="17"/>
        <v>0</v>
      </c>
      <c r="F117" s="286">
        <f t="shared" si="17"/>
        <v>0</v>
      </c>
      <c r="G117" s="286">
        <f t="shared" si="17"/>
        <v>0</v>
      </c>
      <c r="H117" s="286">
        <f t="shared" si="17"/>
        <v>0</v>
      </c>
      <c r="J117" s="749"/>
      <c r="K117" s="749"/>
      <c r="L117" s="749"/>
      <c r="M117" s="749"/>
      <c r="N117" s="749"/>
      <c r="O117" s="749"/>
    </row>
    <row r="118" spans="1:15" ht="18.5" hidden="1" customHeight="1" outlineLevel="1">
      <c r="A118" s="7" t="s">
        <v>24</v>
      </c>
      <c r="B118" s="260">
        <v>15</v>
      </c>
      <c r="C118" s="286">
        <f t="shared" si="17"/>
        <v>0</v>
      </c>
      <c r="D118" s="286">
        <f t="shared" si="17"/>
        <v>0</v>
      </c>
      <c r="E118" s="286">
        <f t="shared" si="17"/>
        <v>0</v>
      </c>
      <c r="F118" s="286">
        <f t="shared" si="17"/>
        <v>0</v>
      </c>
      <c r="G118" s="286">
        <f t="shared" si="17"/>
        <v>0</v>
      </c>
      <c r="H118" s="286">
        <f t="shared" si="17"/>
        <v>0</v>
      </c>
      <c r="J118" s="749"/>
      <c r="K118" s="749"/>
      <c r="L118" s="749"/>
      <c r="M118" s="749"/>
      <c r="N118" s="749"/>
      <c r="O118" s="749"/>
    </row>
    <row r="119" spans="1:15" ht="18.5" hidden="1" customHeight="1" outlineLevel="1">
      <c r="A119" s="7" t="s">
        <v>25</v>
      </c>
      <c r="B119" s="260">
        <v>16</v>
      </c>
      <c r="C119" s="286">
        <f t="shared" si="17"/>
        <v>0</v>
      </c>
      <c r="D119" s="286">
        <f t="shared" si="17"/>
        <v>0</v>
      </c>
      <c r="E119" s="286">
        <f t="shared" si="17"/>
        <v>0</v>
      </c>
      <c r="F119" s="286">
        <f t="shared" si="17"/>
        <v>0</v>
      </c>
      <c r="G119" s="286">
        <f t="shared" si="17"/>
        <v>0</v>
      </c>
      <c r="H119" s="286">
        <f t="shared" si="17"/>
        <v>0</v>
      </c>
      <c r="J119" s="749"/>
      <c r="K119" s="749"/>
      <c r="L119" s="749"/>
      <c r="M119" s="749"/>
      <c r="N119" s="749"/>
      <c r="O119" s="749"/>
    </row>
    <row r="120" spans="1:15" ht="18.5" hidden="1" customHeight="1" outlineLevel="1">
      <c r="A120" s="7" t="s">
        <v>26</v>
      </c>
      <c r="B120" s="260">
        <v>17</v>
      </c>
      <c r="C120" s="286">
        <f t="shared" si="17"/>
        <v>0</v>
      </c>
      <c r="D120" s="286">
        <f t="shared" si="17"/>
        <v>0</v>
      </c>
      <c r="E120" s="286">
        <f t="shared" si="17"/>
        <v>0</v>
      </c>
      <c r="F120" s="286">
        <f t="shared" si="17"/>
        <v>0</v>
      </c>
      <c r="G120" s="286">
        <f t="shared" si="17"/>
        <v>0</v>
      </c>
      <c r="H120" s="286">
        <f t="shared" si="17"/>
        <v>0</v>
      </c>
      <c r="J120" s="749"/>
      <c r="K120" s="749"/>
      <c r="L120" s="749"/>
      <c r="M120" s="749"/>
      <c r="N120" s="749"/>
      <c r="O120" s="749"/>
    </row>
    <row r="121" spans="1:15" ht="18.5" hidden="1" customHeight="1" outlineLevel="1">
      <c r="A121" s="7" t="s">
        <v>27</v>
      </c>
      <c r="B121" s="260">
        <v>18</v>
      </c>
      <c r="C121" s="286">
        <f t="shared" si="17"/>
        <v>0</v>
      </c>
      <c r="D121" s="286">
        <f t="shared" si="17"/>
        <v>0</v>
      </c>
      <c r="E121" s="286">
        <f t="shared" si="17"/>
        <v>0</v>
      </c>
      <c r="F121" s="286">
        <f t="shared" si="17"/>
        <v>0</v>
      </c>
      <c r="G121" s="286">
        <f t="shared" si="17"/>
        <v>0</v>
      </c>
      <c r="H121" s="286">
        <f t="shared" si="17"/>
        <v>0</v>
      </c>
      <c r="J121" s="749"/>
      <c r="K121" s="749"/>
      <c r="L121" s="749"/>
      <c r="M121" s="749"/>
      <c r="N121" s="749"/>
      <c r="O121" s="749"/>
    </row>
    <row r="122" spans="1:15" collapsed="1">
      <c r="A122" s="260"/>
      <c r="B122" s="260"/>
      <c r="C122" s="260"/>
      <c r="D122" s="260"/>
      <c r="E122" s="260"/>
      <c r="F122" s="260"/>
      <c r="G122" s="260"/>
      <c r="H122" s="260"/>
      <c r="J122" s="749"/>
      <c r="K122" s="749"/>
      <c r="L122" s="749"/>
      <c r="M122" s="749"/>
      <c r="N122" s="749"/>
      <c r="O122" s="749"/>
    </row>
    <row r="123" spans="1:15" ht="18.5" hidden="1" customHeight="1">
      <c r="A123" s="8" t="s">
        <v>42</v>
      </c>
      <c r="B123" s="8"/>
      <c r="C123" s="260"/>
      <c r="D123" s="260"/>
      <c r="E123" s="260"/>
      <c r="F123" s="260"/>
      <c r="G123" s="260"/>
      <c r="H123" s="260"/>
      <c r="J123" s="749"/>
      <c r="K123" s="749"/>
      <c r="L123" s="749"/>
      <c r="M123" s="749"/>
      <c r="N123" s="749"/>
      <c r="O123" s="749"/>
    </row>
    <row r="124" spans="1:15" ht="18.5" hidden="1" customHeight="1">
      <c r="A124" s="260" t="s">
        <v>43</v>
      </c>
      <c r="B124" s="17">
        <v>6.4500000000000002E-2</v>
      </c>
      <c r="C124" s="17">
        <v>6.4500000000000002E-2</v>
      </c>
      <c r="D124" s="17">
        <v>6.4500000000000002E-2</v>
      </c>
      <c r="E124" s="17">
        <v>6.4500000000000002E-2</v>
      </c>
      <c r="F124" s="17">
        <v>6.4500000000000002E-2</v>
      </c>
      <c r="G124" s="17">
        <v>6.4500000000000002E-2</v>
      </c>
      <c r="H124" s="17">
        <v>6.4500000000000002E-2</v>
      </c>
      <c r="J124" s="749"/>
      <c r="K124" s="749"/>
      <c r="L124" s="749"/>
      <c r="M124" s="749"/>
      <c r="N124" s="749"/>
      <c r="O124" s="749"/>
    </row>
    <row r="125" spans="1:15" ht="18.5" hidden="1" customHeight="1">
      <c r="A125" s="260" t="s">
        <v>40</v>
      </c>
      <c r="B125" s="18">
        <v>7.9</v>
      </c>
      <c r="C125" s="18">
        <v>7.9</v>
      </c>
      <c r="D125" s="18">
        <v>7.9</v>
      </c>
      <c r="E125" s="18">
        <v>7.9</v>
      </c>
      <c r="F125" s="18">
        <v>7.9</v>
      </c>
      <c r="G125" s="18">
        <v>7.9</v>
      </c>
      <c r="H125" s="18">
        <v>7.9</v>
      </c>
      <c r="J125" s="749"/>
      <c r="K125" s="749"/>
      <c r="L125" s="749"/>
      <c r="M125" s="749"/>
      <c r="N125" s="749"/>
      <c r="O125" s="749"/>
    </row>
    <row r="126" spans="1:15" ht="18.5" hidden="1" customHeight="1">
      <c r="A126" s="260" t="s">
        <v>41</v>
      </c>
      <c r="B126" s="260"/>
      <c r="C126" s="287" t="e">
        <f>#REF!+C19</f>
        <v>#REF!</v>
      </c>
      <c r="D126" s="287" t="e">
        <f>#REF!+D19</f>
        <v>#REF!</v>
      </c>
      <c r="E126" s="287" t="e">
        <f>#REF!+E19</f>
        <v>#REF!</v>
      </c>
      <c r="F126" s="287" t="e">
        <f>#REF!+F19</f>
        <v>#REF!</v>
      </c>
      <c r="G126" s="287" t="e">
        <f>#REF!+G19</f>
        <v>#REF!</v>
      </c>
      <c r="H126" s="287" t="e">
        <f>#REF!+H19</f>
        <v>#REF!</v>
      </c>
      <c r="J126" s="749"/>
      <c r="K126" s="749"/>
      <c r="L126" s="749"/>
      <c r="M126" s="749"/>
      <c r="N126" s="749"/>
      <c r="O126" s="749"/>
    </row>
    <row r="127" spans="1:15" ht="18.5" hidden="1" customHeight="1" outlineLevel="1">
      <c r="A127" s="7" t="s">
        <v>22</v>
      </c>
      <c r="B127" s="260">
        <v>1</v>
      </c>
      <c r="C127" s="286">
        <f t="shared" ref="C127:H142" si="18">IFERROR(IPMT(C$124,$B127,C$125,C$126),0)</f>
        <v>0</v>
      </c>
      <c r="D127" s="286">
        <f t="shared" si="18"/>
        <v>0</v>
      </c>
      <c r="E127" s="286">
        <f t="shared" si="18"/>
        <v>0</v>
      </c>
      <c r="F127" s="286">
        <f t="shared" si="18"/>
        <v>0</v>
      </c>
      <c r="G127" s="286">
        <f t="shared" si="18"/>
        <v>0</v>
      </c>
      <c r="H127" s="286">
        <f t="shared" si="18"/>
        <v>0</v>
      </c>
      <c r="J127" s="749"/>
      <c r="K127" s="749"/>
      <c r="L127" s="749"/>
      <c r="M127" s="749"/>
      <c r="N127" s="749"/>
      <c r="O127" s="749"/>
    </row>
    <row r="128" spans="1:15" ht="18.5" hidden="1" customHeight="1" outlineLevel="1">
      <c r="A128" s="7" t="s">
        <v>23</v>
      </c>
      <c r="B128" s="260">
        <v>2</v>
      </c>
      <c r="C128" s="286">
        <f t="shared" si="18"/>
        <v>0</v>
      </c>
      <c r="D128" s="286">
        <f t="shared" si="18"/>
        <v>0</v>
      </c>
      <c r="E128" s="286">
        <f t="shared" si="18"/>
        <v>0</v>
      </c>
      <c r="F128" s="286">
        <f t="shared" si="18"/>
        <v>0</v>
      </c>
      <c r="G128" s="286">
        <f t="shared" si="18"/>
        <v>0</v>
      </c>
      <c r="H128" s="286">
        <f t="shared" si="18"/>
        <v>0</v>
      </c>
      <c r="J128" s="749"/>
      <c r="K128" s="749"/>
      <c r="L128" s="749"/>
      <c r="M128" s="749"/>
      <c r="N128" s="749"/>
      <c r="O128" s="749"/>
    </row>
    <row r="129" spans="1:15" ht="18.5" hidden="1" customHeight="1" outlineLevel="1">
      <c r="A129" s="7" t="s">
        <v>24</v>
      </c>
      <c r="B129" s="260">
        <v>3</v>
      </c>
      <c r="C129" s="286">
        <f t="shared" si="18"/>
        <v>0</v>
      </c>
      <c r="D129" s="286">
        <f t="shared" si="18"/>
        <v>0</v>
      </c>
      <c r="E129" s="286">
        <f t="shared" si="18"/>
        <v>0</v>
      </c>
      <c r="F129" s="286">
        <f t="shared" si="18"/>
        <v>0</v>
      </c>
      <c r="G129" s="286">
        <f t="shared" si="18"/>
        <v>0</v>
      </c>
      <c r="H129" s="286">
        <f t="shared" si="18"/>
        <v>0</v>
      </c>
      <c r="J129" s="749"/>
      <c r="K129" s="749"/>
      <c r="L129" s="749"/>
      <c r="M129" s="749"/>
      <c r="N129" s="749"/>
      <c r="O129" s="749"/>
    </row>
    <row r="130" spans="1:15" ht="18.5" hidden="1" customHeight="1" outlineLevel="1">
      <c r="A130" s="7" t="s">
        <v>25</v>
      </c>
      <c r="B130" s="260">
        <v>4</v>
      </c>
      <c r="C130" s="286">
        <f t="shared" si="18"/>
        <v>0</v>
      </c>
      <c r="D130" s="286">
        <f t="shared" si="18"/>
        <v>0</v>
      </c>
      <c r="E130" s="286">
        <f t="shared" si="18"/>
        <v>0</v>
      </c>
      <c r="F130" s="286">
        <f t="shared" si="18"/>
        <v>0</v>
      </c>
      <c r="G130" s="286">
        <f t="shared" si="18"/>
        <v>0</v>
      </c>
      <c r="H130" s="286">
        <f t="shared" si="18"/>
        <v>0</v>
      </c>
      <c r="J130" s="749"/>
      <c r="K130" s="749"/>
      <c r="L130" s="749"/>
      <c r="M130" s="749"/>
      <c r="N130" s="749"/>
      <c r="O130" s="749"/>
    </row>
    <row r="131" spans="1:15" ht="18.5" hidden="1" customHeight="1" outlineLevel="1">
      <c r="A131" s="7" t="s">
        <v>26</v>
      </c>
      <c r="B131" s="260">
        <v>5</v>
      </c>
      <c r="C131" s="286">
        <f t="shared" si="18"/>
        <v>0</v>
      </c>
      <c r="D131" s="286">
        <f t="shared" si="18"/>
        <v>0</v>
      </c>
      <c r="E131" s="286">
        <f t="shared" si="18"/>
        <v>0</v>
      </c>
      <c r="F131" s="286">
        <f t="shared" si="18"/>
        <v>0</v>
      </c>
      <c r="G131" s="286">
        <f t="shared" si="18"/>
        <v>0</v>
      </c>
      <c r="H131" s="286">
        <f t="shared" si="18"/>
        <v>0</v>
      </c>
      <c r="J131" s="749"/>
      <c r="K131" s="749"/>
      <c r="L131" s="749"/>
      <c r="M131" s="749"/>
      <c r="N131" s="749"/>
      <c r="O131" s="749"/>
    </row>
    <row r="132" spans="1:15" ht="18.5" hidden="1" customHeight="1" outlineLevel="1">
      <c r="A132" s="7" t="s">
        <v>27</v>
      </c>
      <c r="B132" s="260">
        <v>6</v>
      </c>
      <c r="C132" s="286">
        <f t="shared" si="18"/>
        <v>0</v>
      </c>
      <c r="D132" s="286">
        <f t="shared" si="18"/>
        <v>0</v>
      </c>
      <c r="E132" s="286">
        <f t="shared" si="18"/>
        <v>0</v>
      </c>
      <c r="F132" s="286">
        <f t="shared" si="18"/>
        <v>0</v>
      </c>
      <c r="G132" s="286">
        <f t="shared" si="18"/>
        <v>0</v>
      </c>
      <c r="H132" s="286">
        <f t="shared" si="18"/>
        <v>0</v>
      </c>
      <c r="J132" s="749"/>
      <c r="K132" s="749"/>
      <c r="L132" s="749"/>
      <c r="M132" s="749"/>
      <c r="N132" s="749"/>
      <c r="O132" s="749"/>
    </row>
    <row r="133" spans="1:15" ht="18.5" hidden="1" customHeight="1" outlineLevel="1">
      <c r="A133" s="7" t="s">
        <v>28</v>
      </c>
      <c r="B133" s="260">
        <v>7</v>
      </c>
      <c r="C133" s="286">
        <f t="shared" si="18"/>
        <v>0</v>
      </c>
      <c r="D133" s="286">
        <f t="shared" si="18"/>
        <v>0</v>
      </c>
      <c r="E133" s="286">
        <f t="shared" si="18"/>
        <v>0</v>
      </c>
      <c r="F133" s="286">
        <f t="shared" si="18"/>
        <v>0</v>
      </c>
      <c r="G133" s="286">
        <f t="shared" si="18"/>
        <v>0</v>
      </c>
      <c r="H133" s="286">
        <f t="shared" si="18"/>
        <v>0</v>
      </c>
      <c r="J133" s="749"/>
      <c r="K133" s="749"/>
      <c r="L133" s="749"/>
      <c r="M133" s="749"/>
      <c r="N133" s="749"/>
      <c r="O133" s="749"/>
    </row>
    <row r="134" spans="1:15" ht="18.5" hidden="1" customHeight="1" outlineLevel="1">
      <c r="A134" s="7" t="s">
        <v>29</v>
      </c>
      <c r="B134" s="260">
        <v>8</v>
      </c>
      <c r="C134" s="286">
        <f t="shared" si="18"/>
        <v>0</v>
      </c>
      <c r="D134" s="286">
        <f t="shared" si="18"/>
        <v>0</v>
      </c>
      <c r="E134" s="286">
        <f t="shared" si="18"/>
        <v>0</v>
      </c>
      <c r="F134" s="286">
        <f t="shared" si="18"/>
        <v>0</v>
      </c>
      <c r="G134" s="286">
        <f t="shared" si="18"/>
        <v>0</v>
      </c>
      <c r="H134" s="286">
        <f t="shared" si="18"/>
        <v>0</v>
      </c>
      <c r="J134" s="749"/>
      <c r="K134" s="749"/>
      <c r="L134" s="749"/>
      <c r="M134" s="749"/>
      <c r="N134" s="749"/>
      <c r="O134" s="749"/>
    </row>
    <row r="135" spans="1:15" ht="18.5" hidden="1" customHeight="1" outlineLevel="1">
      <c r="A135" s="7" t="s">
        <v>30</v>
      </c>
      <c r="B135" s="260">
        <v>9</v>
      </c>
      <c r="C135" s="286">
        <f t="shared" si="18"/>
        <v>0</v>
      </c>
      <c r="D135" s="286">
        <f t="shared" si="18"/>
        <v>0</v>
      </c>
      <c r="E135" s="286">
        <f t="shared" si="18"/>
        <v>0</v>
      </c>
      <c r="F135" s="286">
        <f t="shared" si="18"/>
        <v>0</v>
      </c>
      <c r="G135" s="286">
        <f t="shared" si="18"/>
        <v>0</v>
      </c>
      <c r="H135" s="286">
        <f t="shared" si="18"/>
        <v>0</v>
      </c>
      <c r="J135" s="749"/>
      <c r="K135" s="749"/>
      <c r="L135" s="749"/>
      <c r="M135" s="749"/>
      <c r="N135" s="749"/>
      <c r="O135" s="749"/>
    </row>
    <row r="136" spans="1:15" ht="18.5" hidden="1" customHeight="1" outlineLevel="1">
      <c r="A136" s="7" t="s">
        <v>31</v>
      </c>
      <c r="B136" s="260">
        <v>10</v>
      </c>
      <c r="C136" s="286">
        <f t="shared" si="18"/>
        <v>0</v>
      </c>
      <c r="D136" s="286">
        <f t="shared" si="18"/>
        <v>0</v>
      </c>
      <c r="E136" s="286">
        <f t="shared" si="18"/>
        <v>0</v>
      </c>
      <c r="F136" s="286">
        <f t="shared" si="18"/>
        <v>0</v>
      </c>
      <c r="G136" s="286">
        <f t="shared" si="18"/>
        <v>0</v>
      </c>
      <c r="H136" s="286">
        <f t="shared" si="18"/>
        <v>0</v>
      </c>
      <c r="J136" s="749"/>
      <c r="K136" s="749"/>
      <c r="L136" s="749"/>
      <c r="M136" s="749"/>
      <c r="N136" s="749"/>
      <c r="O136" s="749"/>
    </row>
    <row r="137" spans="1:15" ht="18.5" hidden="1" customHeight="1" outlineLevel="1">
      <c r="A137" s="7" t="s">
        <v>33</v>
      </c>
      <c r="B137" s="260">
        <v>11</v>
      </c>
      <c r="C137" s="286">
        <f t="shared" si="18"/>
        <v>0</v>
      </c>
      <c r="D137" s="286">
        <f t="shared" si="18"/>
        <v>0</v>
      </c>
      <c r="E137" s="286">
        <f t="shared" si="18"/>
        <v>0</v>
      </c>
      <c r="F137" s="286">
        <f t="shared" si="18"/>
        <v>0</v>
      </c>
      <c r="G137" s="286">
        <f t="shared" si="18"/>
        <v>0</v>
      </c>
      <c r="H137" s="286">
        <f t="shared" si="18"/>
        <v>0</v>
      </c>
      <c r="J137" s="749"/>
      <c r="K137" s="749"/>
      <c r="L137" s="749"/>
      <c r="M137" s="749"/>
      <c r="N137" s="749"/>
      <c r="O137" s="749"/>
    </row>
    <row r="138" spans="1:15" ht="18.5" hidden="1" customHeight="1" outlineLevel="1">
      <c r="A138" s="7" t="s">
        <v>34</v>
      </c>
      <c r="B138" s="260">
        <v>12</v>
      </c>
      <c r="C138" s="286">
        <f t="shared" si="18"/>
        <v>0</v>
      </c>
      <c r="D138" s="286">
        <f t="shared" si="18"/>
        <v>0</v>
      </c>
      <c r="E138" s="286">
        <f t="shared" si="18"/>
        <v>0</v>
      </c>
      <c r="F138" s="286">
        <f t="shared" si="18"/>
        <v>0</v>
      </c>
      <c r="G138" s="286">
        <f t="shared" si="18"/>
        <v>0</v>
      </c>
      <c r="H138" s="286">
        <f t="shared" si="18"/>
        <v>0</v>
      </c>
      <c r="J138" s="749"/>
      <c r="K138" s="749"/>
      <c r="L138" s="749"/>
      <c r="M138" s="749"/>
      <c r="N138" s="749"/>
      <c r="O138" s="749"/>
    </row>
    <row r="139" spans="1:15" ht="18.5" hidden="1" customHeight="1" outlineLevel="1">
      <c r="A139" s="7" t="s">
        <v>22</v>
      </c>
      <c r="B139" s="260">
        <v>13</v>
      </c>
      <c r="C139" s="286">
        <f t="shared" si="18"/>
        <v>0</v>
      </c>
      <c r="D139" s="286">
        <f t="shared" si="18"/>
        <v>0</v>
      </c>
      <c r="E139" s="286">
        <f t="shared" si="18"/>
        <v>0</v>
      </c>
      <c r="F139" s="286">
        <f t="shared" si="18"/>
        <v>0</v>
      </c>
      <c r="G139" s="286">
        <f t="shared" si="18"/>
        <v>0</v>
      </c>
      <c r="H139" s="286">
        <f t="shared" si="18"/>
        <v>0</v>
      </c>
      <c r="J139" s="749"/>
      <c r="K139" s="749"/>
      <c r="L139" s="749"/>
      <c r="M139" s="749"/>
      <c r="N139" s="749"/>
      <c r="O139" s="749"/>
    </row>
    <row r="140" spans="1:15" ht="18.5" hidden="1" customHeight="1" outlineLevel="1">
      <c r="A140" s="7" t="s">
        <v>23</v>
      </c>
      <c r="B140" s="260">
        <v>14</v>
      </c>
      <c r="C140" s="286">
        <f t="shared" si="18"/>
        <v>0</v>
      </c>
      <c r="D140" s="286">
        <f t="shared" si="18"/>
        <v>0</v>
      </c>
      <c r="E140" s="286">
        <f t="shared" si="18"/>
        <v>0</v>
      </c>
      <c r="F140" s="286">
        <f t="shared" si="18"/>
        <v>0</v>
      </c>
      <c r="G140" s="286">
        <f t="shared" si="18"/>
        <v>0</v>
      </c>
      <c r="H140" s="286">
        <f t="shared" si="18"/>
        <v>0</v>
      </c>
      <c r="J140" s="749"/>
      <c r="K140" s="749"/>
      <c r="L140" s="749"/>
      <c r="M140" s="749"/>
      <c r="N140" s="749"/>
      <c r="O140" s="749"/>
    </row>
    <row r="141" spans="1:15" ht="18.5" hidden="1" customHeight="1" outlineLevel="1">
      <c r="A141" s="7" t="s">
        <v>24</v>
      </c>
      <c r="B141" s="260">
        <v>15</v>
      </c>
      <c r="C141" s="286">
        <f t="shared" si="18"/>
        <v>0</v>
      </c>
      <c r="D141" s="286">
        <f t="shared" si="18"/>
        <v>0</v>
      </c>
      <c r="E141" s="286">
        <f t="shared" si="18"/>
        <v>0</v>
      </c>
      <c r="F141" s="286">
        <f t="shared" si="18"/>
        <v>0</v>
      </c>
      <c r="G141" s="286">
        <f t="shared" si="18"/>
        <v>0</v>
      </c>
      <c r="H141" s="286">
        <f t="shared" si="18"/>
        <v>0</v>
      </c>
      <c r="J141" s="749"/>
      <c r="K141" s="749"/>
      <c r="L141" s="749"/>
      <c r="M141" s="749"/>
      <c r="N141" s="749"/>
      <c r="O141" s="749"/>
    </row>
    <row r="142" spans="1:15" ht="18.5" hidden="1" customHeight="1" outlineLevel="1">
      <c r="A142" s="7" t="s">
        <v>25</v>
      </c>
      <c r="B142" s="260">
        <v>16</v>
      </c>
      <c r="C142" s="286">
        <f t="shared" si="18"/>
        <v>0</v>
      </c>
      <c r="D142" s="286">
        <f t="shared" si="18"/>
        <v>0</v>
      </c>
      <c r="E142" s="286">
        <f t="shared" si="18"/>
        <v>0</v>
      </c>
      <c r="F142" s="286">
        <f t="shared" si="18"/>
        <v>0</v>
      </c>
      <c r="G142" s="286">
        <f t="shared" si="18"/>
        <v>0</v>
      </c>
      <c r="H142" s="286">
        <f t="shared" si="18"/>
        <v>0</v>
      </c>
      <c r="J142" s="749"/>
      <c r="K142" s="749"/>
      <c r="L142" s="749"/>
      <c r="M142" s="749"/>
      <c r="N142" s="749"/>
      <c r="O142" s="749"/>
    </row>
    <row r="143" spans="1:15" ht="18.5" hidden="1" customHeight="1" outlineLevel="1">
      <c r="A143" s="7" t="s">
        <v>26</v>
      </c>
      <c r="B143" s="260">
        <v>17</v>
      </c>
      <c r="C143" s="286">
        <f t="shared" ref="C143:H144" si="19">IFERROR(IPMT(C$124,$B143,C$125,C$126),0)</f>
        <v>0</v>
      </c>
      <c r="D143" s="286">
        <f t="shared" si="19"/>
        <v>0</v>
      </c>
      <c r="E143" s="286">
        <f t="shared" si="19"/>
        <v>0</v>
      </c>
      <c r="F143" s="286">
        <f t="shared" si="19"/>
        <v>0</v>
      </c>
      <c r="G143" s="286">
        <f t="shared" si="19"/>
        <v>0</v>
      </c>
      <c r="H143" s="286">
        <f t="shared" si="19"/>
        <v>0</v>
      </c>
      <c r="J143" s="749"/>
      <c r="K143" s="749"/>
      <c r="L143" s="749"/>
      <c r="M143" s="749"/>
      <c r="N143" s="749"/>
      <c r="O143" s="749"/>
    </row>
    <row r="144" spans="1:15" ht="18.5" hidden="1" customHeight="1" outlineLevel="1">
      <c r="A144" s="7" t="s">
        <v>27</v>
      </c>
      <c r="B144" s="260">
        <v>18</v>
      </c>
      <c r="C144" s="286">
        <f t="shared" si="19"/>
        <v>0</v>
      </c>
      <c r="D144" s="286">
        <f t="shared" si="19"/>
        <v>0</v>
      </c>
      <c r="E144" s="286">
        <f t="shared" si="19"/>
        <v>0</v>
      </c>
      <c r="F144" s="286">
        <f t="shared" si="19"/>
        <v>0</v>
      </c>
      <c r="G144" s="286">
        <f t="shared" si="19"/>
        <v>0</v>
      </c>
      <c r="H144" s="286">
        <f t="shared" si="19"/>
        <v>0</v>
      </c>
      <c r="J144" s="749"/>
      <c r="K144" s="749"/>
      <c r="L144" s="749"/>
      <c r="M144" s="749"/>
      <c r="N144" s="749"/>
      <c r="O144" s="749"/>
    </row>
    <row r="145" spans="1:15" collapsed="1">
      <c r="A145" s="260"/>
      <c r="B145" s="260"/>
      <c r="C145" s="260"/>
      <c r="D145" s="260"/>
      <c r="E145" s="260"/>
      <c r="F145" s="260"/>
      <c r="G145" s="260"/>
      <c r="H145" s="260"/>
      <c r="J145" s="749"/>
      <c r="K145" s="749"/>
      <c r="L145" s="749"/>
      <c r="M145" s="749"/>
      <c r="N145" s="749"/>
      <c r="O145" s="749"/>
    </row>
    <row r="146" spans="1:15">
      <c r="A146" s="288"/>
      <c r="B146" s="288"/>
      <c r="C146" s="288"/>
      <c r="D146" s="288"/>
      <c r="E146" s="288"/>
      <c r="F146" s="288"/>
      <c r="G146" s="288"/>
      <c r="H146" s="288"/>
      <c r="J146" s="749"/>
      <c r="K146" s="749"/>
      <c r="L146" s="749"/>
      <c r="M146" s="749"/>
      <c r="N146" s="749"/>
      <c r="O146" s="749"/>
    </row>
    <row r="147" spans="1:15">
      <c r="A147" s="2" t="s">
        <v>44</v>
      </c>
      <c r="B147" s="260"/>
      <c r="C147" s="260"/>
      <c r="D147" s="260"/>
      <c r="E147" s="260"/>
      <c r="F147" s="260"/>
      <c r="G147" s="260"/>
      <c r="H147" s="260"/>
      <c r="J147" s="749"/>
      <c r="K147" s="749"/>
      <c r="L147" s="749"/>
      <c r="M147" s="749"/>
      <c r="N147" s="749"/>
      <c r="O147" s="749"/>
    </row>
    <row r="148" spans="1:15">
      <c r="A148" s="260" t="s">
        <v>45</v>
      </c>
      <c r="B148" s="260"/>
      <c r="C148" s="277">
        <f t="shared" ref="C148:H148" si="20">-SUM(C104:C121,C127:C144)+SUM(C18:C19)</f>
        <v>0</v>
      </c>
      <c r="D148" s="277">
        <f t="shared" si="20"/>
        <v>187168.57662619368</v>
      </c>
      <c r="E148" s="277">
        <f t="shared" si="20"/>
        <v>286583.61068937375</v>
      </c>
      <c r="F148" s="277">
        <f t="shared" si="20"/>
        <v>0</v>
      </c>
      <c r="G148" s="277">
        <f t="shared" si="20"/>
        <v>596760.63302120974</v>
      </c>
      <c r="H148" s="277">
        <f t="shared" si="20"/>
        <v>265468.03378947586</v>
      </c>
      <c r="J148" s="749"/>
      <c r="K148" s="749"/>
      <c r="L148" s="749"/>
      <c r="M148" s="749"/>
      <c r="N148" s="749"/>
      <c r="O148" s="749"/>
    </row>
    <row r="149" spans="1:15">
      <c r="A149" s="260" t="s">
        <v>12</v>
      </c>
      <c r="B149" s="260"/>
      <c r="C149" s="277">
        <f t="shared" ref="C149:H149" si="21">-C9*(C14+C148)</f>
        <v>0</v>
      </c>
      <c r="D149" s="277">
        <f t="shared" si="21"/>
        <v>-41324.949984562074</v>
      </c>
      <c r="E149" s="277">
        <f t="shared" si="21"/>
        <v>-78017.982748256167</v>
      </c>
      <c r="F149" s="277">
        <f t="shared" si="21"/>
        <v>0</v>
      </c>
      <c r="G149" s="277">
        <f t="shared" si="21"/>
        <v>-307062.38311828754</v>
      </c>
      <c r="H149" s="277">
        <f t="shared" si="21"/>
        <v>-120965.53542642135</v>
      </c>
      <c r="J149" s="749"/>
      <c r="K149" s="749"/>
      <c r="L149" s="749"/>
      <c r="M149" s="749"/>
      <c r="N149" s="749"/>
      <c r="O149" s="749"/>
    </row>
    <row r="150" spans="1:15">
      <c r="A150" s="23" t="s">
        <v>46</v>
      </c>
      <c r="B150" s="23"/>
      <c r="C150" s="20">
        <f>SUM(C148:C149)</f>
        <v>0</v>
      </c>
      <c r="D150" s="20">
        <f t="shared" ref="D150:H150" si="22">SUM(D148:D149)</f>
        <v>145843.62664163159</v>
      </c>
      <c r="E150" s="20">
        <f t="shared" si="22"/>
        <v>208565.62794111756</v>
      </c>
      <c r="F150" s="20">
        <f t="shared" si="22"/>
        <v>0</v>
      </c>
      <c r="G150" s="20">
        <f t="shared" si="22"/>
        <v>289698.24990292219</v>
      </c>
      <c r="H150" s="20">
        <f t="shared" si="22"/>
        <v>144502.4983630545</v>
      </c>
      <c r="J150" s="749"/>
      <c r="K150" s="749"/>
      <c r="L150" s="749"/>
      <c r="M150" s="749"/>
      <c r="N150" s="749"/>
      <c r="O150" s="749"/>
    </row>
    <row r="151" spans="1:15" ht="4" customHeight="1">
      <c r="A151" s="2"/>
      <c r="B151" s="2"/>
      <c r="C151" s="21"/>
      <c r="D151" s="21"/>
      <c r="E151" s="21"/>
      <c r="F151" s="21"/>
      <c r="G151" s="21"/>
      <c r="H151" s="21"/>
      <c r="J151" s="749"/>
      <c r="K151" s="749"/>
      <c r="L151" s="749"/>
      <c r="M151" s="749"/>
      <c r="N151" s="749"/>
      <c r="O151" s="749"/>
    </row>
    <row r="152" spans="1:15">
      <c r="A152" s="2" t="s">
        <v>47</v>
      </c>
      <c r="B152" s="2"/>
      <c r="C152" s="21"/>
      <c r="D152" s="21"/>
      <c r="E152" s="21"/>
      <c r="F152" s="156" t="e">
        <f>-F153/F12</f>
        <v>#DIV/0!</v>
      </c>
      <c r="G152" s="21"/>
      <c r="H152" s="21"/>
      <c r="J152" s="749"/>
      <c r="K152" s="749"/>
      <c r="L152" s="749"/>
      <c r="M152" s="749"/>
      <c r="N152" s="749"/>
      <c r="O152" s="749"/>
    </row>
    <row r="153" spans="1:15">
      <c r="A153" s="260" t="s">
        <v>37</v>
      </c>
      <c r="B153" s="260"/>
      <c r="C153" s="277">
        <f t="shared" ref="C153:H153" si="23">-C99</f>
        <v>0</v>
      </c>
      <c r="D153" s="277">
        <f t="shared" si="23"/>
        <v>-44966.020908660343</v>
      </c>
      <c r="E153" s="277">
        <f t="shared" si="23"/>
        <v>-67263.512923360468</v>
      </c>
      <c r="F153" s="277">
        <f t="shared" si="23"/>
        <v>0</v>
      </c>
      <c r="G153" s="277">
        <f t="shared" si="23"/>
        <v>-87117.787246951091</v>
      </c>
      <c r="H153" s="277">
        <f t="shared" si="23"/>
        <v>-49846.938716422745</v>
      </c>
      <c r="J153" s="749"/>
      <c r="K153" s="749"/>
      <c r="L153" s="749"/>
      <c r="M153" s="749"/>
      <c r="N153" s="749"/>
      <c r="O153" s="749"/>
    </row>
    <row r="154" spans="1:15">
      <c r="A154" s="10" t="s">
        <v>48</v>
      </c>
      <c r="B154" s="66">
        <v>0</v>
      </c>
      <c r="C154" s="277">
        <v>0</v>
      </c>
      <c r="D154" s="277">
        <v>0</v>
      </c>
      <c r="E154" s="277">
        <v>0</v>
      </c>
      <c r="F154" s="277">
        <v>0</v>
      </c>
      <c r="G154" s="277">
        <v>0</v>
      </c>
      <c r="H154" s="277">
        <v>0</v>
      </c>
      <c r="J154" s="749"/>
      <c r="K154" s="749"/>
      <c r="L154" s="749"/>
      <c r="M154" s="749"/>
      <c r="N154" s="749"/>
      <c r="O154" s="749"/>
    </row>
    <row r="155" spans="1:15">
      <c r="A155" s="10" t="s">
        <v>410</v>
      </c>
      <c r="B155" s="17">
        <v>0.01</v>
      </c>
      <c r="C155" s="277">
        <v>0</v>
      </c>
      <c r="D155" s="277">
        <v>0</v>
      </c>
      <c r="E155" s="277">
        <v>0</v>
      </c>
      <c r="F155" s="277">
        <v>0</v>
      </c>
      <c r="G155" s="277">
        <v>0</v>
      </c>
      <c r="H155" s="277">
        <v>0</v>
      </c>
      <c r="J155" s="749"/>
      <c r="K155" s="749"/>
      <c r="L155" s="749"/>
      <c r="M155" s="749"/>
      <c r="N155" s="749"/>
      <c r="O155" s="749"/>
    </row>
    <row r="156" spans="1:15">
      <c r="A156" s="260" t="s">
        <v>49</v>
      </c>
      <c r="B156" s="67">
        <f>(0.35/1000)*1.075</f>
        <v>3.7624999999999996E-4</v>
      </c>
      <c r="C156" s="277">
        <f t="shared" ref="C156:H156" si="24">-$B156*C14</f>
        <v>0</v>
      </c>
      <c r="D156" s="277">
        <f t="shared" si="24"/>
        <v>-228.58767749999998</v>
      </c>
      <c r="E156" s="277">
        <f t="shared" si="24"/>
        <v>-311.51957374999995</v>
      </c>
      <c r="F156" s="277">
        <f t="shared" si="24"/>
        <v>0</v>
      </c>
      <c r="G156" s="277">
        <f t="shared" si="24"/>
        <v>-520.83798374999992</v>
      </c>
      <c r="H156" s="277">
        <f t="shared" si="24"/>
        <v>-247.54729124999997</v>
      </c>
      <c r="J156" s="749"/>
      <c r="K156" s="749"/>
      <c r="L156" s="749"/>
      <c r="M156" s="749"/>
      <c r="N156" s="749"/>
      <c r="O156" s="749"/>
    </row>
    <row r="157" spans="1:15" ht="4" customHeight="1">
      <c r="A157" s="273"/>
      <c r="B157" s="289"/>
      <c r="C157" s="290"/>
      <c r="D157" s="290"/>
      <c r="E157" s="290"/>
      <c r="F157" s="290"/>
      <c r="G157" s="290"/>
      <c r="H157" s="290"/>
      <c r="J157" s="749"/>
      <c r="K157" s="749"/>
      <c r="L157" s="749"/>
      <c r="M157" s="749"/>
      <c r="N157" s="749"/>
      <c r="O157" s="749"/>
    </row>
    <row r="158" spans="1:15">
      <c r="A158" s="23" t="s">
        <v>50</v>
      </c>
      <c r="B158" s="23"/>
      <c r="C158" s="20">
        <f t="shared" ref="C158:H158" si="25">SUM(C153:C157)</f>
        <v>0</v>
      </c>
      <c r="D158" s="20">
        <f t="shared" si="25"/>
        <v>-45194.608586160342</v>
      </c>
      <c r="E158" s="20">
        <f t="shared" si="25"/>
        <v>-67575.032497110471</v>
      </c>
      <c r="F158" s="20">
        <f t="shared" si="25"/>
        <v>0</v>
      </c>
      <c r="G158" s="20">
        <f t="shared" si="25"/>
        <v>-87638.625230701087</v>
      </c>
      <c r="H158" s="20">
        <f t="shared" si="25"/>
        <v>-50094.486007672742</v>
      </c>
      <c r="J158" s="749"/>
      <c r="K158" s="749"/>
      <c r="L158" s="749"/>
      <c r="M158" s="749"/>
      <c r="N158" s="749"/>
      <c r="O158" s="749"/>
    </row>
    <row r="159" spans="1:15" ht="4" customHeight="1">
      <c r="A159" s="260"/>
      <c r="B159" s="260"/>
      <c r="C159" s="291"/>
      <c r="D159" s="291"/>
      <c r="E159" s="291"/>
      <c r="F159" s="291"/>
      <c r="G159" s="291"/>
      <c r="H159" s="291"/>
      <c r="J159" s="749"/>
      <c r="K159" s="749"/>
      <c r="L159" s="749"/>
      <c r="M159" s="749"/>
      <c r="N159" s="749"/>
      <c r="O159" s="749"/>
    </row>
    <row r="160" spans="1:15">
      <c r="A160" s="4" t="s">
        <v>51</v>
      </c>
      <c r="B160" s="260"/>
      <c r="C160" s="292"/>
      <c r="D160" s="291"/>
      <c r="E160" s="291"/>
      <c r="F160" s="291"/>
      <c r="G160" s="291"/>
      <c r="H160" s="291"/>
      <c r="J160" s="749"/>
      <c r="K160" s="749"/>
      <c r="L160" s="749"/>
      <c r="M160" s="749"/>
      <c r="N160" s="749"/>
      <c r="O160" s="749"/>
    </row>
    <row r="161" spans="1:16">
      <c r="A161" s="260" t="s">
        <v>56</v>
      </c>
      <c r="B161" s="17"/>
      <c r="C161" s="277">
        <v>0</v>
      </c>
      <c r="D161" s="277">
        <v>0</v>
      </c>
      <c r="E161" s="277">
        <v>0</v>
      </c>
      <c r="F161" s="277">
        <v>0</v>
      </c>
      <c r="G161" s="277">
        <v>0</v>
      </c>
      <c r="H161" s="750">
        <v>0</v>
      </c>
      <c r="J161" s="749"/>
      <c r="K161" s="749"/>
      <c r="L161" s="749"/>
      <c r="M161" s="749"/>
      <c r="N161" s="749"/>
      <c r="O161" s="749"/>
    </row>
    <row r="162" spans="1:16">
      <c r="A162" s="260" t="s">
        <v>57</v>
      </c>
      <c r="B162" s="17">
        <f>AVERAGE(Assumption_Sheet!B126:K126)</f>
        <v>4.592674493046664E-3</v>
      </c>
      <c r="C162" s="277">
        <v>0</v>
      </c>
      <c r="D162" s="277">
        <v>0</v>
      </c>
      <c r="E162" s="277">
        <v>0</v>
      </c>
      <c r="F162" s="277">
        <v>0</v>
      </c>
      <c r="G162" s="277">
        <v>0</v>
      </c>
      <c r="H162" s="751"/>
      <c r="J162" s="749"/>
      <c r="K162" s="749"/>
      <c r="L162" s="749"/>
      <c r="M162" s="749"/>
      <c r="N162" s="749"/>
      <c r="O162" s="749"/>
    </row>
    <row r="163" spans="1:16">
      <c r="A163" s="260" t="s">
        <v>58</v>
      </c>
      <c r="B163" s="17">
        <f>AVERAGE(Assumption_Sheet!B127:K127)</f>
        <v>4.0229480669732811E-4</v>
      </c>
      <c r="C163" s="277">
        <v>0</v>
      </c>
      <c r="D163" s="277">
        <v>0</v>
      </c>
      <c r="E163" s="277">
        <v>0</v>
      </c>
      <c r="F163" s="277">
        <v>0</v>
      </c>
      <c r="G163" s="277">
        <v>0</v>
      </c>
      <c r="H163" s="752"/>
      <c r="J163" s="749"/>
      <c r="K163" s="749"/>
      <c r="L163" s="749"/>
      <c r="M163" s="749"/>
      <c r="N163" s="749"/>
      <c r="O163" s="749"/>
    </row>
    <row r="164" spans="1:16" ht="3" customHeight="1">
      <c r="A164" s="260"/>
      <c r="B164" s="260"/>
      <c r="C164" s="277"/>
      <c r="D164" s="277"/>
      <c r="E164" s="277"/>
      <c r="F164" s="277"/>
      <c r="G164" s="277"/>
      <c r="H164" s="277"/>
      <c r="J164" s="749"/>
      <c r="K164" s="749"/>
      <c r="L164" s="749"/>
      <c r="M164" s="749"/>
      <c r="N164" s="749"/>
      <c r="O164" s="749"/>
    </row>
    <row r="165" spans="1:16">
      <c r="A165" s="260"/>
      <c r="B165" s="260"/>
      <c r="C165" s="293">
        <f t="shared" ref="C165:H165" si="26">SUM(C161:C164)</f>
        <v>0</v>
      </c>
      <c r="D165" s="293">
        <f t="shared" si="26"/>
        <v>0</v>
      </c>
      <c r="E165" s="293">
        <f t="shared" si="26"/>
        <v>0</v>
      </c>
      <c r="F165" s="293">
        <f t="shared" si="26"/>
        <v>0</v>
      </c>
      <c r="G165" s="293">
        <f t="shared" si="26"/>
        <v>0</v>
      </c>
      <c r="H165" s="293">
        <f t="shared" si="26"/>
        <v>0</v>
      </c>
      <c r="J165" s="749"/>
      <c r="K165" s="749"/>
      <c r="L165" s="749"/>
      <c r="M165" s="749"/>
      <c r="N165" s="749"/>
      <c r="O165" s="749"/>
    </row>
    <row r="166" spans="1:16" ht="4" customHeight="1">
      <c r="A166" s="260"/>
      <c r="B166" s="260"/>
      <c r="C166" s="287"/>
      <c r="D166" s="287"/>
      <c r="E166" s="287"/>
      <c r="F166" s="287"/>
      <c r="G166" s="287"/>
      <c r="H166" s="287"/>
      <c r="J166" s="749"/>
      <c r="K166" s="749"/>
      <c r="L166" s="749"/>
      <c r="M166" s="749"/>
      <c r="N166" s="749"/>
      <c r="O166" s="749"/>
    </row>
    <row r="167" spans="1:16" ht="4" customHeight="1">
      <c r="A167" s="260"/>
      <c r="B167" s="294"/>
      <c r="C167" s="277"/>
      <c r="D167" s="277"/>
      <c r="E167" s="277"/>
      <c r="F167" s="277"/>
      <c r="G167" s="277"/>
      <c r="H167" s="277"/>
      <c r="J167" s="749"/>
      <c r="K167" s="749"/>
      <c r="L167" s="749"/>
      <c r="M167" s="749"/>
      <c r="N167" s="749"/>
      <c r="O167" s="749"/>
    </row>
    <row r="168" spans="1:16" s="62" customFormat="1">
      <c r="A168" s="23" t="s">
        <v>64</v>
      </c>
      <c r="B168" s="23"/>
      <c r="C168" s="11">
        <f t="shared" ref="C168:H168" si="27">SUM(C165:C167)</f>
        <v>0</v>
      </c>
      <c r="D168" s="11">
        <f t="shared" si="27"/>
        <v>0</v>
      </c>
      <c r="E168" s="11">
        <f t="shared" si="27"/>
        <v>0</v>
      </c>
      <c r="F168" s="11">
        <f t="shared" si="27"/>
        <v>0</v>
      </c>
      <c r="G168" s="11">
        <f t="shared" si="27"/>
        <v>0</v>
      </c>
      <c r="H168" s="11">
        <f t="shared" si="27"/>
        <v>0</v>
      </c>
      <c r="I168" s="481"/>
      <c r="J168" s="749"/>
      <c r="K168" s="749"/>
      <c r="L168" s="749"/>
      <c r="M168" s="749"/>
      <c r="N168" s="749"/>
      <c r="O168" s="749"/>
      <c r="P168" s="481"/>
    </row>
    <row r="169" spans="1:16" ht="4" customHeight="1">
      <c r="A169" s="260"/>
      <c r="B169" s="260"/>
      <c r="C169" s="260"/>
      <c r="D169" s="260"/>
      <c r="E169" s="260"/>
      <c r="F169" s="260"/>
      <c r="G169" s="260"/>
      <c r="H169" s="260"/>
      <c r="J169" s="749"/>
      <c r="K169" s="749"/>
      <c r="L169" s="749"/>
      <c r="M169" s="749"/>
      <c r="N169" s="749"/>
      <c r="O169" s="749"/>
    </row>
    <row r="170" spans="1:16">
      <c r="A170" s="4" t="s">
        <v>65</v>
      </c>
      <c r="B170" s="260"/>
      <c r="C170" s="295"/>
      <c r="D170" s="260"/>
      <c r="E170" s="260"/>
      <c r="F170" s="260"/>
      <c r="G170" s="260"/>
      <c r="H170" s="260"/>
      <c r="J170" s="749"/>
      <c r="K170" s="749"/>
      <c r="L170" s="749"/>
      <c r="M170" s="749"/>
      <c r="N170" s="749"/>
      <c r="O170" s="749"/>
    </row>
    <row r="171" spans="1:16">
      <c r="A171" s="260" t="s">
        <v>68</v>
      </c>
      <c r="B171" s="18"/>
      <c r="C171" s="277">
        <f t="shared" ref="C171:H171" si="28">-$B$171*C$16</f>
        <v>0</v>
      </c>
      <c r="D171" s="277">
        <f t="shared" si="28"/>
        <v>0</v>
      </c>
      <c r="E171" s="277">
        <f t="shared" si="28"/>
        <v>0</v>
      </c>
      <c r="F171" s="277">
        <f t="shared" si="28"/>
        <v>0</v>
      </c>
      <c r="G171" s="277">
        <f t="shared" si="28"/>
        <v>0</v>
      </c>
      <c r="H171" s="277">
        <f t="shared" si="28"/>
        <v>0</v>
      </c>
      <c r="J171" s="749"/>
      <c r="K171" s="749"/>
      <c r="L171" s="749"/>
      <c r="M171" s="749"/>
      <c r="N171" s="749"/>
      <c r="O171" s="749"/>
    </row>
    <row r="172" spans="1:16">
      <c r="A172" s="23" t="s">
        <v>69</v>
      </c>
      <c r="B172" s="23"/>
      <c r="C172" s="11">
        <f t="shared" ref="C172:H172" si="29">SUM(C171:C171)</f>
        <v>0</v>
      </c>
      <c r="D172" s="11">
        <f t="shared" si="29"/>
        <v>0</v>
      </c>
      <c r="E172" s="11">
        <f t="shared" si="29"/>
        <v>0</v>
      </c>
      <c r="F172" s="11">
        <f t="shared" si="29"/>
        <v>0</v>
      </c>
      <c r="G172" s="11">
        <f t="shared" si="29"/>
        <v>0</v>
      </c>
      <c r="H172" s="11">
        <f t="shared" si="29"/>
        <v>0</v>
      </c>
      <c r="J172" s="749"/>
      <c r="K172" s="749"/>
      <c r="L172" s="749"/>
      <c r="M172" s="749"/>
      <c r="N172" s="749"/>
      <c r="O172" s="749"/>
    </row>
    <row r="173" spans="1:16" ht="4" customHeight="1">
      <c r="A173" s="260"/>
      <c r="B173" s="260"/>
      <c r="C173" s="260"/>
      <c r="D173" s="260"/>
      <c r="E173" s="260"/>
      <c r="F173" s="260"/>
      <c r="G173" s="260"/>
      <c r="H173" s="260"/>
      <c r="J173" s="749"/>
      <c r="K173" s="749"/>
      <c r="L173" s="749"/>
      <c r="M173" s="749"/>
      <c r="N173" s="749"/>
      <c r="O173" s="749"/>
    </row>
    <row r="174" spans="1:16">
      <c r="A174" s="4" t="s">
        <v>70</v>
      </c>
      <c r="B174" s="260"/>
      <c r="C174" s="282"/>
      <c r="D174" s="260"/>
      <c r="E174" s="260"/>
      <c r="F174" s="260"/>
      <c r="G174" s="260"/>
      <c r="H174" s="260"/>
      <c r="J174" s="749"/>
      <c r="K174" s="749"/>
      <c r="L174" s="749"/>
      <c r="M174" s="749"/>
      <c r="N174" s="749"/>
      <c r="O174" s="749"/>
    </row>
    <row r="175" spans="1:16">
      <c r="A175" s="4" t="s">
        <v>71</v>
      </c>
      <c r="B175" s="260"/>
      <c r="C175" s="282"/>
      <c r="D175" s="260"/>
      <c r="E175" s="260"/>
      <c r="F175" s="260"/>
      <c r="G175" s="260"/>
      <c r="H175" s="260"/>
      <c r="J175" s="749"/>
      <c r="K175" s="749"/>
      <c r="L175" s="749"/>
      <c r="M175" s="749"/>
      <c r="N175" s="749"/>
      <c r="O175" s="749"/>
    </row>
    <row r="176" spans="1:16">
      <c r="A176" s="223" t="s">
        <v>72</v>
      </c>
      <c r="B176" s="18">
        <f>Assumption_Sheet!C40</f>
        <v>182.5</v>
      </c>
      <c r="C176" s="277">
        <v>0</v>
      </c>
      <c r="D176" s="277">
        <v>0</v>
      </c>
      <c r="E176" s="277">
        <v>0</v>
      </c>
      <c r="F176" s="277">
        <v>0</v>
      </c>
      <c r="G176" s="277">
        <v>0</v>
      </c>
      <c r="H176" s="277">
        <v>0</v>
      </c>
      <c r="J176" s="749"/>
      <c r="K176" s="749"/>
      <c r="L176" s="749"/>
      <c r="M176" s="749"/>
      <c r="N176" s="749"/>
      <c r="O176" s="749"/>
    </row>
    <row r="177" spans="1:16">
      <c r="A177" s="260" t="s">
        <v>73</v>
      </c>
      <c r="B177" s="18">
        <f>Assumption_Sheet!$B$59</f>
        <v>117.80000000000001</v>
      </c>
      <c r="C177" s="277">
        <v>0</v>
      </c>
      <c r="D177" s="277">
        <v>0</v>
      </c>
      <c r="E177" s="277">
        <v>0</v>
      </c>
      <c r="F177" s="277">
        <v>0</v>
      </c>
      <c r="G177" s="277">
        <v>0</v>
      </c>
      <c r="H177" s="277">
        <v>0</v>
      </c>
      <c r="J177" s="749"/>
      <c r="K177" s="749"/>
      <c r="L177" s="749"/>
      <c r="M177" s="749"/>
      <c r="N177" s="749"/>
      <c r="O177" s="749"/>
    </row>
    <row r="178" spans="1:16">
      <c r="A178" s="260" t="s">
        <v>74</v>
      </c>
      <c r="B178" s="18">
        <v>50</v>
      </c>
      <c r="C178" s="277">
        <v>0</v>
      </c>
      <c r="D178" s="277">
        <v>0</v>
      </c>
      <c r="E178" s="277">
        <v>0</v>
      </c>
      <c r="F178" s="277">
        <v>0</v>
      </c>
      <c r="G178" s="277">
        <v>0</v>
      </c>
      <c r="H178" s="277">
        <v>0</v>
      </c>
      <c r="J178" s="749"/>
      <c r="K178" s="749"/>
      <c r="L178" s="749"/>
      <c r="M178" s="749"/>
      <c r="N178" s="749"/>
      <c r="O178" s="749"/>
    </row>
    <row r="179" spans="1:16">
      <c r="A179" s="260" t="s">
        <v>75</v>
      </c>
      <c r="B179" s="260"/>
      <c r="C179" s="277">
        <v>0</v>
      </c>
      <c r="D179" s="277">
        <v>0</v>
      </c>
      <c r="E179" s="277">
        <v>0</v>
      </c>
      <c r="F179" s="277">
        <v>0</v>
      </c>
      <c r="G179" s="277">
        <v>0</v>
      </c>
      <c r="H179" s="277">
        <v>0</v>
      </c>
      <c r="J179" s="749"/>
      <c r="K179" s="749"/>
      <c r="L179" s="749"/>
      <c r="M179" s="749"/>
      <c r="N179" s="749"/>
      <c r="O179" s="749"/>
    </row>
    <row r="180" spans="1:16">
      <c r="A180" s="260" t="s">
        <v>76</v>
      </c>
      <c r="B180" s="18">
        <f>Assumption_Sheet!B35</f>
        <v>298.94280369475052</v>
      </c>
      <c r="C180" s="277">
        <f t="shared" ref="C180:H180" si="30">-$B$180*C16</f>
        <v>-1992.9520246316702</v>
      </c>
      <c r="D180" s="277">
        <f t="shared" si="30"/>
        <v>-339.70773147130745</v>
      </c>
      <c r="E180" s="277">
        <f t="shared" si="30"/>
        <v>-332.15867077194503</v>
      </c>
      <c r="F180" s="277">
        <f t="shared" si="30"/>
        <v>-4982.3800615791761</v>
      </c>
      <c r="G180" s="277">
        <f t="shared" si="30"/>
        <v>-378.40861227183609</v>
      </c>
      <c r="H180" s="277">
        <f t="shared" si="30"/>
        <v>-1494.7140184737527</v>
      </c>
      <c r="J180" s="749"/>
      <c r="K180" s="749"/>
      <c r="L180" s="749"/>
      <c r="M180" s="749"/>
      <c r="N180" s="749"/>
      <c r="O180" s="749"/>
    </row>
    <row r="181" spans="1:16">
      <c r="A181" s="260" t="s">
        <v>77</v>
      </c>
      <c r="B181" s="260"/>
      <c r="C181" s="277">
        <v>0</v>
      </c>
      <c r="D181" s="277">
        <v>0</v>
      </c>
      <c r="E181" s="277">
        <v>0</v>
      </c>
      <c r="F181" s="277">
        <v>0</v>
      </c>
      <c r="G181" s="277">
        <v>0</v>
      </c>
      <c r="H181" s="277">
        <v>0</v>
      </c>
      <c r="J181" s="749"/>
      <c r="K181" s="749"/>
      <c r="L181" s="749"/>
      <c r="M181" s="749"/>
      <c r="N181" s="749"/>
      <c r="O181" s="749"/>
    </row>
    <row r="182" spans="1:16" ht="4" customHeight="1">
      <c r="A182" s="260"/>
      <c r="B182" s="260"/>
      <c r="C182" s="276"/>
      <c r="D182" s="276"/>
      <c r="E182" s="276"/>
      <c r="F182" s="276"/>
      <c r="G182" s="276"/>
      <c r="H182" s="276"/>
      <c r="J182" s="749"/>
      <c r="K182" s="749"/>
      <c r="L182" s="749"/>
      <c r="M182" s="749"/>
      <c r="N182" s="749"/>
      <c r="O182" s="749"/>
    </row>
    <row r="183" spans="1:16" s="62" customFormat="1">
      <c r="A183" s="11" t="s">
        <v>78</v>
      </c>
      <c r="B183" s="11"/>
      <c r="C183" s="11">
        <f t="shared" ref="C183:H183" si="31">SUM(C176:C182)</f>
        <v>-1992.9520246316702</v>
      </c>
      <c r="D183" s="11">
        <f t="shared" si="31"/>
        <v>-339.70773147130745</v>
      </c>
      <c r="E183" s="11">
        <f t="shared" si="31"/>
        <v>-332.15867077194503</v>
      </c>
      <c r="F183" s="11">
        <f t="shared" si="31"/>
        <v>-4982.3800615791761</v>
      </c>
      <c r="G183" s="11">
        <f t="shared" si="31"/>
        <v>-378.40861227183609</v>
      </c>
      <c r="H183" s="11">
        <f t="shared" si="31"/>
        <v>-1494.7140184737527</v>
      </c>
      <c r="I183" s="481"/>
      <c r="J183" s="749"/>
      <c r="K183" s="749"/>
      <c r="L183" s="749"/>
      <c r="M183" s="749"/>
      <c r="N183" s="749"/>
      <c r="O183" s="749"/>
      <c r="P183" s="481"/>
    </row>
    <row r="184" spans="1:16" s="62" customFormat="1" ht="6" customHeight="1">
      <c r="A184" s="12"/>
      <c r="B184" s="12"/>
      <c r="C184" s="188"/>
      <c r="D184" s="12"/>
      <c r="E184" s="12"/>
      <c r="F184" s="12"/>
      <c r="G184" s="12"/>
      <c r="H184" s="12"/>
      <c r="I184" s="481"/>
      <c r="J184" s="749"/>
      <c r="K184" s="749"/>
      <c r="L184" s="749"/>
      <c r="M184" s="749"/>
      <c r="N184" s="749"/>
      <c r="O184" s="749"/>
      <c r="P184" s="481"/>
    </row>
    <row r="185" spans="1:16" s="62" customFormat="1">
      <c r="A185" s="11" t="s">
        <v>79</v>
      </c>
      <c r="B185" s="11"/>
      <c r="C185" s="11">
        <f t="shared" ref="C185:H185" si="32">C168+C183+C158+C172</f>
        <v>-1992.9520246316702</v>
      </c>
      <c r="D185" s="11">
        <f t="shared" si="32"/>
        <v>-45534.316317631652</v>
      </c>
      <c r="E185" s="11">
        <f t="shared" si="32"/>
        <v>-67907.191167882411</v>
      </c>
      <c r="F185" s="11">
        <f t="shared" si="32"/>
        <v>-4982.3800615791761</v>
      </c>
      <c r="G185" s="11">
        <f t="shared" si="32"/>
        <v>-88017.033842972916</v>
      </c>
      <c r="H185" s="11">
        <f t="shared" si="32"/>
        <v>-51589.200026146493</v>
      </c>
      <c r="I185" s="481"/>
      <c r="J185" s="749"/>
      <c r="K185" s="749"/>
      <c r="L185" s="749"/>
      <c r="M185" s="749"/>
      <c r="N185" s="749"/>
      <c r="O185" s="749"/>
      <c r="P185" s="481"/>
    </row>
    <row r="186" spans="1:16" s="62" customFormat="1" ht="6" customHeight="1">
      <c r="A186" s="12"/>
      <c r="B186" s="12"/>
      <c r="C186" s="12"/>
      <c r="D186" s="12"/>
      <c r="E186" s="12"/>
      <c r="F186" s="12"/>
      <c r="G186" s="12"/>
      <c r="H186" s="12"/>
      <c r="I186" s="481"/>
      <c r="J186" s="749"/>
      <c r="K186" s="749"/>
      <c r="L186" s="749"/>
      <c r="M186" s="749"/>
      <c r="N186" s="749"/>
      <c r="O186" s="749"/>
      <c r="P186" s="481"/>
    </row>
    <row r="187" spans="1:16" ht="15" thickBot="1">
      <c r="A187" s="13" t="s">
        <v>80</v>
      </c>
      <c r="B187" s="296"/>
      <c r="C187" s="22">
        <f t="shared" ref="C187:H187" si="33">C150+C185</f>
        <v>-1992.9520246316702</v>
      </c>
      <c r="D187" s="22">
        <f t="shared" si="33"/>
        <v>100309.31032399993</v>
      </c>
      <c r="E187" s="22">
        <f t="shared" si="33"/>
        <v>140658.43677323515</v>
      </c>
      <c r="F187" s="22">
        <f t="shared" si="33"/>
        <v>-4982.3800615791761</v>
      </c>
      <c r="G187" s="22">
        <f t="shared" si="33"/>
        <v>201681.21605994928</v>
      </c>
      <c r="H187" s="22">
        <f t="shared" si="33"/>
        <v>92913.298336908018</v>
      </c>
      <c r="J187" s="749"/>
      <c r="K187" s="749"/>
      <c r="L187" s="749"/>
      <c r="M187" s="749"/>
      <c r="N187" s="749"/>
      <c r="O187" s="749"/>
    </row>
    <row r="188" spans="1:16" s="62" customFormat="1" ht="10" customHeight="1" thickTop="1">
      <c r="A188" s="12"/>
      <c r="B188" s="12"/>
      <c r="C188" s="12"/>
      <c r="D188" s="12"/>
      <c r="E188" s="12"/>
      <c r="F188" s="12"/>
      <c r="G188" s="12"/>
      <c r="H188" s="12"/>
      <c r="I188" s="481"/>
      <c r="J188" s="749"/>
      <c r="K188" s="749"/>
      <c r="L188" s="749"/>
      <c r="M188" s="749"/>
      <c r="N188" s="749"/>
      <c r="O188" s="749"/>
      <c r="P188" s="481"/>
    </row>
    <row r="189" spans="1:16">
      <c r="A189" s="260" t="s">
        <v>81</v>
      </c>
      <c r="B189" s="18">
        <f>Assumption_Sheet!$B$194</f>
        <v>157685.78593841929</v>
      </c>
      <c r="C189" s="277">
        <f t="shared" ref="C189:H189" si="34">-$B$189*C11</f>
        <v>-157685.78593841929</v>
      </c>
      <c r="D189" s="277">
        <f t="shared" si="34"/>
        <v>-157685.78593841929</v>
      </c>
      <c r="E189" s="277">
        <f t="shared" si="34"/>
        <v>-157685.78593841929</v>
      </c>
      <c r="F189" s="277">
        <f t="shared" si="34"/>
        <v>-157685.78593841929</v>
      </c>
      <c r="G189" s="277">
        <f t="shared" si="34"/>
        <v>-157685.78593841929</v>
      </c>
      <c r="H189" s="277">
        <f t="shared" si="34"/>
        <v>-157685.78593841929</v>
      </c>
      <c r="J189" s="749"/>
      <c r="K189" s="749"/>
      <c r="L189" s="749"/>
      <c r="M189" s="749"/>
      <c r="N189" s="749"/>
      <c r="O189" s="749"/>
    </row>
    <row r="190" spans="1:16" ht="10" customHeight="1">
      <c r="A190" s="260"/>
      <c r="B190" s="260"/>
      <c r="C190" s="260"/>
      <c r="D190" s="260"/>
      <c r="E190" s="260"/>
      <c r="F190" s="260"/>
      <c r="G190" s="260"/>
      <c r="H190" s="260"/>
      <c r="J190" s="749"/>
      <c r="K190" s="749"/>
      <c r="L190" s="749"/>
      <c r="M190" s="749"/>
      <c r="N190" s="749"/>
      <c r="O190" s="749"/>
    </row>
    <row r="191" spans="1:16" ht="15" thickBot="1">
      <c r="A191" s="13" t="s">
        <v>82</v>
      </c>
      <c r="B191" s="296"/>
      <c r="C191" s="22">
        <f t="shared" ref="C191:H191" si="35">C187+C189</f>
        <v>-159678.73796305095</v>
      </c>
      <c r="D191" s="22">
        <f t="shared" si="35"/>
        <v>-57376.475614419352</v>
      </c>
      <c r="E191" s="22">
        <f t="shared" si="35"/>
        <v>-17027.349165184132</v>
      </c>
      <c r="F191" s="22">
        <f t="shared" si="35"/>
        <v>-162668.16599999845</v>
      </c>
      <c r="G191" s="22">
        <f t="shared" si="35"/>
        <v>43995.430121529993</v>
      </c>
      <c r="H191" s="22">
        <f t="shared" si="35"/>
        <v>-64772.487601511268</v>
      </c>
      <c r="J191" s="749"/>
      <c r="K191" s="749"/>
      <c r="L191" s="749"/>
      <c r="M191" s="749"/>
      <c r="N191" s="749"/>
      <c r="O191" s="749"/>
    </row>
    <row r="192" spans="1:16" ht="15" thickTop="1">
      <c r="A192" s="260"/>
      <c r="B192" s="260"/>
      <c r="C192" s="260"/>
      <c r="D192" s="298"/>
      <c r="E192" s="298"/>
      <c r="F192" s="298"/>
      <c r="G192" s="298"/>
      <c r="H192" s="298"/>
      <c r="J192" s="749"/>
      <c r="K192" s="749"/>
      <c r="L192" s="749"/>
      <c r="M192" s="749"/>
      <c r="N192" s="749"/>
      <c r="O192" s="749"/>
    </row>
    <row r="193" spans="1:15">
      <c r="A193" s="260" t="s">
        <v>83</v>
      </c>
      <c r="B193" s="260"/>
      <c r="C193" s="299">
        <f t="shared" ref="C193:H193" si="36">IFERROR(C187/C12,0)</f>
        <v>0</v>
      </c>
      <c r="D193" s="299">
        <f t="shared" si="36"/>
        <v>0.16510679150412635</v>
      </c>
      <c r="E193" s="299">
        <f t="shared" si="36"/>
        <v>0.16988575131526459</v>
      </c>
      <c r="F193" s="299">
        <f t="shared" si="36"/>
        <v>0</v>
      </c>
      <c r="G193" s="299">
        <f t="shared" si="36"/>
        <v>0.14569320961617735</v>
      </c>
      <c r="H193" s="299">
        <f t="shared" si="36"/>
        <v>0.1412200001168934</v>
      </c>
      <c r="J193" s="749"/>
      <c r="K193" s="749"/>
      <c r="L193" s="749"/>
      <c r="M193" s="749"/>
      <c r="N193" s="749"/>
      <c r="O193" s="749"/>
    </row>
    <row r="194" spans="1:15">
      <c r="A194" s="260" t="s">
        <v>84</v>
      </c>
      <c r="B194" s="260"/>
      <c r="C194" s="300">
        <f t="shared" ref="C194:H194" si="37">IFERROR(C191/C12,0)</f>
        <v>0</v>
      </c>
      <c r="D194" s="300">
        <f t="shared" si="37"/>
        <v>-9.4440344230389592E-2</v>
      </c>
      <c r="E194" s="300">
        <f t="shared" si="37"/>
        <v>-2.0565449696403001E-2</v>
      </c>
      <c r="F194" s="300">
        <f t="shared" si="37"/>
        <v>0</v>
      </c>
      <c r="G194" s="300">
        <f t="shared" si="37"/>
        <v>3.178201494453823E-2</v>
      </c>
      <c r="H194" s="300">
        <f t="shared" si="37"/>
        <v>-9.8448455392131526E-2</v>
      </c>
      <c r="J194" s="749"/>
      <c r="K194" s="749"/>
      <c r="L194" s="749"/>
      <c r="M194" s="749"/>
      <c r="N194" s="749"/>
      <c r="O194" s="749"/>
    </row>
    <row r="195" spans="1:15">
      <c r="A195" s="260"/>
      <c r="B195" s="260"/>
      <c r="C195" s="301"/>
      <c r="D195" s="301"/>
      <c r="E195" s="301"/>
      <c r="F195" s="301"/>
      <c r="G195" s="301"/>
      <c r="H195" s="301"/>
      <c r="J195" s="749"/>
      <c r="K195" s="749"/>
      <c r="L195" s="749"/>
      <c r="M195" s="749"/>
      <c r="N195" s="749"/>
      <c r="O195" s="749"/>
    </row>
    <row r="196" spans="1:15">
      <c r="A196" s="260"/>
      <c r="B196" s="260"/>
      <c r="C196" s="301"/>
      <c r="D196" s="301"/>
      <c r="E196" s="301"/>
      <c r="F196" s="301"/>
      <c r="G196" s="301"/>
      <c r="H196" s="301"/>
      <c r="J196" s="749"/>
      <c r="K196" s="749"/>
      <c r="L196" s="749"/>
      <c r="M196" s="749"/>
      <c r="N196" s="749"/>
      <c r="O196" s="749"/>
    </row>
    <row r="197" spans="1:15">
      <c r="A197" s="260"/>
      <c r="B197" s="260"/>
      <c r="C197" s="301"/>
      <c r="D197" s="301"/>
      <c r="E197" s="301"/>
      <c r="F197" s="301"/>
      <c r="G197" s="301"/>
      <c r="H197" s="301"/>
      <c r="J197" s="749"/>
      <c r="K197" s="749"/>
      <c r="L197" s="749"/>
      <c r="M197" s="749"/>
      <c r="N197" s="749"/>
      <c r="O197" s="749"/>
    </row>
    <row r="198" spans="1:15" ht="18.5" hidden="1" customHeight="1">
      <c r="A198" s="4" t="s">
        <v>85</v>
      </c>
      <c r="B198" s="260"/>
      <c r="C198" s="301"/>
      <c r="D198" s="301"/>
      <c r="E198" s="301"/>
      <c r="F198" s="301"/>
      <c r="G198" s="301"/>
      <c r="H198" s="301"/>
      <c r="J198" s="749"/>
      <c r="K198" s="749"/>
      <c r="L198" s="749"/>
      <c r="M198" s="749"/>
      <c r="N198" s="749"/>
      <c r="O198" s="749"/>
    </row>
    <row r="199" spans="1:15" ht="18.5" hidden="1" customHeight="1">
      <c r="A199" s="260" t="s">
        <v>86</v>
      </c>
      <c r="B199" s="260"/>
      <c r="C199" s="301">
        <f>C185-C153</f>
        <v>-1992.9520246316702</v>
      </c>
      <c r="D199" s="301">
        <f>D185-D153</f>
        <v>-568.29540897130937</v>
      </c>
      <c r="E199" s="301">
        <f>E185-E153</f>
        <v>-643.67824452194327</v>
      </c>
      <c r="F199" s="301">
        <f>F185-F153</f>
        <v>-4982.3800615791761</v>
      </c>
      <c r="G199" s="301"/>
      <c r="H199" s="301"/>
      <c r="J199" s="749"/>
      <c r="K199" s="749"/>
      <c r="L199" s="749"/>
      <c r="M199" s="749"/>
      <c r="N199" s="749"/>
      <c r="O199" s="749"/>
    </row>
    <row r="200" spans="1:15" ht="18.5" hidden="1" customHeight="1">
      <c r="A200" s="260" t="s">
        <v>87</v>
      </c>
      <c r="B200" s="260"/>
      <c r="C200" s="301" t="e">
        <f>Assumption_Sheet!#REF!</f>
        <v>#REF!</v>
      </c>
      <c r="D200" s="301" t="e">
        <f>Assumption_Sheet!#REF!</f>
        <v>#REF!</v>
      </c>
      <c r="E200" s="301" t="e">
        <f>Assumption_Sheet!#REF!</f>
        <v>#REF!</v>
      </c>
      <c r="F200" s="301" t="e">
        <f>Assumption_Sheet!#REF!</f>
        <v>#REF!</v>
      </c>
      <c r="G200" s="301"/>
      <c r="H200" s="302" t="e">
        <f>SUM(C200:F200)</f>
        <v>#REF!</v>
      </c>
      <c r="J200" s="749"/>
      <c r="K200" s="749"/>
      <c r="L200" s="749"/>
      <c r="M200" s="749"/>
      <c r="N200" s="749"/>
      <c r="O200" s="749"/>
    </row>
    <row r="201" spans="1:15" ht="18.5" hidden="1" customHeight="1">
      <c r="A201" s="260" t="s">
        <v>88</v>
      </c>
      <c r="B201" s="260"/>
      <c r="C201" s="301" t="e">
        <f>-C200*C199</f>
        <v>#REF!</v>
      </c>
      <c r="D201" s="301" t="e">
        <f>-D200*D199</f>
        <v>#REF!</v>
      </c>
      <c r="E201" s="301" t="e">
        <f>-E200*E199</f>
        <v>#REF!</v>
      </c>
      <c r="F201" s="301" t="e">
        <f>-F200*F199</f>
        <v>#REF!</v>
      </c>
      <c r="G201" s="301"/>
      <c r="H201" s="302" t="e">
        <f>SUM(C201:F201)</f>
        <v>#REF!</v>
      </c>
      <c r="J201" s="749"/>
      <c r="K201" s="749"/>
      <c r="L201" s="749"/>
      <c r="M201" s="749"/>
      <c r="N201" s="749"/>
      <c r="O201" s="749"/>
    </row>
    <row r="202" spans="1:15" ht="18.5" hidden="1" customHeight="1">
      <c r="A202" s="260" t="s">
        <v>89</v>
      </c>
      <c r="B202" s="260"/>
      <c r="C202" s="301" t="e">
        <f>Assumption_Sheet!#REF!</f>
        <v>#REF!</v>
      </c>
      <c r="D202" s="301" t="e">
        <f>Assumption_Sheet!#REF!</f>
        <v>#REF!</v>
      </c>
      <c r="E202" s="301" t="e">
        <f>Assumption_Sheet!#REF!</f>
        <v>#REF!</v>
      </c>
      <c r="F202" s="301" t="e">
        <f>Assumption_Sheet!#REF!</f>
        <v>#REF!</v>
      </c>
      <c r="G202" s="301"/>
      <c r="H202" s="302" t="e">
        <f>F202</f>
        <v>#REF!</v>
      </c>
      <c r="J202" s="749"/>
      <c r="K202" s="749"/>
      <c r="L202" s="749"/>
      <c r="M202" s="749"/>
      <c r="N202" s="749"/>
      <c r="O202" s="749"/>
    </row>
    <row r="203" spans="1:15" ht="18.5" hidden="1" customHeight="1">
      <c r="A203" s="260" t="s">
        <v>90</v>
      </c>
      <c r="B203" s="260"/>
      <c r="C203" s="301" t="e">
        <f>C202-C201</f>
        <v>#REF!</v>
      </c>
      <c r="D203" s="301" t="e">
        <f>D202-D201</f>
        <v>#REF!</v>
      </c>
      <c r="E203" s="301" t="e">
        <f>E202-E201</f>
        <v>#REF!</v>
      </c>
      <c r="F203" s="301" t="e">
        <f>F202-F201</f>
        <v>#REF!</v>
      </c>
      <c r="G203" s="301"/>
      <c r="H203" s="302" t="e">
        <f>H202-H201</f>
        <v>#REF!</v>
      </c>
      <c r="J203" s="749"/>
      <c r="K203" s="749"/>
      <c r="L203" s="749"/>
      <c r="M203" s="749"/>
      <c r="N203" s="749"/>
      <c r="O203" s="749"/>
    </row>
    <row r="204" spans="1:15" ht="18.5" hidden="1" customHeight="1">
      <c r="A204" s="260" t="s">
        <v>91</v>
      </c>
      <c r="B204" s="260"/>
      <c r="C204" s="301"/>
      <c r="D204" s="301"/>
      <c r="E204" s="301"/>
      <c r="F204" s="301"/>
      <c r="G204" s="301"/>
      <c r="H204" s="30" t="e">
        <f>H203/H200</f>
        <v>#REF!</v>
      </c>
      <c r="J204" s="749"/>
      <c r="K204" s="749"/>
      <c r="L204" s="749"/>
      <c r="M204" s="749"/>
      <c r="N204" s="749"/>
      <c r="O204" s="749"/>
    </row>
    <row r="205" spans="1:15">
      <c r="A205" s="260"/>
      <c r="B205" s="260"/>
      <c r="C205" s="301"/>
      <c r="D205" s="301"/>
      <c r="E205" s="301"/>
      <c r="F205" s="301"/>
      <c r="G205" s="301"/>
      <c r="H205" s="301"/>
      <c r="J205" s="749"/>
      <c r="K205" s="749"/>
      <c r="L205" s="749"/>
      <c r="M205" s="749"/>
      <c r="N205" s="749"/>
      <c r="O205" s="749"/>
    </row>
    <row r="206" spans="1:15">
      <c r="A206" s="260"/>
      <c r="B206" s="260"/>
      <c r="C206" s="301"/>
      <c r="D206" s="301"/>
      <c r="E206" s="301"/>
      <c r="F206" s="301"/>
      <c r="G206" s="301"/>
      <c r="H206" s="301"/>
      <c r="J206" s="749"/>
      <c r="K206" s="749"/>
      <c r="L206" s="749"/>
      <c r="M206" s="749"/>
      <c r="N206" s="749"/>
      <c r="O206" s="749"/>
    </row>
    <row r="207" spans="1:15">
      <c r="A207" s="260"/>
      <c r="B207" s="260"/>
      <c r="C207" s="301"/>
      <c r="D207" s="301"/>
      <c r="E207" s="301"/>
      <c r="F207" s="301"/>
      <c r="G207" s="301"/>
      <c r="H207" s="301"/>
      <c r="J207" s="749"/>
      <c r="K207" s="749"/>
      <c r="L207" s="749"/>
      <c r="M207" s="749"/>
      <c r="N207" s="749"/>
      <c r="O207" s="749"/>
    </row>
    <row r="221" spans="3:15">
      <c r="C221" s="301"/>
      <c r="D221" s="301"/>
      <c r="E221" s="301"/>
      <c r="F221" s="301"/>
      <c r="G221" s="301"/>
      <c r="H221" s="301"/>
      <c r="J221" s="749"/>
      <c r="K221" s="749"/>
      <c r="L221" s="749"/>
      <c r="M221" s="749"/>
      <c r="N221" s="749"/>
      <c r="O221" s="749"/>
    </row>
    <row r="222" spans="3:15">
      <c r="C222" s="301"/>
      <c r="D222" s="301"/>
      <c r="E222" s="301"/>
      <c r="F222" s="301"/>
      <c r="G222" s="301"/>
      <c r="H222" s="301"/>
      <c r="J222" s="749"/>
      <c r="K222" s="749"/>
      <c r="L222" s="749"/>
      <c r="M222" s="749"/>
      <c r="N222" s="749"/>
      <c r="O222" s="749"/>
    </row>
    <row r="223" spans="3:15">
      <c r="C223" s="301"/>
      <c r="D223" s="301"/>
      <c r="E223" s="301"/>
      <c r="F223" s="301"/>
      <c r="G223" s="301"/>
      <c r="H223" s="301"/>
      <c r="J223" s="749"/>
      <c r="K223" s="749"/>
      <c r="L223" s="749"/>
      <c r="M223" s="749"/>
      <c r="N223" s="749"/>
      <c r="O223" s="749"/>
    </row>
    <row r="224" spans="3:15">
      <c r="C224" s="301"/>
      <c r="D224" s="301"/>
      <c r="E224" s="301"/>
      <c r="F224" s="301"/>
      <c r="G224" s="301"/>
      <c r="H224" s="301"/>
      <c r="J224" s="749"/>
      <c r="K224" s="749"/>
      <c r="L224" s="749"/>
      <c r="M224" s="749"/>
      <c r="N224" s="749"/>
      <c r="O224" s="749"/>
    </row>
    <row r="225" spans="3:15">
      <c r="C225" s="301"/>
      <c r="D225" s="301"/>
      <c r="E225" s="301"/>
      <c r="F225" s="301"/>
      <c r="G225" s="301"/>
      <c r="H225" s="301"/>
      <c r="J225" s="749"/>
      <c r="K225" s="749"/>
      <c r="L225" s="749"/>
      <c r="M225" s="749"/>
      <c r="N225" s="749"/>
      <c r="O225" s="749"/>
    </row>
    <row r="226" spans="3:15">
      <c r="C226" s="301"/>
      <c r="D226" s="301"/>
      <c r="E226" s="301"/>
      <c r="F226" s="301"/>
      <c r="G226" s="301"/>
      <c r="H226" s="301"/>
      <c r="J226" s="749"/>
      <c r="K226" s="749"/>
      <c r="L226" s="749"/>
      <c r="M226" s="749"/>
      <c r="N226" s="749"/>
      <c r="O226" s="749"/>
    </row>
    <row r="227" spans="3:15">
      <c r="C227" s="301"/>
      <c r="D227" s="301"/>
      <c r="E227" s="301"/>
      <c r="F227" s="301"/>
      <c r="G227" s="301"/>
      <c r="H227" s="301"/>
      <c r="J227" s="749"/>
      <c r="K227" s="749"/>
      <c r="L227" s="749"/>
      <c r="M227" s="749"/>
      <c r="N227" s="749"/>
      <c r="O227" s="749"/>
    </row>
    <row r="228" spans="3:15">
      <c r="C228" s="301"/>
      <c r="D228" s="301"/>
      <c r="E228" s="301"/>
      <c r="F228" s="301"/>
      <c r="G228" s="301"/>
      <c r="H228" s="301"/>
      <c r="J228" s="749"/>
      <c r="K228" s="749"/>
      <c r="L228" s="749"/>
      <c r="M228" s="749"/>
      <c r="N228" s="749"/>
      <c r="O228" s="749"/>
    </row>
    <row r="229" spans="3:15">
      <c r="C229" s="301"/>
      <c r="D229" s="301"/>
      <c r="E229" s="301"/>
      <c r="F229" s="301"/>
      <c r="G229" s="301"/>
      <c r="H229" s="301"/>
      <c r="J229" s="749"/>
      <c r="K229" s="749"/>
      <c r="L229" s="749"/>
      <c r="M229" s="749"/>
      <c r="N229" s="749"/>
      <c r="O229" s="749"/>
    </row>
    <row r="230" spans="3:15">
      <c r="C230" s="301"/>
      <c r="D230" s="301"/>
      <c r="E230" s="301"/>
      <c r="F230" s="301"/>
      <c r="G230" s="301"/>
      <c r="H230" s="301"/>
      <c r="J230" s="749"/>
      <c r="K230" s="749"/>
      <c r="L230" s="749"/>
      <c r="M230" s="749"/>
      <c r="N230" s="749"/>
      <c r="O230" s="749"/>
    </row>
    <row r="231" spans="3:15">
      <c r="C231" s="301"/>
      <c r="D231" s="301"/>
      <c r="E231" s="301"/>
      <c r="F231" s="301"/>
      <c r="G231" s="301"/>
      <c r="H231" s="301"/>
      <c r="J231" s="749"/>
      <c r="K231" s="749"/>
      <c r="L231" s="749"/>
      <c r="M231" s="749"/>
      <c r="N231" s="749"/>
      <c r="O231" s="749"/>
    </row>
    <row r="232" spans="3:15">
      <c r="C232" s="301"/>
      <c r="D232" s="301"/>
      <c r="E232" s="301"/>
      <c r="F232" s="301"/>
      <c r="G232" s="301"/>
      <c r="H232" s="301"/>
      <c r="J232" s="749"/>
      <c r="K232" s="749"/>
      <c r="L232" s="749"/>
      <c r="M232" s="749"/>
      <c r="N232" s="749"/>
      <c r="O232" s="749"/>
    </row>
    <row r="233" spans="3:15">
      <c r="C233" s="301"/>
      <c r="D233" s="301"/>
      <c r="E233" s="301"/>
      <c r="F233" s="301"/>
      <c r="G233" s="301"/>
      <c r="H233" s="301"/>
      <c r="J233" s="749"/>
      <c r="K233" s="749"/>
      <c r="L233" s="749"/>
      <c r="M233" s="749"/>
      <c r="N233" s="749"/>
      <c r="O233" s="749"/>
    </row>
    <row r="234" spans="3:15">
      <c r="C234" s="301"/>
      <c r="D234" s="301"/>
      <c r="E234" s="301"/>
      <c r="F234" s="301"/>
      <c r="G234" s="301"/>
      <c r="H234" s="301"/>
      <c r="J234" s="749"/>
      <c r="K234" s="749"/>
      <c r="L234" s="749"/>
      <c r="M234" s="749"/>
      <c r="N234" s="749"/>
      <c r="O234" s="749"/>
    </row>
    <row r="235" spans="3:15">
      <c r="C235" s="301"/>
      <c r="D235" s="301"/>
      <c r="E235" s="301"/>
      <c r="F235" s="301"/>
      <c r="G235" s="301"/>
      <c r="H235" s="301"/>
      <c r="J235" s="749"/>
      <c r="K235" s="749"/>
      <c r="L235" s="749"/>
      <c r="M235" s="749"/>
      <c r="N235" s="749"/>
      <c r="O235" s="749"/>
    </row>
    <row r="236" spans="3:15">
      <c r="C236" s="301"/>
      <c r="D236" s="301"/>
      <c r="E236" s="301"/>
      <c r="F236" s="301"/>
      <c r="G236" s="301"/>
      <c r="H236" s="301"/>
      <c r="J236" s="749"/>
      <c r="K236" s="749"/>
      <c r="L236" s="749"/>
      <c r="M236" s="749"/>
      <c r="N236" s="749"/>
      <c r="O236" s="749"/>
    </row>
    <row r="237" spans="3:15">
      <c r="C237" s="301"/>
      <c r="D237" s="301"/>
      <c r="E237" s="301"/>
      <c r="F237" s="301"/>
      <c r="G237" s="301"/>
      <c r="H237" s="301"/>
      <c r="J237" s="749"/>
      <c r="K237" s="749"/>
      <c r="L237" s="749"/>
      <c r="M237" s="749"/>
      <c r="N237" s="749"/>
      <c r="O237" s="749"/>
    </row>
    <row r="238" spans="3:15">
      <c r="C238" s="301"/>
      <c r="D238" s="301"/>
      <c r="E238" s="301"/>
      <c r="F238" s="301"/>
      <c r="G238" s="301"/>
      <c r="H238" s="301"/>
      <c r="J238" s="749"/>
      <c r="K238" s="749"/>
      <c r="L238" s="749"/>
      <c r="M238" s="749"/>
      <c r="N238" s="749"/>
      <c r="O238" s="749"/>
    </row>
    <row r="239" spans="3:15">
      <c r="C239" s="301"/>
      <c r="D239" s="301"/>
      <c r="E239" s="301"/>
      <c r="F239" s="301"/>
      <c r="G239" s="301"/>
      <c r="H239" s="301"/>
      <c r="J239" s="749"/>
      <c r="K239" s="749"/>
      <c r="L239" s="749"/>
      <c r="M239" s="749"/>
      <c r="N239" s="749"/>
      <c r="O239" s="749"/>
    </row>
    <row r="240" spans="3:15">
      <c r="C240" s="301"/>
      <c r="D240" s="301"/>
      <c r="E240" s="301"/>
      <c r="F240" s="301"/>
      <c r="G240" s="301"/>
      <c r="H240" s="301"/>
      <c r="J240" s="749"/>
      <c r="K240" s="749"/>
      <c r="L240" s="749"/>
      <c r="M240" s="749"/>
      <c r="N240" s="749"/>
      <c r="O240" s="749"/>
    </row>
    <row r="241" spans="1:15">
      <c r="C241" s="301"/>
      <c r="D241" s="301"/>
      <c r="E241" s="301"/>
      <c r="F241" s="301"/>
      <c r="G241" s="301"/>
      <c r="H241" s="301"/>
      <c r="J241" s="749"/>
      <c r="K241" s="749"/>
      <c r="L241" s="749"/>
      <c r="M241" s="749"/>
      <c r="N241" s="749"/>
      <c r="O241" s="749"/>
    </row>
    <row r="242" spans="1:15">
      <c r="C242" s="301"/>
      <c r="D242" s="301"/>
      <c r="E242" s="301"/>
      <c r="F242" s="301"/>
      <c r="G242" s="301"/>
      <c r="H242" s="301"/>
      <c r="J242" s="749"/>
      <c r="K242" s="749"/>
      <c r="L242" s="749"/>
      <c r="M242" s="749"/>
      <c r="N242" s="749"/>
      <c r="O242" s="749"/>
    </row>
    <row r="243" spans="1:15">
      <c r="C243" s="301"/>
      <c r="D243" s="301"/>
      <c r="E243" s="301"/>
      <c r="F243" s="301"/>
      <c r="G243" s="301"/>
      <c r="H243" s="301"/>
      <c r="J243" s="749"/>
      <c r="K243" s="749"/>
      <c r="L243" s="749"/>
      <c r="M243" s="749"/>
      <c r="N243" s="749"/>
      <c r="O243" s="749"/>
    </row>
    <row r="244" spans="1:15">
      <c r="A244" s="260"/>
      <c r="B244" s="260"/>
      <c r="C244" s="301"/>
      <c r="D244" s="301"/>
      <c r="E244" s="301"/>
      <c r="F244" s="301"/>
      <c r="G244" s="301"/>
      <c r="H244" s="301"/>
      <c r="J244" s="749"/>
      <c r="K244" s="749"/>
      <c r="L244" s="749"/>
      <c r="M244" s="749"/>
      <c r="N244" s="749"/>
      <c r="O244" s="749"/>
    </row>
    <row r="245" spans="1:15">
      <c r="A245" s="260"/>
      <c r="B245" s="260"/>
      <c r="C245" s="301"/>
      <c r="D245" s="301"/>
      <c r="E245" s="301"/>
      <c r="F245" s="301"/>
      <c r="G245" s="301"/>
      <c r="H245" s="301"/>
      <c r="J245" s="749"/>
      <c r="K245" s="749"/>
      <c r="L245" s="749"/>
      <c r="M245" s="749"/>
      <c r="N245" s="749"/>
      <c r="O245" s="749"/>
    </row>
    <row r="246" spans="1:15">
      <c r="A246" s="260"/>
      <c r="B246" s="260"/>
      <c r="C246" s="301"/>
      <c r="D246" s="301"/>
      <c r="E246" s="301"/>
      <c r="F246" s="301"/>
      <c r="G246" s="301"/>
      <c r="H246" s="301"/>
      <c r="J246" s="749"/>
      <c r="K246" s="749"/>
      <c r="L246" s="749"/>
      <c r="M246" s="749"/>
      <c r="N246" s="749"/>
      <c r="O246" s="749"/>
    </row>
    <row r="247" spans="1:15">
      <c r="A247" s="260"/>
      <c r="B247" s="260"/>
      <c r="C247" s="301"/>
      <c r="D247" s="301"/>
      <c r="E247" s="301"/>
      <c r="F247" s="301"/>
      <c r="G247" s="301"/>
      <c r="H247" s="301"/>
      <c r="J247" s="749"/>
      <c r="K247" s="749"/>
      <c r="L247" s="749"/>
      <c r="M247" s="749"/>
      <c r="N247" s="749"/>
      <c r="O247" s="749"/>
    </row>
    <row r="248" spans="1:15">
      <c r="A248" s="260"/>
      <c r="B248" s="260"/>
      <c r="C248" s="301"/>
      <c r="D248" s="301"/>
      <c r="E248" s="301"/>
      <c r="F248" s="301"/>
      <c r="G248" s="301"/>
      <c r="H248" s="301"/>
      <c r="J248" s="749"/>
      <c r="K248" s="749"/>
      <c r="L248" s="749"/>
      <c r="M248" s="749"/>
      <c r="N248" s="749"/>
      <c r="O248" s="749"/>
    </row>
    <row r="249" spans="1:15">
      <c r="A249" s="260"/>
      <c r="B249" s="260"/>
      <c r="C249" s="301"/>
      <c r="D249" s="301"/>
      <c r="E249" s="301"/>
      <c r="F249" s="301"/>
      <c r="G249" s="301"/>
      <c r="H249" s="301"/>
      <c r="J249" s="749"/>
      <c r="K249" s="749"/>
      <c r="L249" s="749"/>
      <c r="M249" s="749"/>
      <c r="N249" s="749"/>
      <c r="O249" s="749"/>
    </row>
    <row r="250" spans="1:15">
      <c r="A250" s="260"/>
      <c r="B250" s="260"/>
      <c r="C250" s="301"/>
      <c r="D250" s="301"/>
      <c r="E250" s="301"/>
      <c r="F250" s="301"/>
      <c r="G250" s="301"/>
      <c r="H250" s="301"/>
      <c r="J250" s="749"/>
      <c r="K250" s="749"/>
      <c r="L250" s="749"/>
      <c r="M250" s="749"/>
      <c r="N250" s="749"/>
      <c r="O250" s="749"/>
    </row>
    <row r="251" spans="1:15">
      <c r="A251" s="4" t="s">
        <v>92</v>
      </c>
      <c r="B251" s="260"/>
      <c r="C251" s="301"/>
      <c r="D251" s="301"/>
      <c r="E251" s="301"/>
      <c r="F251" s="301"/>
      <c r="G251" s="301"/>
      <c r="H251" s="301"/>
      <c r="J251" s="749"/>
      <c r="K251" s="749"/>
      <c r="L251" s="749"/>
      <c r="M251" s="749"/>
      <c r="N251" s="749"/>
      <c r="O251" s="749"/>
    </row>
    <row r="252" spans="1:15">
      <c r="A252" s="260"/>
      <c r="B252" s="260"/>
      <c r="C252" s="301"/>
      <c r="D252" s="301"/>
      <c r="E252" s="301"/>
      <c r="F252" s="301"/>
      <c r="G252" s="301"/>
      <c r="H252" s="301"/>
      <c r="J252" s="749"/>
      <c r="K252" s="749"/>
      <c r="L252" s="749"/>
      <c r="M252" s="749"/>
      <c r="N252" s="749"/>
      <c r="O252" s="749"/>
    </row>
    <row r="253" spans="1:15" ht="18.5" hidden="1" customHeight="1">
      <c r="A253" s="260"/>
      <c r="B253" s="260"/>
      <c r="C253" s="260"/>
      <c r="D253" s="260"/>
      <c r="E253" s="260"/>
      <c r="F253" s="260"/>
      <c r="G253" s="260"/>
      <c r="H253" s="260"/>
      <c r="J253" s="749"/>
      <c r="K253" s="749"/>
      <c r="L253" s="749"/>
      <c r="M253" s="749"/>
      <c r="N253" s="749"/>
      <c r="O253" s="749"/>
    </row>
    <row r="254" spans="1:15" ht="18.5" hidden="1" customHeight="1">
      <c r="A254" s="260"/>
      <c r="B254" s="260"/>
      <c r="C254" s="260"/>
      <c r="D254" s="260"/>
      <c r="E254" s="260"/>
      <c r="F254" s="260"/>
      <c r="G254" s="260"/>
      <c r="H254" s="260"/>
      <c r="J254" s="749"/>
      <c r="K254" s="749"/>
      <c r="L254" s="749"/>
      <c r="M254" s="749"/>
      <c r="N254" s="749"/>
      <c r="O254" s="749"/>
    </row>
    <row r="255" spans="1:15" ht="18.5" hidden="1" customHeight="1">
      <c r="A255" s="304">
        <v>0</v>
      </c>
      <c r="B255" s="304">
        <v>0</v>
      </c>
      <c r="C255" s="260"/>
      <c r="D255" s="260"/>
      <c r="E255" s="260"/>
      <c r="F255" s="260"/>
      <c r="G255" s="260"/>
      <c r="H255" s="260"/>
      <c r="J255" s="749"/>
      <c r="K255" s="749"/>
      <c r="L255" s="749"/>
      <c r="M255" s="749"/>
      <c r="N255" s="749"/>
      <c r="O255" s="749"/>
    </row>
    <row r="256" spans="1:15" ht="18.5" hidden="1" customHeight="1">
      <c r="A256" s="304">
        <v>250000</v>
      </c>
      <c r="B256" s="304">
        <v>0</v>
      </c>
      <c r="C256" s="260"/>
      <c r="D256" s="260"/>
      <c r="E256" s="260"/>
      <c r="F256" s="260"/>
      <c r="G256" s="260"/>
      <c r="H256" s="260"/>
      <c r="J256" s="749"/>
      <c r="K256" s="749"/>
      <c r="L256" s="749"/>
      <c r="M256" s="749"/>
      <c r="N256" s="749"/>
      <c r="O256" s="749"/>
    </row>
    <row r="257" spans="1:15" ht="18.5" hidden="1" customHeight="1">
      <c r="A257" s="304">
        <v>500000</v>
      </c>
      <c r="B257" s="304">
        <v>8000</v>
      </c>
      <c r="C257" s="260"/>
      <c r="D257" s="260"/>
      <c r="E257" s="260"/>
      <c r="F257" s="260"/>
      <c r="G257" s="260"/>
      <c r="H257" s="260"/>
      <c r="J257" s="749"/>
      <c r="K257" s="749"/>
      <c r="L257" s="749"/>
      <c r="M257" s="749"/>
      <c r="N257" s="749"/>
      <c r="O257" s="749"/>
    </row>
    <row r="258" spans="1:15" ht="18.5" hidden="1" customHeight="1">
      <c r="A258" s="304">
        <v>1000000</v>
      </c>
      <c r="B258" s="304">
        <v>24000</v>
      </c>
      <c r="C258" s="260"/>
      <c r="D258" s="260"/>
      <c r="E258" s="260"/>
      <c r="F258" s="260"/>
      <c r="G258" s="260"/>
      <c r="H258" s="260"/>
      <c r="J258" s="749"/>
      <c r="K258" s="749"/>
      <c r="L258" s="749"/>
      <c r="M258" s="749"/>
      <c r="N258" s="749"/>
      <c r="O258" s="749"/>
    </row>
    <row r="259" spans="1:15" ht="18.5" hidden="1" customHeight="1">
      <c r="A259" s="304">
        <v>2000000</v>
      </c>
      <c r="B259" s="304">
        <f>32000+B258</f>
        <v>56000</v>
      </c>
      <c r="C259" s="260"/>
      <c r="D259" s="260"/>
      <c r="E259" s="260"/>
      <c r="F259" s="260"/>
      <c r="G259" s="260"/>
      <c r="H259" s="260"/>
      <c r="J259" s="749"/>
      <c r="K259" s="749"/>
      <c r="L259" s="749"/>
      <c r="M259" s="749"/>
      <c r="N259" s="749"/>
      <c r="O259" s="749"/>
    </row>
    <row r="260" spans="1:15" ht="18.5" hidden="1" customHeight="1">
      <c r="A260" s="304">
        <v>3000000</v>
      </c>
      <c r="B260" s="304">
        <f>B259+32000</f>
        <v>88000</v>
      </c>
      <c r="J260" s="749"/>
      <c r="K260" s="749"/>
      <c r="L260" s="749"/>
      <c r="M260" s="749"/>
      <c r="N260" s="749"/>
      <c r="O260" s="749"/>
    </row>
    <row r="261" spans="1:15" ht="18.5" hidden="1" customHeight="1">
      <c r="A261" s="304">
        <v>4000000</v>
      </c>
      <c r="B261" s="304">
        <f t="shared" ref="B261:B267" si="38">B260+32000</f>
        <v>120000</v>
      </c>
      <c r="J261" s="749"/>
      <c r="K261" s="749"/>
      <c r="L261" s="749"/>
      <c r="M261" s="749"/>
      <c r="N261" s="749"/>
      <c r="O261" s="749"/>
    </row>
    <row r="262" spans="1:15" ht="18.5" hidden="1" customHeight="1">
      <c r="A262" s="304">
        <v>5000000</v>
      </c>
      <c r="B262" s="304">
        <f t="shared" si="38"/>
        <v>152000</v>
      </c>
      <c r="J262" s="749"/>
      <c r="K262" s="749"/>
      <c r="L262" s="749"/>
      <c r="M262" s="749"/>
      <c r="N262" s="749"/>
      <c r="O262" s="749"/>
    </row>
    <row r="263" spans="1:15" ht="18.5" hidden="1" customHeight="1">
      <c r="A263" s="304">
        <f>A262+1000000</f>
        <v>6000000</v>
      </c>
      <c r="B263" s="304">
        <f t="shared" si="38"/>
        <v>184000</v>
      </c>
      <c r="J263" s="749"/>
      <c r="K263" s="749"/>
      <c r="L263" s="749"/>
      <c r="M263" s="749"/>
      <c r="N263" s="749"/>
      <c r="O263" s="749"/>
    </row>
    <row r="264" spans="1:15" ht="18.5" hidden="1" customHeight="1">
      <c r="A264" s="304">
        <f>A263+1000000</f>
        <v>7000000</v>
      </c>
      <c r="B264" s="304">
        <f t="shared" si="38"/>
        <v>216000</v>
      </c>
      <c r="J264" s="749"/>
      <c r="K264" s="749"/>
      <c r="L264" s="749"/>
      <c r="M264" s="749"/>
      <c r="N264" s="749"/>
      <c r="O264" s="749"/>
    </row>
    <row r="265" spans="1:15" ht="18.5" hidden="1" customHeight="1">
      <c r="A265" s="304">
        <f>A264+1000000</f>
        <v>8000000</v>
      </c>
      <c r="B265" s="304">
        <f t="shared" si="38"/>
        <v>248000</v>
      </c>
      <c r="J265" s="749"/>
      <c r="K265" s="749"/>
      <c r="L265" s="749"/>
      <c r="M265" s="749"/>
      <c r="N265" s="749"/>
      <c r="O265" s="749"/>
    </row>
    <row r="266" spans="1:15" ht="18.5" hidden="1" customHeight="1">
      <c r="A266" s="304">
        <f>A265+1000000</f>
        <v>9000000</v>
      </c>
      <c r="B266" s="304">
        <f t="shared" si="38"/>
        <v>280000</v>
      </c>
      <c r="J266" s="749"/>
      <c r="K266" s="749"/>
      <c r="L266" s="749"/>
      <c r="M266" s="749"/>
      <c r="N266" s="749"/>
      <c r="O266" s="749"/>
    </row>
    <row r="267" spans="1:15" ht="18.5" hidden="1" customHeight="1">
      <c r="A267" s="306">
        <f>A266+1000000</f>
        <v>10000000</v>
      </c>
      <c r="B267" s="306">
        <f t="shared" si="38"/>
        <v>312000</v>
      </c>
      <c r="J267" s="749"/>
      <c r="K267" s="749"/>
      <c r="L267" s="749"/>
      <c r="M267" s="749"/>
      <c r="N267" s="749"/>
      <c r="O267" s="749"/>
    </row>
    <row r="268" spans="1:15" ht="18.5" hidden="1" customHeight="1">
      <c r="A268" s="304">
        <v>0</v>
      </c>
      <c r="B268" s="304">
        <v>0</v>
      </c>
      <c r="J268" s="749"/>
      <c r="K268" s="749"/>
      <c r="L268" s="749"/>
      <c r="M268" s="749"/>
      <c r="N268" s="749"/>
      <c r="O268" s="749"/>
    </row>
    <row r="269" spans="1:15" ht="18.5" hidden="1" customHeight="1">
      <c r="A269" s="304">
        <v>250000</v>
      </c>
      <c r="B269" s="304">
        <v>0</v>
      </c>
      <c r="J269" s="749"/>
      <c r="K269" s="749"/>
      <c r="L269" s="749"/>
      <c r="M269" s="749"/>
      <c r="N269" s="749"/>
      <c r="O269" s="749"/>
    </row>
    <row r="270" spans="1:15" ht="18.5" hidden="1" customHeight="1">
      <c r="A270" s="304">
        <v>500000</v>
      </c>
      <c r="B270" s="304">
        <v>2000</v>
      </c>
      <c r="J270" s="749"/>
      <c r="K270" s="749"/>
      <c r="L270" s="749"/>
      <c r="M270" s="749"/>
      <c r="N270" s="749"/>
      <c r="O270" s="749"/>
    </row>
    <row r="271" spans="1:15" ht="18.5" hidden="1" customHeight="1">
      <c r="A271" s="276">
        <v>1000000</v>
      </c>
      <c r="B271" s="276">
        <v>6000</v>
      </c>
      <c r="J271" s="749"/>
      <c r="K271" s="749"/>
      <c r="L271" s="749"/>
      <c r="M271" s="749"/>
      <c r="N271" s="749"/>
      <c r="O271" s="749"/>
    </row>
    <row r="272" spans="1:15" ht="18.5" hidden="1" customHeight="1">
      <c r="A272" s="276">
        <v>2000000</v>
      </c>
      <c r="B272" s="276">
        <f>8000+B271</f>
        <v>14000</v>
      </c>
      <c r="J272" s="749"/>
      <c r="K272" s="749"/>
      <c r="L272" s="749"/>
      <c r="M272" s="749"/>
      <c r="N272" s="749"/>
      <c r="O272" s="749"/>
    </row>
    <row r="273" spans="1:15" ht="18.5" hidden="1" customHeight="1">
      <c r="A273" s="276">
        <v>3000000</v>
      </c>
      <c r="B273" s="287">
        <f>8000+B272</f>
        <v>22000</v>
      </c>
      <c r="J273" s="749"/>
      <c r="K273" s="749"/>
      <c r="L273" s="749"/>
      <c r="M273" s="749"/>
      <c r="N273" s="749"/>
      <c r="O273" s="749"/>
    </row>
    <row r="274" spans="1:15" ht="18.5" hidden="1" customHeight="1">
      <c r="A274" s="276">
        <v>4000000</v>
      </c>
      <c r="B274" s="287">
        <f t="shared" ref="B274:B280" si="39">8000+B273</f>
        <v>30000</v>
      </c>
      <c r="J274" s="749"/>
      <c r="K274" s="749"/>
      <c r="L274" s="749"/>
      <c r="M274" s="749"/>
      <c r="N274" s="749"/>
      <c r="O274" s="749"/>
    </row>
    <row r="275" spans="1:15" ht="18.5" hidden="1" customHeight="1">
      <c r="A275" s="276">
        <v>5000000</v>
      </c>
      <c r="B275" s="287">
        <f t="shared" si="39"/>
        <v>38000</v>
      </c>
      <c r="J275" s="749"/>
      <c r="K275" s="749"/>
      <c r="L275" s="749"/>
      <c r="M275" s="749"/>
      <c r="N275" s="749"/>
      <c r="O275" s="749"/>
    </row>
    <row r="276" spans="1:15" ht="18.5" hidden="1" customHeight="1">
      <c r="A276" s="287">
        <f>A275+1000000</f>
        <v>6000000</v>
      </c>
      <c r="B276" s="287">
        <f t="shared" si="39"/>
        <v>46000</v>
      </c>
      <c r="J276" s="749"/>
      <c r="K276" s="749"/>
      <c r="L276" s="749"/>
      <c r="M276" s="749"/>
      <c r="N276" s="749"/>
      <c r="O276" s="749"/>
    </row>
    <row r="277" spans="1:15" ht="18.5" hidden="1" customHeight="1">
      <c r="A277" s="287">
        <f>A276+1000000</f>
        <v>7000000</v>
      </c>
      <c r="B277" s="287">
        <f t="shared" si="39"/>
        <v>54000</v>
      </c>
      <c r="J277" s="749"/>
      <c r="K277" s="749"/>
      <c r="L277" s="749"/>
      <c r="M277" s="749"/>
      <c r="N277" s="749"/>
      <c r="O277" s="749"/>
    </row>
    <row r="278" spans="1:15" ht="18.5" hidden="1" customHeight="1">
      <c r="A278" s="287">
        <f>A277+1000000</f>
        <v>8000000</v>
      </c>
      <c r="B278" s="287">
        <f t="shared" si="39"/>
        <v>62000</v>
      </c>
      <c r="J278" s="749"/>
      <c r="K278" s="749"/>
      <c r="L278" s="749"/>
      <c r="M278" s="749"/>
      <c r="N278" s="749"/>
      <c r="O278" s="749"/>
    </row>
    <row r="279" spans="1:15" ht="18.5" hidden="1" customHeight="1">
      <c r="A279" s="287">
        <f>A278+1000000</f>
        <v>9000000</v>
      </c>
      <c r="B279" s="287">
        <f t="shared" si="39"/>
        <v>70000</v>
      </c>
      <c r="J279" s="749"/>
      <c r="K279" s="749"/>
      <c r="L279" s="749"/>
      <c r="M279" s="749"/>
      <c r="N279" s="749"/>
      <c r="O279" s="749"/>
    </row>
    <row r="280" spans="1:15" ht="18.5" hidden="1" customHeight="1">
      <c r="A280" s="287">
        <f>A279+1000000</f>
        <v>10000000</v>
      </c>
      <c r="B280" s="287">
        <f t="shared" si="39"/>
        <v>78000</v>
      </c>
      <c r="J280" s="749"/>
      <c r="K280" s="749"/>
      <c r="L280" s="749"/>
      <c r="M280" s="749"/>
      <c r="N280" s="749"/>
      <c r="O280" s="749"/>
    </row>
    <row r="281" spans="1:15" ht="18.5" hidden="1" customHeight="1">
      <c r="A281" s="287"/>
      <c r="B281" s="287"/>
      <c r="J281" s="749"/>
      <c r="K281" s="749"/>
      <c r="L281" s="749"/>
      <c r="M281" s="749"/>
      <c r="N281" s="749"/>
      <c r="O281" s="749"/>
    </row>
    <row r="282" spans="1:15" ht="18.5" hidden="1" customHeight="1">
      <c r="A282" s="260"/>
      <c r="B282" s="260"/>
      <c r="J282" s="749"/>
      <c r="K282" s="749"/>
      <c r="L282" s="749"/>
      <c r="M282" s="749"/>
      <c r="N282" s="749"/>
      <c r="O282" s="749"/>
    </row>
    <row r="283" spans="1:15" ht="18.5" hidden="1" customHeight="1">
      <c r="A283" s="260"/>
      <c r="B283" s="260"/>
      <c r="J283" s="749"/>
      <c r="K283" s="749"/>
      <c r="L283" s="749"/>
      <c r="M283" s="749"/>
      <c r="N283" s="749"/>
      <c r="O283" s="749"/>
    </row>
    <row r="284" spans="1:15" ht="18.5" hidden="1" customHeight="1">
      <c r="A284" s="260"/>
      <c r="B284" s="260"/>
      <c r="J284" s="749"/>
      <c r="K284" s="749"/>
      <c r="L284" s="749"/>
      <c r="M284" s="749"/>
      <c r="N284" s="749"/>
      <c r="O284" s="749"/>
    </row>
    <row r="285" spans="1:15" ht="18.5" hidden="1" customHeight="1">
      <c r="A285" s="260"/>
      <c r="B285" s="260"/>
      <c r="J285" s="749"/>
      <c r="K285" s="749"/>
      <c r="L285" s="749"/>
      <c r="M285" s="749"/>
      <c r="N285" s="749"/>
      <c r="O285" s="749"/>
    </row>
    <row r="286" spans="1:15" ht="18.5" hidden="1" customHeight="1">
      <c r="A286" s="260"/>
      <c r="B286" s="260"/>
      <c r="J286" s="749"/>
      <c r="K286" s="749"/>
      <c r="L286" s="749"/>
      <c r="M286" s="749"/>
      <c r="N286" s="749"/>
      <c r="O286" s="749"/>
    </row>
    <row r="287" spans="1:15" ht="18.5" hidden="1" customHeight="1">
      <c r="A287" s="4" t="s">
        <v>97</v>
      </c>
      <c r="B287" s="260"/>
      <c r="J287" s="749"/>
      <c r="K287" s="749"/>
      <c r="L287" s="749"/>
      <c r="M287" s="749"/>
      <c r="N287" s="749"/>
      <c r="O287" s="749"/>
    </row>
    <row r="288" spans="1:15" ht="18.5" hidden="1" customHeight="1">
      <c r="A288" s="260" t="s">
        <v>98</v>
      </c>
      <c r="B288" s="260"/>
      <c r="J288" s="749"/>
      <c r="K288" s="749"/>
      <c r="L288" s="749"/>
      <c r="M288" s="749"/>
      <c r="N288" s="749"/>
      <c r="O288" s="749"/>
    </row>
    <row r="289" spans="1:15" ht="18.5" hidden="1" customHeight="1">
      <c r="A289" s="260" t="s">
        <v>99</v>
      </c>
      <c r="B289" s="260"/>
      <c r="J289" s="749"/>
      <c r="K289" s="749"/>
      <c r="L289" s="749"/>
      <c r="M289" s="749"/>
      <c r="N289" s="749"/>
      <c r="O289" s="749"/>
    </row>
    <row r="290" spans="1:15" ht="18.5" hidden="1" customHeight="1">
      <c r="A290" s="260" t="s">
        <v>100</v>
      </c>
      <c r="B290" s="260"/>
      <c r="J290" s="749"/>
      <c r="K290" s="749"/>
      <c r="L290" s="749"/>
      <c r="M290" s="749"/>
      <c r="N290" s="749"/>
      <c r="O290" s="749"/>
    </row>
    <row r="291" spans="1:15" ht="18.5" hidden="1" customHeight="1">
      <c r="A291" s="260" t="s">
        <v>101</v>
      </c>
      <c r="B291" s="276">
        <v>35000</v>
      </c>
      <c r="J291" s="749"/>
      <c r="K291" s="749"/>
      <c r="L291" s="749"/>
      <c r="M291" s="749"/>
      <c r="N291" s="749"/>
      <c r="O291" s="749"/>
    </row>
    <row r="292" spans="1:15" ht="18.5" hidden="1" customHeight="1">
      <c r="A292" s="260"/>
      <c r="J292" s="749"/>
      <c r="K292" s="749"/>
      <c r="L292" s="749"/>
      <c r="M292" s="749"/>
      <c r="N292" s="749"/>
      <c r="O292" s="749"/>
    </row>
    <row r="293" spans="1:15" ht="18.5" hidden="1" customHeight="1">
      <c r="A293" s="260"/>
      <c r="J293" s="749"/>
      <c r="K293" s="749"/>
      <c r="L293" s="749"/>
      <c r="M293" s="749"/>
      <c r="N293" s="749"/>
      <c r="O293" s="749"/>
    </row>
    <row r="294" spans="1:15" ht="18.5" hidden="1" customHeight="1">
      <c r="A294" s="4" t="s">
        <v>102</v>
      </c>
      <c r="J294" s="749"/>
      <c r="K294" s="749"/>
      <c r="L294" s="749"/>
      <c r="M294" s="749"/>
      <c r="N294" s="749"/>
      <c r="O294" s="749"/>
    </row>
    <row r="295" spans="1:15" ht="18.5" hidden="1" customHeight="1">
      <c r="A295" s="260" t="s">
        <v>67</v>
      </c>
      <c r="J295" s="749"/>
      <c r="K295" s="749"/>
      <c r="L295" s="749"/>
      <c r="M295" s="749"/>
      <c r="N295" s="749"/>
      <c r="O295" s="749"/>
    </row>
    <row r="296" spans="1:15" ht="18.5" hidden="1" customHeight="1">
      <c r="A296" s="260" t="s">
        <v>68</v>
      </c>
      <c r="J296" s="749"/>
      <c r="K296" s="749"/>
      <c r="L296" s="749"/>
      <c r="M296" s="749"/>
      <c r="N296" s="749"/>
      <c r="O296" s="749"/>
    </row>
    <row r="297" spans="1:15" ht="18.5" hidden="1" customHeight="1">
      <c r="A297" s="260" t="s">
        <v>103</v>
      </c>
      <c r="J297" s="749"/>
      <c r="K297" s="749"/>
      <c r="L297" s="749"/>
      <c r="M297" s="749"/>
      <c r="N297" s="749"/>
      <c r="O297" s="749"/>
    </row>
    <row r="298" spans="1:15" ht="18.5" hidden="1" customHeight="1">
      <c r="A298" s="260"/>
      <c r="J298" s="749"/>
      <c r="K298" s="749"/>
      <c r="L298" s="749"/>
      <c r="M298" s="749"/>
      <c r="N298" s="749"/>
      <c r="O298" s="749"/>
    </row>
    <row r="299" spans="1:15" ht="18.5" hidden="1" customHeight="1">
      <c r="A299" s="260"/>
      <c r="J299" s="749"/>
      <c r="K299" s="749"/>
      <c r="L299" s="749"/>
      <c r="M299" s="749"/>
      <c r="N299" s="749"/>
      <c r="O299" s="749"/>
    </row>
    <row r="300" spans="1:15" ht="18.5" hidden="1" customHeight="1">
      <c r="A300" s="260"/>
      <c r="J300" s="749"/>
      <c r="K300" s="749"/>
      <c r="L300" s="749"/>
      <c r="M300" s="749"/>
      <c r="N300" s="749"/>
      <c r="O300" s="749"/>
    </row>
    <row r="301" spans="1:15">
      <c r="A301" s="260"/>
      <c r="J301" s="749"/>
      <c r="K301" s="749"/>
      <c r="L301" s="749"/>
      <c r="M301" s="749"/>
      <c r="N301" s="749"/>
      <c r="O301" s="749"/>
    </row>
    <row r="302" spans="1:15">
      <c r="A302" s="260" t="s">
        <v>104</v>
      </c>
      <c r="J302" s="749"/>
      <c r="K302" s="749"/>
      <c r="L302" s="749"/>
      <c r="M302" s="749"/>
      <c r="N302" s="749"/>
      <c r="O302" s="749"/>
    </row>
    <row r="304" spans="1:15">
      <c r="A304" s="260" t="s">
        <v>105</v>
      </c>
      <c r="J304" s="749"/>
      <c r="K304" s="749"/>
      <c r="L304" s="749"/>
      <c r="M304" s="749"/>
      <c r="N304" s="749"/>
      <c r="O304" s="749"/>
    </row>
    <row r="306" spans="1:15">
      <c r="A306" s="260" t="s">
        <v>106</v>
      </c>
      <c r="J306" s="749"/>
      <c r="K306" s="749"/>
      <c r="L306" s="749"/>
      <c r="M306" s="749"/>
      <c r="N306" s="749"/>
      <c r="O306" s="749"/>
    </row>
    <row r="308" spans="1:15">
      <c r="A308" s="260" t="s">
        <v>107</v>
      </c>
      <c r="B308" s="276">
        <v>5168.7251661157843</v>
      </c>
      <c r="C308" s="260"/>
      <c r="D308" s="260"/>
      <c r="E308" s="260"/>
      <c r="J308" s="749"/>
      <c r="K308" s="749"/>
      <c r="L308" s="749"/>
      <c r="M308" s="749"/>
      <c r="N308" s="749"/>
      <c r="O308" s="749"/>
    </row>
    <row r="309" spans="1:15">
      <c r="A309" s="260"/>
      <c r="B309" s="276">
        <v>1926137650.6707556</v>
      </c>
      <c r="C309" s="260"/>
      <c r="D309" s="260"/>
      <c r="E309" s="260"/>
      <c r="J309" s="749"/>
      <c r="K309" s="749"/>
      <c r="L309" s="749"/>
      <c r="M309" s="749"/>
      <c r="N309" s="749"/>
      <c r="O309" s="749"/>
    </row>
    <row r="310" spans="1:15">
      <c r="A310" s="260" t="s">
        <v>108</v>
      </c>
      <c r="B310" s="260"/>
      <c r="C310" s="260"/>
      <c r="D310" s="260"/>
      <c r="E310" s="260"/>
      <c r="J310" s="749"/>
      <c r="K310" s="749"/>
      <c r="L310" s="749"/>
      <c r="M310" s="749"/>
      <c r="N310" s="749"/>
      <c r="O310" s="749"/>
    </row>
    <row r="311" spans="1:15">
      <c r="A311" s="260" t="s">
        <v>109</v>
      </c>
      <c r="B311" s="260"/>
      <c r="C311" s="260"/>
      <c r="D311" s="260"/>
      <c r="E311" s="260"/>
      <c r="J311" s="749"/>
      <c r="K311" s="749"/>
      <c r="L311" s="749"/>
      <c r="M311" s="749"/>
      <c r="N311" s="749"/>
      <c r="O311" s="749"/>
    </row>
    <row r="312" spans="1:15">
      <c r="A312" s="260" t="s">
        <v>110</v>
      </c>
      <c r="B312" s="260"/>
      <c r="C312" s="260"/>
      <c r="D312" s="276">
        <f>20000*341</f>
        <v>6820000</v>
      </c>
      <c r="E312" s="276">
        <f>20000*341</f>
        <v>6820000</v>
      </c>
      <c r="J312" s="749"/>
      <c r="K312" s="749"/>
      <c r="L312" s="749"/>
      <c r="M312" s="749"/>
      <c r="N312" s="749"/>
      <c r="O312" s="749"/>
    </row>
    <row r="314" spans="1:15">
      <c r="A314" s="14" t="s">
        <v>111</v>
      </c>
      <c r="B314" s="17"/>
      <c r="C314" s="260"/>
      <c r="D314" s="260"/>
      <c r="E314" s="260"/>
      <c r="J314" s="749"/>
      <c r="K314" s="749"/>
      <c r="L314" s="749"/>
      <c r="M314" s="749"/>
      <c r="N314" s="749"/>
      <c r="O314" s="749"/>
    </row>
    <row r="315" spans="1:15">
      <c r="A315" s="260"/>
      <c r="B315" s="18"/>
      <c r="C315" s="260"/>
      <c r="D315" s="260"/>
      <c r="E315" s="260"/>
      <c r="J315" s="749"/>
      <c r="K315" s="749"/>
      <c r="L315" s="749"/>
      <c r="M315" s="749"/>
      <c r="N315" s="749"/>
      <c r="O315" s="749"/>
    </row>
    <row r="317" spans="1:15">
      <c r="A317" s="260"/>
      <c r="B317" s="260"/>
      <c r="C317" s="287">
        <f>C185*2722</f>
        <v>-5424815.4110474065</v>
      </c>
      <c r="D317" s="260"/>
      <c r="E317" s="260"/>
      <c r="J317" s="749"/>
      <c r="K317" s="749"/>
      <c r="L317" s="749"/>
      <c r="M317" s="749"/>
      <c r="N317" s="749"/>
      <c r="O317" s="749"/>
    </row>
    <row r="318" spans="1:15">
      <c r="A318" s="260"/>
      <c r="B318" s="260"/>
      <c r="C318" s="287">
        <f>C320+C317</f>
        <v>276080680.94856876</v>
      </c>
      <c r="D318" s="280">
        <f>C318/2722</f>
        <v>101425.67264826185</v>
      </c>
      <c r="E318" s="280">
        <f>D318/2722</f>
        <v>37.261452111778787</v>
      </c>
      <c r="J318" s="749"/>
      <c r="K318" s="749"/>
      <c r="L318" s="749"/>
      <c r="M318" s="749"/>
      <c r="N318" s="749"/>
      <c r="O318" s="749"/>
    </row>
    <row r="319" spans="1:15">
      <c r="A319" s="260" t="s">
        <v>112</v>
      </c>
      <c r="B319" s="260"/>
      <c r="C319" s="276">
        <f>(C185+C189)*(-2722)</f>
        <v>434645524.7354247</v>
      </c>
      <c r="D319" s="260"/>
      <c r="E319" s="260"/>
      <c r="J319" s="749"/>
      <c r="K319" s="749"/>
      <c r="L319" s="749"/>
      <c r="M319" s="749"/>
      <c r="N319" s="749"/>
      <c r="O319" s="749"/>
    </row>
    <row r="320" spans="1:15">
      <c r="A320" s="260" t="s">
        <v>113</v>
      </c>
      <c r="B320" s="260"/>
      <c r="C320" s="276">
        <v>281505496.35961616</v>
      </c>
      <c r="D320" s="260"/>
      <c r="E320" s="260"/>
      <c r="J320" s="749"/>
      <c r="K320" s="749"/>
      <c r="L320" s="749"/>
      <c r="M320" s="749"/>
      <c r="N320" s="749"/>
      <c r="O320" s="749"/>
    </row>
    <row r="324" spans="3:15">
      <c r="C324" s="276">
        <v>5842.054961732525</v>
      </c>
      <c r="J324" s="749"/>
      <c r="K324" s="749"/>
      <c r="L324" s="749"/>
      <c r="M324" s="749"/>
      <c r="N324" s="749"/>
      <c r="O324" s="749"/>
    </row>
    <row r="326" spans="3:15">
      <c r="C326" s="276">
        <f>C324*C185</f>
        <v>-11642935.263994331</v>
      </c>
      <c r="J326" s="749"/>
      <c r="K326" s="749"/>
      <c r="L326" s="749"/>
      <c r="M326" s="749"/>
      <c r="N326" s="749"/>
      <c r="O326" s="749"/>
    </row>
    <row r="327" spans="3:15">
      <c r="J327" s="749"/>
      <c r="K327" s="749"/>
      <c r="L327" s="749"/>
      <c r="M327" s="749"/>
      <c r="N327" s="749"/>
      <c r="O327" s="749"/>
    </row>
  </sheetData>
  <mergeCells count="307">
    <mergeCell ref="J326:O326"/>
    <mergeCell ref="J327:O327"/>
    <mergeCell ref="J315:O315"/>
    <mergeCell ref="J317:O317"/>
    <mergeCell ref="J318:O318"/>
    <mergeCell ref="J319:O319"/>
    <mergeCell ref="J320:O320"/>
    <mergeCell ref="J324:O324"/>
    <mergeCell ref="J308:O308"/>
    <mergeCell ref="J309:O309"/>
    <mergeCell ref="J310:O310"/>
    <mergeCell ref="J311:O311"/>
    <mergeCell ref="J312:O312"/>
    <mergeCell ref="J314:O314"/>
    <mergeCell ref="J299:O299"/>
    <mergeCell ref="J300:O300"/>
    <mergeCell ref="J301:O301"/>
    <mergeCell ref="J302:O302"/>
    <mergeCell ref="J304:O304"/>
    <mergeCell ref="J306:O306"/>
    <mergeCell ref="J293:O293"/>
    <mergeCell ref="J294:O294"/>
    <mergeCell ref="J295:O295"/>
    <mergeCell ref="J296:O296"/>
    <mergeCell ref="J297:O297"/>
    <mergeCell ref="J298:O298"/>
    <mergeCell ref="J287:O287"/>
    <mergeCell ref="J288:O288"/>
    <mergeCell ref="J289:O289"/>
    <mergeCell ref="J290:O290"/>
    <mergeCell ref="J291:O291"/>
    <mergeCell ref="J292:O292"/>
    <mergeCell ref="J281:O281"/>
    <mergeCell ref="J282:O282"/>
    <mergeCell ref="J283:O283"/>
    <mergeCell ref="J284:O284"/>
    <mergeCell ref="J285:O285"/>
    <mergeCell ref="J286:O286"/>
    <mergeCell ref="J275:O275"/>
    <mergeCell ref="J276:O276"/>
    <mergeCell ref="J277:O277"/>
    <mergeCell ref="J278:O278"/>
    <mergeCell ref="J279:O279"/>
    <mergeCell ref="J280:O280"/>
    <mergeCell ref="J269:O269"/>
    <mergeCell ref="J270:O270"/>
    <mergeCell ref="J271:O271"/>
    <mergeCell ref="J272:O272"/>
    <mergeCell ref="J273:O273"/>
    <mergeCell ref="J274:O274"/>
    <mergeCell ref="J263:O263"/>
    <mergeCell ref="J264:O264"/>
    <mergeCell ref="J265:O265"/>
    <mergeCell ref="J266:O266"/>
    <mergeCell ref="J267:O267"/>
    <mergeCell ref="J268:O268"/>
    <mergeCell ref="J257:O257"/>
    <mergeCell ref="J258:O258"/>
    <mergeCell ref="J259:O259"/>
    <mergeCell ref="J260:O260"/>
    <mergeCell ref="J261:O261"/>
    <mergeCell ref="J262:O262"/>
    <mergeCell ref="J251:O251"/>
    <mergeCell ref="J252:O252"/>
    <mergeCell ref="J253:O253"/>
    <mergeCell ref="J254:O254"/>
    <mergeCell ref="J255:O255"/>
    <mergeCell ref="J256:O256"/>
    <mergeCell ref="J245:O245"/>
    <mergeCell ref="J246:O246"/>
    <mergeCell ref="J247:O247"/>
    <mergeCell ref="J248:O248"/>
    <mergeCell ref="J249:O249"/>
    <mergeCell ref="J250:O250"/>
    <mergeCell ref="J239:O239"/>
    <mergeCell ref="J240:O240"/>
    <mergeCell ref="J241:O241"/>
    <mergeCell ref="J242:O242"/>
    <mergeCell ref="J243:O243"/>
    <mergeCell ref="J244:O244"/>
    <mergeCell ref="J233:O233"/>
    <mergeCell ref="J234:O234"/>
    <mergeCell ref="J235:O235"/>
    <mergeCell ref="J236:O236"/>
    <mergeCell ref="J237:O237"/>
    <mergeCell ref="J238:O238"/>
    <mergeCell ref="J227:O227"/>
    <mergeCell ref="J228:O228"/>
    <mergeCell ref="J229:O229"/>
    <mergeCell ref="J230:O230"/>
    <mergeCell ref="J231:O231"/>
    <mergeCell ref="J232:O232"/>
    <mergeCell ref="J221:O221"/>
    <mergeCell ref="J222:O222"/>
    <mergeCell ref="J223:O223"/>
    <mergeCell ref="J224:O224"/>
    <mergeCell ref="J225:O225"/>
    <mergeCell ref="J226:O226"/>
    <mergeCell ref="J202:O202"/>
    <mergeCell ref="J203:O203"/>
    <mergeCell ref="J204:O204"/>
    <mergeCell ref="J205:O205"/>
    <mergeCell ref="J206:O206"/>
    <mergeCell ref="J207:O207"/>
    <mergeCell ref="J196:O196"/>
    <mergeCell ref="J197:O197"/>
    <mergeCell ref="J198:O198"/>
    <mergeCell ref="J199:O199"/>
    <mergeCell ref="J200:O200"/>
    <mergeCell ref="J201:O201"/>
    <mergeCell ref="J190:O190"/>
    <mergeCell ref="J191:O191"/>
    <mergeCell ref="J192:O192"/>
    <mergeCell ref="J193:O193"/>
    <mergeCell ref="J194:O194"/>
    <mergeCell ref="J195:O195"/>
    <mergeCell ref="J184:O184"/>
    <mergeCell ref="J185:O185"/>
    <mergeCell ref="J186:O186"/>
    <mergeCell ref="J187:O187"/>
    <mergeCell ref="J188:O188"/>
    <mergeCell ref="J189:O189"/>
    <mergeCell ref="J178:O178"/>
    <mergeCell ref="J179:O179"/>
    <mergeCell ref="J180:O180"/>
    <mergeCell ref="J181:O181"/>
    <mergeCell ref="J182:O182"/>
    <mergeCell ref="J183:O183"/>
    <mergeCell ref="J174:O174"/>
    <mergeCell ref="J175:O175"/>
    <mergeCell ref="J176:O176"/>
    <mergeCell ref="J177:O177"/>
    <mergeCell ref="J164:O164"/>
    <mergeCell ref="J165:O165"/>
    <mergeCell ref="J166:O166"/>
    <mergeCell ref="J170:O170"/>
    <mergeCell ref="J171:O171"/>
    <mergeCell ref="J172:O172"/>
    <mergeCell ref="J173:O173"/>
    <mergeCell ref="J167:O167"/>
    <mergeCell ref="J168:O168"/>
    <mergeCell ref="J169:O169"/>
    <mergeCell ref="H161:H163"/>
    <mergeCell ref="J161:O161"/>
    <mergeCell ref="J162:O162"/>
    <mergeCell ref="J163:O163"/>
    <mergeCell ref="J155:O155"/>
    <mergeCell ref="J156:O156"/>
    <mergeCell ref="J157:O157"/>
    <mergeCell ref="J158:O158"/>
    <mergeCell ref="J159:O159"/>
    <mergeCell ref="J160:O160"/>
    <mergeCell ref="J149:O149"/>
    <mergeCell ref="J150:O150"/>
    <mergeCell ref="J151:O151"/>
    <mergeCell ref="J152:O152"/>
    <mergeCell ref="J153:O153"/>
    <mergeCell ref="J154:O154"/>
    <mergeCell ref="J143:O143"/>
    <mergeCell ref="J144:O144"/>
    <mergeCell ref="J145:O145"/>
    <mergeCell ref="J146:O146"/>
    <mergeCell ref="J147:O147"/>
    <mergeCell ref="J148:O148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19:O119"/>
    <mergeCell ref="J120:O120"/>
    <mergeCell ref="J121:O121"/>
    <mergeCell ref="J122:O122"/>
    <mergeCell ref="J123:O123"/>
    <mergeCell ref="J124:O124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95:O95"/>
    <mergeCell ref="J96:O96"/>
    <mergeCell ref="J97:O97"/>
    <mergeCell ref="J98:O98"/>
    <mergeCell ref="J99:O99"/>
    <mergeCell ref="J100:O100"/>
    <mergeCell ref="J89:O89"/>
    <mergeCell ref="J90:O90"/>
    <mergeCell ref="J91:O91"/>
    <mergeCell ref="J92:O92"/>
    <mergeCell ref="J93:O93"/>
    <mergeCell ref="J94:O94"/>
    <mergeCell ref="J83:O83"/>
    <mergeCell ref="J84:O84"/>
    <mergeCell ref="J85:O85"/>
    <mergeCell ref="J86:O86"/>
    <mergeCell ref="J87:O87"/>
    <mergeCell ref="J88:O88"/>
    <mergeCell ref="J77:O77"/>
    <mergeCell ref="J78:O78"/>
    <mergeCell ref="J79:O79"/>
    <mergeCell ref="J80:O80"/>
    <mergeCell ref="J81:O81"/>
    <mergeCell ref="J82:O82"/>
    <mergeCell ref="J71:O71"/>
    <mergeCell ref="J72:O72"/>
    <mergeCell ref="J73:O73"/>
    <mergeCell ref="J74:O74"/>
    <mergeCell ref="J75:O75"/>
    <mergeCell ref="J76:O76"/>
    <mergeCell ref="J65:O65"/>
    <mergeCell ref="J66:O66"/>
    <mergeCell ref="J67:O67"/>
    <mergeCell ref="J68:O68"/>
    <mergeCell ref="J69:O69"/>
    <mergeCell ref="J70:O70"/>
    <mergeCell ref="J59:O59"/>
    <mergeCell ref="J60:O60"/>
    <mergeCell ref="J61:O61"/>
    <mergeCell ref="J62:O62"/>
    <mergeCell ref="J63:O63"/>
    <mergeCell ref="J64:O64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33:O33"/>
    <mergeCell ref="J34:O34"/>
    <mergeCell ref="J35:O35"/>
    <mergeCell ref="J36:O36"/>
    <mergeCell ref="J37:O37"/>
    <mergeCell ref="J38:O38"/>
    <mergeCell ref="J39:O39"/>
    <mergeCell ref="J40:O40"/>
    <mergeCell ref="J27:O27"/>
    <mergeCell ref="J28:O28"/>
    <mergeCell ref="J29:O29"/>
    <mergeCell ref="J30:O30"/>
    <mergeCell ref="J31:O31"/>
    <mergeCell ref="J32:O32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15:O15"/>
    <mergeCell ref="J16:O16"/>
    <mergeCell ref="J17:O17"/>
    <mergeCell ref="J6:O6"/>
    <mergeCell ref="J7:O7"/>
    <mergeCell ref="J8:O8"/>
    <mergeCell ref="J9:O9"/>
    <mergeCell ref="J10:O10"/>
    <mergeCell ref="J11:O11"/>
    <mergeCell ref="C1:H1"/>
    <mergeCell ref="J1:O1"/>
    <mergeCell ref="J2:O2"/>
    <mergeCell ref="J3:O3"/>
    <mergeCell ref="J4:O4"/>
    <mergeCell ref="J5:O5"/>
    <mergeCell ref="J12:O12"/>
    <mergeCell ref="J13:O13"/>
    <mergeCell ref="J14:O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4333-2369-4E89-9832-F6DE8CB61989}">
  <sheetPr codeName="Sheet8"/>
  <dimension ref="A1:Q329"/>
  <sheetViews>
    <sheetView showGridLines="0" zoomScale="66" zoomScaleNormal="66" workbookViewId="0">
      <pane xSplit="3" ySplit="14" topLeftCell="D15" activePane="bottomRight" state="frozen"/>
      <selection pane="topRight" activeCell="C171" sqref="C171:C175"/>
      <selection pane="bottomLeft" activeCell="C171" sqref="C171:C175"/>
      <selection pane="bottomRight" activeCell="J182" sqref="J182"/>
    </sheetView>
  </sheetViews>
  <sheetFormatPr defaultColWidth="8.58203125" defaultRowHeight="14.5" outlineLevelRow="1"/>
  <cols>
    <col min="1" max="1" width="5.83203125" style="60" customWidth="1"/>
    <col min="2" max="2" width="29.5" style="60" customWidth="1"/>
    <col min="3" max="3" width="12.58203125" style="60" bestFit="1" customWidth="1"/>
    <col min="4" max="4" width="14" style="60" customWidth="1"/>
    <col min="5" max="5" width="15.25" style="60" bestFit="1" customWidth="1"/>
    <col min="6" max="6" width="14.33203125" style="60" bestFit="1" customWidth="1"/>
    <col min="7" max="7" width="12.33203125" style="60" bestFit="1" customWidth="1"/>
    <col min="8" max="8" width="13.83203125" style="60" customWidth="1"/>
    <col min="9" max="9" width="13.75" style="60" customWidth="1"/>
    <col min="10" max="10" width="47.58203125" style="481" bestFit="1" customWidth="1"/>
    <col min="11" max="11" width="12.58203125" style="480" customWidth="1"/>
    <col min="12" max="12" width="15.25" style="480" bestFit="1" customWidth="1"/>
    <col min="13" max="13" width="14.33203125" style="480" bestFit="1" customWidth="1"/>
    <col min="14" max="14" width="12.33203125" style="480" bestFit="1" customWidth="1"/>
    <col min="15" max="15" width="13.83203125" style="480" customWidth="1"/>
    <col min="16" max="16" width="13.5" style="480" customWidth="1"/>
    <col min="17" max="17" width="8.58203125" style="481"/>
    <col min="18" max="16384" width="8.58203125" style="60"/>
  </cols>
  <sheetData>
    <row r="1" spans="2:17">
      <c r="D1" s="749"/>
      <c r="E1" s="749"/>
      <c r="F1" s="749"/>
      <c r="G1" s="749"/>
      <c r="H1" s="749"/>
      <c r="I1" s="749"/>
      <c r="K1" s="749"/>
      <c r="L1" s="749"/>
      <c r="M1" s="749"/>
      <c r="N1" s="749"/>
      <c r="O1" s="749"/>
      <c r="P1" s="749"/>
    </row>
    <row r="2" spans="2:17" s="62" customFormat="1" ht="6" customHeight="1">
      <c r="B2" s="15" t="s">
        <v>0</v>
      </c>
      <c r="C2" s="15"/>
      <c r="D2" s="16"/>
      <c r="E2" s="15"/>
      <c r="F2" s="15"/>
      <c r="G2" s="15"/>
      <c r="H2" s="15"/>
      <c r="I2" s="15"/>
      <c r="J2" s="481"/>
      <c r="K2" s="749"/>
      <c r="L2" s="749"/>
      <c r="M2" s="749"/>
      <c r="N2" s="749"/>
      <c r="O2" s="749"/>
      <c r="P2" s="749"/>
      <c r="Q2" s="481"/>
    </row>
    <row r="3" spans="2:17" s="64" customFormat="1">
      <c r="B3" s="24" t="s">
        <v>1</v>
      </c>
      <c r="C3" s="63"/>
      <c r="D3" s="48" t="s">
        <v>421</v>
      </c>
      <c r="E3" s="48" t="s">
        <v>422</v>
      </c>
      <c r="F3" s="48" t="s">
        <v>423</v>
      </c>
      <c r="G3" s="48" t="s">
        <v>5</v>
      </c>
      <c r="H3" s="48" t="s">
        <v>6</v>
      </c>
      <c r="I3" s="48" t="s">
        <v>7</v>
      </c>
      <c r="J3" s="481"/>
      <c r="K3" s="749"/>
      <c r="L3" s="749"/>
      <c r="M3" s="749"/>
      <c r="N3" s="749"/>
      <c r="O3" s="749"/>
      <c r="P3" s="749"/>
      <c r="Q3" s="481"/>
    </row>
    <row r="4" spans="2:17" ht="6.75" customHeight="1">
      <c r="B4" s="260"/>
      <c r="C4" s="260"/>
      <c r="D4" s="260"/>
      <c r="E4" s="260"/>
      <c r="F4" s="260"/>
      <c r="G4" s="260"/>
      <c r="H4" s="260"/>
      <c r="I4" s="260"/>
      <c r="K4" s="749"/>
      <c r="L4" s="749"/>
      <c r="M4" s="749"/>
      <c r="N4" s="749"/>
      <c r="O4" s="749"/>
      <c r="P4" s="749"/>
    </row>
    <row r="5" spans="2:17">
      <c r="B5" s="260" t="s">
        <v>8</v>
      </c>
      <c r="C5" s="4"/>
      <c r="D5" s="17">
        <f>Model_Summary!F519</f>
        <v>7.0980720081469884E-2</v>
      </c>
      <c r="E5" s="17">
        <f>Model_Summary!G519</f>
        <v>6.0024908213089367E-2</v>
      </c>
      <c r="F5" s="17">
        <f>Model_Summary!H519</f>
        <v>6.2979943202299382E-2</v>
      </c>
      <c r="G5" s="17">
        <f>Model_Summary!I519</f>
        <v>0.10715764404203197</v>
      </c>
      <c r="H5" s="17">
        <f>Model_Summary!J519</f>
        <v>9.4278345471185743E-2</v>
      </c>
      <c r="I5" s="17">
        <f>Model_Summary!K519</f>
        <v>7.7095740520046613E-2</v>
      </c>
      <c r="K5" s="749"/>
      <c r="L5" s="749"/>
      <c r="M5" s="749"/>
      <c r="N5" s="749"/>
      <c r="O5" s="749"/>
      <c r="P5" s="749"/>
    </row>
    <row r="6" spans="2:17" ht="15" customHeight="1">
      <c r="B6" s="260" t="s">
        <v>9</v>
      </c>
      <c r="C6" s="4"/>
      <c r="D6" s="17">
        <f>Model_Summary!F520</f>
        <v>4.3099999999999999E-2</v>
      </c>
      <c r="E6" s="17">
        <f>Model_Summary!G520</f>
        <v>3.5900000000000001E-2</v>
      </c>
      <c r="F6" s="17">
        <f>Model_Summary!H520</f>
        <v>3.7900000000000003E-2</v>
      </c>
      <c r="G6" s="17">
        <f>Model_Summary!I520</f>
        <v>6.7500000000000004E-2</v>
      </c>
      <c r="H6" s="17">
        <f>Model_Summary!J520</f>
        <v>5.8599999999999999E-2</v>
      </c>
      <c r="I6" s="17">
        <f>Model_Summary!K520</f>
        <v>4.7199999999999999E-2</v>
      </c>
      <c r="K6" s="749"/>
      <c r="L6" s="749"/>
      <c r="M6" s="749"/>
      <c r="N6" s="749"/>
      <c r="O6" s="749"/>
      <c r="P6" s="749"/>
    </row>
    <row r="7" spans="2:17" ht="15" customHeight="1">
      <c r="B7" s="260" t="s">
        <v>10</v>
      </c>
      <c r="C7" s="4"/>
      <c r="D7" s="18">
        <f>Model_Summary!F521</f>
        <v>11</v>
      </c>
      <c r="E7" s="18">
        <f>Model_Summary!G521</f>
        <v>11</v>
      </c>
      <c r="F7" s="18">
        <f>Model_Summary!H521</f>
        <v>12</v>
      </c>
      <c r="G7" s="18">
        <f>Model_Summary!I521</f>
        <v>9</v>
      </c>
      <c r="H7" s="18">
        <f>Model_Summary!J521</f>
        <v>9</v>
      </c>
      <c r="I7" s="18">
        <f>Model_Summary!K521</f>
        <v>11</v>
      </c>
      <c r="K7" s="749"/>
      <c r="L7" s="749"/>
      <c r="M7" s="749"/>
      <c r="N7" s="749"/>
      <c r="O7" s="749"/>
      <c r="P7" s="749"/>
    </row>
    <row r="8" spans="2:17" ht="15" customHeight="1">
      <c r="B8" s="260" t="s">
        <v>11</v>
      </c>
      <c r="C8" s="4"/>
      <c r="D8" s="17">
        <f>Model_Summary!F522</f>
        <v>0.13500000000000001</v>
      </c>
      <c r="E8" s="17">
        <f>Model_Summary!G522</f>
        <v>0.13500000000000001</v>
      </c>
      <c r="F8" s="17">
        <f>Model_Summary!H522</f>
        <v>0.13500000000000001</v>
      </c>
      <c r="G8" s="17">
        <f>Model_Summary!I522</f>
        <v>0.13500000000000001</v>
      </c>
      <c r="H8" s="17">
        <f>Model_Summary!J522</f>
        <v>0.13500000000000001</v>
      </c>
      <c r="I8" s="17">
        <f>Model_Summary!K522</f>
        <v>0.13500000000000001</v>
      </c>
      <c r="K8" s="749"/>
      <c r="L8" s="749"/>
      <c r="M8" s="749"/>
      <c r="N8" s="749"/>
      <c r="O8" s="749"/>
      <c r="P8" s="749"/>
    </row>
    <row r="9" spans="2:17">
      <c r="B9" s="274" t="s">
        <v>12</v>
      </c>
      <c r="C9" s="274"/>
      <c r="D9" s="27">
        <f>Model_Summary!F523</f>
        <v>0.128</v>
      </c>
      <c r="E9" s="27">
        <f>Model_Summary!G523</f>
        <v>5.1999999999999998E-2</v>
      </c>
      <c r="F9" s="27">
        <f>Model_Summary!H523</f>
        <v>7.0000000000000007E-2</v>
      </c>
      <c r="G9" s="27">
        <f>Model_Summary!I523</f>
        <v>0.29799999999999999</v>
      </c>
      <c r="H9" s="27">
        <f>Model_Summary!J523</f>
        <v>0.155</v>
      </c>
      <c r="I9" s="27">
        <f>Model_Summary!K523</f>
        <v>0.13100000000000001</v>
      </c>
      <c r="K9" s="754"/>
      <c r="L9" s="754"/>
      <c r="M9" s="754"/>
      <c r="N9" s="754"/>
      <c r="O9" s="754"/>
      <c r="P9" s="754"/>
    </row>
    <row r="10" spans="2:17" ht="3" customHeight="1">
      <c r="B10" s="260"/>
      <c r="C10" s="260"/>
      <c r="D10" s="2"/>
      <c r="E10" s="2"/>
      <c r="F10" s="2"/>
      <c r="G10" s="2"/>
      <c r="H10" s="2"/>
      <c r="I10" s="2"/>
      <c r="K10" s="749"/>
      <c r="L10" s="749"/>
      <c r="M10" s="749"/>
      <c r="N10" s="749"/>
      <c r="O10" s="749"/>
      <c r="P10" s="749"/>
    </row>
    <row r="11" spans="2:17">
      <c r="B11" s="260" t="s">
        <v>13</v>
      </c>
      <c r="C11" s="260"/>
      <c r="D11" s="18">
        <f>Model_Summary!F$14</f>
        <v>1</v>
      </c>
      <c r="E11" s="18">
        <f>Model_Summary!G$14</f>
        <v>1</v>
      </c>
      <c r="F11" s="18">
        <f>Model_Summary!H$14</f>
        <v>1</v>
      </c>
      <c r="G11" s="18">
        <f>Model_Summary!I$14</f>
        <v>1</v>
      </c>
      <c r="H11" s="18">
        <f>Model_Summary!J$14</f>
        <v>1</v>
      </c>
      <c r="I11" s="18">
        <f>Model_Summary!K$14</f>
        <v>1</v>
      </c>
      <c r="K11" s="749"/>
      <c r="L11" s="749"/>
      <c r="M11" s="749"/>
      <c r="N11" s="749"/>
      <c r="O11" s="749"/>
      <c r="P11" s="749"/>
    </row>
    <row r="12" spans="2:17">
      <c r="B12" s="260" t="s">
        <v>14</v>
      </c>
      <c r="C12" s="276"/>
      <c r="D12" s="18">
        <f>Model_Summary!F516</f>
        <v>0</v>
      </c>
      <c r="E12" s="18">
        <f>Model_Summary!G516</f>
        <v>607542</v>
      </c>
      <c r="F12" s="18">
        <f>Model_Summary!H516</f>
        <v>827959</v>
      </c>
      <c r="G12" s="18">
        <f>Model_Summary!I516</f>
        <v>0</v>
      </c>
      <c r="H12" s="18">
        <f>Model_Summary!J516</f>
        <v>1384287</v>
      </c>
      <c r="I12" s="18">
        <f>Model_Summary!K516</f>
        <v>657933</v>
      </c>
      <c r="K12" s="749"/>
      <c r="L12" s="749"/>
      <c r="M12" s="749"/>
      <c r="N12" s="749"/>
      <c r="O12" s="749"/>
      <c r="P12" s="749"/>
    </row>
    <row r="13" spans="2:17">
      <c r="B13" s="260"/>
      <c r="C13" s="276"/>
      <c r="D13" s="276"/>
      <c r="E13" s="276"/>
      <c r="F13" s="276"/>
      <c r="G13" s="276"/>
      <c r="H13" s="276"/>
      <c r="I13" s="276"/>
      <c r="K13" s="749"/>
      <c r="L13" s="749"/>
      <c r="M13" s="749"/>
      <c r="N13" s="749"/>
      <c r="O13" s="749"/>
      <c r="P13" s="749"/>
    </row>
    <row r="14" spans="2:17" ht="15" thickBot="1">
      <c r="B14" s="2" t="s">
        <v>15</v>
      </c>
      <c r="C14" s="260"/>
      <c r="D14" s="19">
        <f t="shared" ref="D14:I14" si="0">D11*D12</f>
        <v>0</v>
      </c>
      <c r="E14" s="19">
        <f t="shared" si="0"/>
        <v>607542</v>
      </c>
      <c r="F14" s="19">
        <f t="shared" si="0"/>
        <v>827959</v>
      </c>
      <c r="G14" s="19">
        <f t="shared" si="0"/>
        <v>0</v>
      </c>
      <c r="H14" s="19">
        <f t="shared" si="0"/>
        <v>1384287</v>
      </c>
      <c r="I14" s="19">
        <f t="shared" si="0"/>
        <v>657933</v>
      </c>
      <c r="K14" s="749"/>
      <c r="L14" s="749"/>
      <c r="M14" s="749"/>
      <c r="N14" s="749"/>
      <c r="O14" s="749"/>
      <c r="P14" s="749"/>
    </row>
    <row r="15" spans="2:17" ht="15" thickTop="1">
      <c r="B15" s="260" t="s">
        <v>16</v>
      </c>
      <c r="C15" s="260"/>
      <c r="D15" s="65">
        <f>Model_Summary!F518</f>
        <v>0.15</v>
      </c>
      <c r="E15" s="65">
        <f>Model_Summary!G518</f>
        <v>0.88</v>
      </c>
      <c r="F15" s="65">
        <f>Model_Summary!H518</f>
        <v>0.9</v>
      </c>
      <c r="G15" s="65">
        <f>Model_Summary!I518</f>
        <v>0.06</v>
      </c>
      <c r="H15" s="65">
        <f>Model_Summary!J518</f>
        <v>0.79</v>
      </c>
      <c r="I15" s="65">
        <f>Model_Summary!K518</f>
        <v>0.2</v>
      </c>
      <c r="K15" s="749"/>
      <c r="L15" s="749"/>
      <c r="M15" s="749"/>
      <c r="N15" s="749"/>
      <c r="O15" s="749"/>
      <c r="P15" s="749"/>
    </row>
    <row r="16" spans="2:17">
      <c r="B16" s="260" t="s">
        <v>17</v>
      </c>
      <c r="C16" s="260"/>
      <c r="D16" s="277">
        <f t="shared" ref="D16:I16" si="1">(D11/D15)</f>
        <v>6.666666666666667</v>
      </c>
      <c r="E16" s="277">
        <f t="shared" si="1"/>
        <v>1.1363636363636365</v>
      </c>
      <c r="F16" s="277">
        <f t="shared" si="1"/>
        <v>1.1111111111111112</v>
      </c>
      <c r="G16" s="277">
        <f t="shared" si="1"/>
        <v>16.666666666666668</v>
      </c>
      <c r="H16" s="277">
        <f t="shared" si="1"/>
        <v>1.2658227848101264</v>
      </c>
      <c r="I16" s="277">
        <f t="shared" si="1"/>
        <v>5</v>
      </c>
      <c r="K16" s="749"/>
      <c r="L16" s="749"/>
      <c r="M16" s="749"/>
      <c r="N16" s="749"/>
      <c r="O16" s="749"/>
      <c r="P16" s="749"/>
    </row>
    <row r="17" spans="1:17">
      <c r="B17" s="2" t="s">
        <v>18</v>
      </c>
      <c r="C17" s="260"/>
      <c r="D17" s="17"/>
      <c r="E17" s="17"/>
      <c r="F17" s="17"/>
      <c r="G17" s="17"/>
      <c r="H17" s="17"/>
      <c r="I17" s="17"/>
      <c r="K17" s="749"/>
      <c r="L17" s="749"/>
      <c r="M17" s="749"/>
      <c r="N17" s="749"/>
      <c r="O17" s="749"/>
      <c r="P17" s="749"/>
    </row>
    <row r="18" spans="1:17">
      <c r="A18" s="260"/>
      <c r="B18" s="2" t="s">
        <v>19</v>
      </c>
      <c r="C18" s="260"/>
      <c r="D18" s="277">
        <f t="shared" ref="D18:I18" si="2">D$17*D14</f>
        <v>0</v>
      </c>
      <c r="E18" s="277">
        <f t="shared" si="2"/>
        <v>0</v>
      </c>
      <c r="F18" s="277">
        <f t="shared" si="2"/>
        <v>0</v>
      </c>
      <c r="G18" s="277">
        <f t="shared" si="2"/>
        <v>0</v>
      </c>
      <c r="H18" s="277">
        <f t="shared" si="2"/>
        <v>0</v>
      </c>
      <c r="I18" s="277">
        <f t="shared" si="2"/>
        <v>0</v>
      </c>
      <c r="K18" s="749"/>
      <c r="L18" s="749"/>
      <c r="M18" s="749"/>
      <c r="N18" s="749"/>
      <c r="O18" s="749"/>
      <c r="P18" s="749"/>
    </row>
    <row r="19" spans="1:17" s="62" customFormat="1">
      <c r="A19" s="273"/>
      <c r="B19" s="26"/>
      <c r="C19" s="260"/>
      <c r="D19" s="260"/>
      <c r="E19" s="260"/>
      <c r="F19" s="260"/>
      <c r="G19" s="260"/>
      <c r="H19" s="260"/>
      <c r="I19" s="260"/>
      <c r="J19" s="481"/>
      <c r="K19" s="749"/>
      <c r="L19" s="749"/>
      <c r="M19" s="749"/>
      <c r="N19" s="749"/>
      <c r="O19" s="749"/>
      <c r="P19" s="749"/>
      <c r="Q19" s="481"/>
    </row>
    <row r="20" spans="1:17">
      <c r="A20" s="260"/>
      <c r="B20" s="2" t="s">
        <v>11</v>
      </c>
      <c r="C20" s="260"/>
      <c r="D20" s="278">
        <f t="shared" ref="D20:I20" si="3">D8</f>
        <v>0.13500000000000001</v>
      </c>
      <c r="E20" s="278">
        <f>Model_Summary!G522</f>
        <v>0.13500000000000001</v>
      </c>
      <c r="F20" s="278">
        <f t="shared" si="3"/>
        <v>0.13500000000000001</v>
      </c>
      <c r="G20" s="278">
        <f t="shared" si="3"/>
        <v>0.13500000000000001</v>
      </c>
      <c r="H20" s="278">
        <f t="shared" si="3"/>
        <v>0.13500000000000001</v>
      </c>
      <c r="I20" s="278">
        <f t="shared" si="3"/>
        <v>0.13500000000000001</v>
      </c>
      <c r="K20" s="749"/>
      <c r="L20" s="749"/>
      <c r="M20" s="749"/>
      <c r="N20" s="749"/>
      <c r="O20" s="749"/>
      <c r="P20" s="749"/>
    </row>
    <row r="21" spans="1:17">
      <c r="A21" s="260"/>
      <c r="B21" s="260"/>
      <c r="C21" s="260"/>
      <c r="D21" s="260"/>
      <c r="E21" s="260"/>
      <c r="F21" s="260"/>
      <c r="G21" s="260"/>
      <c r="H21" s="260"/>
      <c r="I21" s="260"/>
      <c r="K21" s="749"/>
      <c r="L21" s="749"/>
      <c r="M21" s="749"/>
      <c r="N21" s="749"/>
      <c r="O21" s="749"/>
      <c r="P21" s="749"/>
    </row>
    <row r="22" spans="1:17" ht="15" hidden="1" customHeight="1" outlineLevel="1">
      <c r="A22" s="260"/>
      <c r="B22" s="6" t="s">
        <v>20</v>
      </c>
      <c r="C22" s="2"/>
      <c r="D22" s="260"/>
      <c r="E22" s="260"/>
      <c r="F22" s="260"/>
      <c r="G22" s="260"/>
      <c r="H22" s="260"/>
      <c r="I22" s="260"/>
      <c r="K22" s="749"/>
      <c r="L22" s="749"/>
      <c r="M22" s="749"/>
      <c r="N22" s="749"/>
      <c r="O22" s="749"/>
      <c r="P22" s="749"/>
    </row>
    <row r="23" spans="1:17" ht="15" hidden="1" customHeight="1" outlineLevel="1">
      <c r="A23" s="753" t="s">
        <v>21</v>
      </c>
      <c r="B23" s="7" t="s">
        <v>22</v>
      </c>
      <c r="C23" s="260">
        <v>1</v>
      </c>
      <c r="D23" s="279">
        <f t="shared" ref="D23:I32" si="4">IFERROR(PPMT(D$101,$C23,D$102,D$103),0)</f>
        <v>0</v>
      </c>
      <c r="E23" s="279">
        <f t="shared" si="4"/>
        <v>-40574.195923495754</v>
      </c>
      <c r="F23" s="279">
        <f t="shared" si="4"/>
        <v>-48231.418639503499</v>
      </c>
      <c r="G23" s="279">
        <f t="shared" si="4"/>
        <v>0</v>
      </c>
      <c r="H23" s="279">
        <f t="shared" si="4"/>
        <v>-104420.59684942813</v>
      </c>
      <c r="I23" s="279">
        <f t="shared" si="4"/>
        <v>-40142.696661515016</v>
      </c>
      <c r="K23" s="749"/>
      <c r="L23" s="749"/>
      <c r="M23" s="749"/>
      <c r="N23" s="749"/>
      <c r="O23" s="749"/>
      <c r="P23" s="749"/>
    </row>
    <row r="24" spans="1:17" ht="15" hidden="1" customHeight="1" outlineLevel="1">
      <c r="A24" s="753"/>
      <c r="B24" s="7" t="s">
        <v>23</v>
      </c>
      <c r="C24" s="260">
        <v>2</v>
      </c>
      <c r="D24" s="279">
        <f t="shared" si="4"/>
        <v>0</v>
      </c>
      <c r="E24" s="279">
        <f t="shared" si="4"/>
        <v>-43009.658309623483</v>
      </c>
      <c r="F24" s="279">
        <f t="shared" si="4"/>
        <v>-51269.030645985767</v>
      </c>
      <c r="G24" s="279">
        <f t="shared" si="4"/>
        <v>0</v>
      </c>
      <c r="H24" s="279">
        <f t="shared" si="4"/>
        <v>-114265.19795350594</v>
      </c>
      <c r="I24" s="279">
        <f t="shared" si="4"/>
        <v>-43237.527587106117</v>
      </c>
      <c r="K24" s="749"/>
      <c r="L24" s="749"/>
      <c r="M24" s="749"/>
      <c r="N24" s="749"/>
      <c r="O24" s="749"/>
      <c r="P24" s="749"/>
    </row>
    <row r="25" spans="1:17" ht="15" hidden="1" customHeight="1" outlineLevel="1">
      <c r="A25" s="753"/>
      <c r="B25" s="7" t="s">
        <v>24</v>
      </c>
      <c r="C25" s="260">
        <v>3</v>
      </c>
      <c r="D25" s="279">
        <f t="shared" si="4"/>
        <v>0</v>
      </c>
      <c r="E25" s="279">
        <f t="shared" si="4"/>
        <v>-45591.309101934974</v>
      </c>
      <c r="F25" s="279">
        <f t="shared" si="4"/>
        <v>-54497.951284106886</v>
      </c>
      <c r="G25" s="279">
        <f t="shared" si="4"/>
        <v>0</v>
      </c>
      <c r="H25" s="279">
        <f t="shared" si="4"/>
        <v>-125037.93176150002</v>
      </c>
      <c r="I25" s="279">
        <f t="shared" si="4"/>
        <v>-46570.956794690006</v>
      </c>
      <c r="K25" s="749"/>
      <c r="L25" s="749"/>
      <c r="M25" s="749"/>
      <c r="N25" s="749"/>
      <c r="O25" s="749"/>
      <c r="P25" s="749"/>
    </row>
    <row r="26" spans="1:17" ht="15" hidden="1" customHeight="1" outlineLevel="1">
      <c r="A26" s="753"/>
      <c r="B26" s="7" t="s">
        <v>25</v>
      </c>
      <c r="C26" s="260">
        <v>4</v>
      </c>
      <c r="D26" s="279">
        <f t="shared" si="4"/>
        <v>0</v>
      </c>
      <c r="E26" s="279">
        <f t="shared" si="4"/>
        <v>-48327.923246093196</v>
      </c>
      <c r="F26" s="279">
        <f t="shared" si="4"/>
        <v>-57930.229160621617</v>
      </c>
      <c r="G26" s="279">
        <f t="shared" si="4"/>
        <v>0</v>
      </c>
      <c r="H26" s="279">
        <f t="shared" si="4"/>
        <v>-136826.30108911323</v>
      </c>
      <c r="I26" s="279">
        <f t="shared" si="4"/>
        <v>-50161.379195503738</v>
      </c>
      <c r="K26" s="749"/>
      <c r="L26" s="749"/>
      <c r="M26" s="749"/>
      <c r="N26" s="749"/>
      <c r="O26" s="749"/>
      <c r="P26" s="749"/>
    </row>
    <row r="27" spans="1:17" ht="15" hidden="1" customHeight="1" outlineLevel="1">
      <c r="A27" s="753"/>
      <c r="B27" s="7" t="s">
        <v>26</v>
      </c>
      <c r="C27" s="260">
        <v>5</v>
      </c>
      <c r="D27" s="279">
        <f t="shared" si="4"/>
        <v>0</v>
      </c>
      <c r="E27" s="279">
        <f t="shared" si="4"/>
        <v>-51228.802403069174</v>
      </c>
      <c r="F27" s="279">
        <f t="shared" si="4"/>
        <v>-61578.671702853768</v>
      </c>
      <c r="G27" s="279">
        <f t="shared" si="4"/>
        <v>0</v>
      </c>
      <c r="H27" s="279">
        <f t="shared" si="4"/>
        <v>-149726.05837273714</v>
      </c>
      <c r="I27" s="279">
        <f t="shared" si="4"/>
        <v>-54028.607870087952</v>
      </c>
      <c r="K27" s="749"/>
      <c r="L27" s="749"/>
      <c r="M27" s="749"/>
      <c r="N27" s="749"/>
      <c r="O27" s="749"/>
      <c r="P27" s="749"/>
    </row>
    <row r="28" spans="1:17" ht="15" hidden="1" customHeight="1" outlineLevel="1">
      <c r="A28" s="753"/>
      <c r="B28" s="7" t="s">
        <v>27</v>
      </c>
      <c r="C28" s="260">
        <v>6</v>
      </c>
      <c r="D28" s="279">
        <f t="shared" si="4"/>
        <v>0</v>
      </c>
      <c r="E28" s="279">
        <f t="shared" si="4"/>
        <v>-54303.806565179897</v>
      </c>
      <c r="F28" s="279">
        <f t="shared" si="4"/>
        <v>-65456.892949172528</v>
      </c>
      <c r="G28" s="279">
        <f t="shared" si="4"/>
        <v>0</v>
      </c>
      <c r="H28" s="279">
        <f t="shared" si="4"/>
        <v>-163841.98343004097</v>
      </c>
      <c r="I28" s="279">
        <f t="shared" si="4"/>
        <v>-58193.983403099599</v>
      </c>
      <c r="K28" s="749"/>
      <c r="L28" s="749"/>
      <c r="M28" s="749"/>
      <c r="N28" s="749"/>
      <c r="O28" s="749"/>
      <c r="P28" s="749"/>
    </row>
    <row r="29" spans="1:17" ht="15" hidden="1" customHeight="1" outlineLevel="1">
      <c r="A29" s="753"/>
      <c r="B29" s="7" t="s">
        <v>28</v>
      </c>
      <c r="C29" s="260">
        <v>7</v>
      </c>
      <c r="D29" s="279">
        <f t="shared" si="4"/>
        <v>0</v>
      </c>
      <c r="E29" s="279">
        <f t="shared" si="4"/>
        <v>-57563.387569876177</v>
      </c>
      <c r="F29" s="279">
        <f t="shared" si="4"/>
        <v>-69579.364349310403</v>
      </c>
      <c r="G29" s="279">
        <f t="shared" si="4"/>
        <v>0</v>
      </c>
      <c r="H29" s="279">
        <f t="shared" si="4"/>
        <v>-179288.73454654266</v>
      </c>
      <c r="I29" s="279">
        <f t="shared" si="4"/>
        <v>-62680.491647372866</v>
      </c>
      <c r="K29" s="749"/>
      <c r="L29" s="749"/>
      <c r="M29" s="749"/>
      <c r="N29" s="749"/>
      <c r="O29" s="749"/>
      <c r="P29" s="749"/>
    </row>
    <row r="30" spans="1:17" ht="15" hidden="1" customHeight="1" outlineLevel="1">
      <c r="A30" s="753"/>
      <c r="B30" s="7" t="s">
        <v>29</v>
      </c>
      <c r="C30" s="260">
        <v>8</v>
      </c>
      <c r="D30" s="279">
        <f t="shared" si="4"/>
        <v>0</v>
      </c>
      <c r="E30" s="279">
        <f t="shared" si="4"/>
        <v>-61018.624625192482</v>
      </c>
      <c r="F30" s="279">
        <f t="shared" si="4"/>
        <v>-73961.468764082063</v>
      </c>
      <c r="G30" s="279">
        <f t="shared" si="4"/>
        <v>0</v>
      </c>
      <c r="H30" s="279">
        <f t="shared" si="4"/>
        <v>-196191.77980121333</v>
      </c>
      <c r="I30" s="279">
        <f t="shared" si="4"/>
        <v>-67512.89056708767</v>
      </c>
      <c r="K30" s="749"/>
      <c r="L30" s="749"/>
      <c r="M30" s="749"/>
      <c r="N30" s="749"/>
      <c r="O30" s="749"/>
      <c r="P30" s="749"/>
    </row>
    <row r="31" spans="1:17" ht="15" hidden="1" customHeight="1" outlineLevel="1">
      <c r="A31" s="753"/>
      <c r="B31" s="7" t="s">
        <v>30</v>
      </c>
      <c r="C31" s="260">
        <v>9</v>
      </c>
      <c r="D31" s="279">
        <f t="shared" si="4"/>
        <v>0</v>
      </c>
      <c r="E31" s="279">
        <f t="shared" si="4"/>
        <v>-64681.261967608618</v>
      </c>
      <c r="F31" s="279">
        <f t="shared" si="4"/>
        <v>-78619.557866002593</v>
      </c>
      <c r="G31" s="279">
        <f t="shared" si="4"/>
        <v>0</v>
      </c>
      <c r="H31" s="279">
        <f t="shared" si="4"/>
        <v>-214688.41619591892</v>
      </c>
      <c r="I31" s="279">
        <f t="shared" si="4"/>
        <v>-72717.846860006161</v>
      </c>
      <c r="K31" s="749"/>
      <c r="L31" s="749"/>
      <c r="M31" s="749"/>
      <c r="N31" s="749"/>
      <c r="O31" s="749"/>
      <c r="P31" s="749"/>
    </row>
    <row r="32" spans="1:17" ht="15" hidden="1" customHeight="1" outlineLevel="1">
      <c r="A32" s="753"/>
      <c r="B32" s="7" t="s">
        <v>31</v>
      </c>
      <c r="C32" s="260">
        <v>10</v>
      </c>
      <c r="D32" s="279">
        <f t="shared" si="4"/>
        <v>0</v>
      </c>
      <c r="E32" s="279">
        <f t="shared" si="4"/>
        <v>-68563.748780321112</v>
      </c>
      <c r="F32" s="279">
        <f t="shared" si="4"/>
        <v>-83571.013154993314</v>
      </c>
      <c r="G32" s="279">
        <f t="shared" si="4"/>
        <v>0</v>
      </c>
      <c r="H32" s="279">
        <f t="shared" si="4"/>
        <v>0</v>
      </c>
      <c r="I32" s="279">
        <f t="shared" si="4"/>
        <v>-78324.083112701686</v>
      </c>
      <c r="K32" s="749"/>
      <c r="L32" s="749"/>
      <c r="M32" s="749"/>
      <c r="N32" s="749"/>
      <c r="O32" s="749"/>
      <c r="P32" s="749"/>
    </row>
    <row r="33" spans="1:16" ht="15" hidden="1" customHeight="1" outlineLevel="1">
      <c r="A33" s="753" t="s">
        <v>32</v>
      </c>
      <c r="B33" s="7" t="s">
        <v>33</v>
      </c>
      <c r="C33" s="260">
        <v>11</v>
      </c>
      <c r="D33" s="279">
        <f t="shared" ref="D33:I40" si="5">IFERROR(PPMT(D$101,$C33,D$102,D$103),0)</f>
        <v>0</v>
      </c>
      <c r="E33" s="279">
        <f t="shared" si="5"/>
        <v>-72679.281507605192</v>
      </c>
      <c r="F33" s="279">
        <f t="shared" si="5"/>
        <v>-88834.310816853424</v>
      </c>
      <c r="G33" s="279">
        <f t="shared" si="5"/>
        <v>0</v>
      </c>
      <c r="H33" s="279">
        <f t="shared" si="5"/>
        <v>0</v>
      </c>
      <c r="I33" s="279">
        <f t="shared" si="5"/>
        <v>-84362.536300829102</v>
      </c>
      <c r="K33" s="749"/>
      <c r="L33" s="749"/>
      <c r="M33" s="749"/>
      <c r="N33" s="749"/>
      <c r="O33" s="749"/>
      <c r="P33" s="749"/>
    </row>
    <row r="34" spans="1:16" ht="15" hidden="1" customHeight="1" outlineLevel="1">
      <c r="A34" s="753"/>
      <c r="B34" s="7" t="s">
        <v>34</v>
      </c>
      <c r="C34" s="260">
        <v>12</v>
      </c>
      <c r="D34" s="279">
        <f t="shared" si="5"/>
        <v>0</v>
      </c>
      <c r="E34" s="279">
        <f t="shared" si="5"/>
        <v>0</v>
      </c>
      <c r="F34" s="279">
        <f t="shared" si="5"/>
        <v>-94429.090666514254</v>
      </c>
      <c r="G34" s="279">
        <f t="shared" si="5"/>
        <v>0</v>
      </c>
      <c r="H34" s="279">
        <f t="shared" si="5"/>
        <v>0</v>
      </c>
      <c r="I34" s="279">
        <f t="shared" si="5"/>
        <v>0</v>
      </c>
      <c r="K34" s="749"/>
      <c r="L34" s="749"/>
      <c r="M34" s="749"/>
      <c r="N34" s="749"/>
      <c r="O34" s="749"/>
      <c r="P34" s="749"/>
    </row>
    <row r="35" spans="1:16" ht="15" hidden="1" customHeight="1" outlineLevel="1">
      <c r="A35" s="753"/>
      <c r="B35" s="7" t="s">
        <v>22</v>
      </c>
      <c r="C35" s="260">
        <v>13</v>
      </c>
      <c r="D35" s="279">
        <f t="shared" si="5"/>
        <v>0</v>
      </c>
      <c r="E35" s="279">
        <f t="shared" si="5"/>
        <v>0</v>
      </c>
      <c r="F35" s="279">
        <f t="shared" si="5"/>
        <v>0</v>
      </c>
      <c r="G35" s="279">
        <f t="shared" si="5"/>
        <v>0</v>
      </c>
      <c r="H35" s="279">
        <f t="shared" si="5"/>
        <v>0</v>
      </c>
      <c r="I35" s="279">
        <f t="shared" si="5"/>
        <v>0</v>
      </c>
      <c r="K35" s="749"/>
      <c r="L35" s="749"/>
      <c r="M35" s="749"/>
      <c r="N35" s="749"/>
      <c r="O35" s="749"/>
      <c r="P35" s="749"/>
    </row>
    <row r="36" spans="1:16" ht="15" hidden="1" customHeight="1" outlineLevel="1">
      <c r="A36" s="753"/>
      <c r="B36" s="7" t="s">
        <v>23</v>
      </c>
      <c r="C36" s="260">
        <v>14</v>
      </c>
      <c r="D36" s="279">
        <f t="shared" si="5"/>
        <v>0</v>
      </c>
      <c r="E36" s="279">
        <f t="shared" si="5"/>
        <v>0</v>
      </c>
      <c r="F36" s="279">
        <f t="shared" si="5"/>
        <v>0</v>
      </c>
      <c r="G36" s="279">
        <f t="shared" si="5"/>
        <v>0</v>
      </c>
      <c r="H36" s="279">
        <f t="shared" si="5"/>
        <v>0</v>
      </c>
      <c r="I36" s="279">
        <f t="shared" si="5"/>
        <v>0</v>
      </c>
      <c r="K36" s="749"/>
      <c r="L36" s="749"/>
      <c r="M36" s="749"/>
      <c r="N36" s="749"/>
      <c r="O36" s="749"/>
      <c r="P36" s="749"/>
    </row>
    <row r="37" spans="1:16" ht="15" hidden="1" customHeight="1" outlineLevel="1">
      <c r="A37" s="753"/>
      <c r="B37" s="7" t="s">
        <v>24</v>
      </c>
      <c r="C37" s="260">
        <v>15</v>
      </c>
      <c r="D37" s="279">
        <f t="shared" si="5"/>
        <v>0</v>
      </c>
      <c r="E37" s="279">
        <f t="shared" si="5"/>
        <v>0</v>
      </c>
      <c r="F37" s="279">
        <f t="shared" si="5"/>
        <v>0</v>
      </c>
      <c r="G37" s="279">
        <f t="shared" si="5"/>
        <v>0</v>
      </c>
      <c r="H37" s="279">
        <f t="shared" si="5"/>
        <v>0</v>
      </c>
      <c r="I37" s="279">
        <f t="shared" si="5"/>
        <v>0</v>
      </c>
      <c r="K37" s="749"/>
      <c r="L37" s="749"/>
      <c r="M37" s="749"/>
      <c r="N37" s="749"/>
      <c r="O37" s="749"/>
      <c r="P37" s="749"/>
    </row>
    <row r="38" spans="1:16" ht="15" hidden="1" customHeight="1" outlineLevel="1">
      <c r="A38" s="753"/>
      <c r="B38" s="7" t="s">
        <v>25</v>
      </c>
      <c r="C38" s="260">
        <v>16</v>
      </c>
      <c r="D38" s="279">
        <f t="shared" si="5"/>
        <v>0</v>
      </c>
      <c r="E38" s="279">
        <f t="shared" si="5"/>
        <v>0</v>
      </c>
      <c r="F38" s="279">
        <f t="shared" si="5"/>
        <v>0</v>
      </c>
      <c r="G38" s="279">
        <f t="shared" si="5"/>
        <v>0</v>
      </c>
      <c r="H38" s="279">
        <f t="shared" si="5"/>
        <v>0</v>
      </c>
      <c r="I38" s="279">
        <f t="shared" si="5"/>
        <v>0</v>
      </c>
      <c r="K38" s="749"/>
      <c r="L38" s="749"/>
      <c r="M38" s="749"/>
      <c r="N38" s="749"/>
      <c r="O38" s="749"/>
      <c r="P38" s="749"/>
    </row>
    <row r="39" spans="1:16" ht="15" hidden="1" customHeight="1" outlineLevel="1">
      <c r="A39" s="753"/>
      <c r="B39" s="7" t="s">
        <v>26</v>
      </c>
      <c r="C39" s="260">
        <v>17</v>
      </c>
      <c r="D39" s="279">
        <f t="shared" si="5"/>
        <v>0</v>
      </c>
      <c r="E39" s="279">
        <f t="shared" si="5"/>
        <v>0</v>
      </c>
      <c r="F39" s="279">
        <f t="shared" si="5"/>
        <v>0</v>
      </c>
      <c r="G39" s="279">
        <f t="shared" si="5"/>
        <v>0</v>
      </c>
      <c r="H39" s="279">
        <f t="shared" si="5"/>
        <v>0</v>
      </c>
      <c r="I39" s="279">
        <f t="shared" si="5"/>
        <v>0</v>
      </c>
      <c r="K39" s="749"/>
      <c r="L39" s="749"/>
      <c r="M39" s="749"/>
      <c r="N39" s="749"/>
      <c r="O39" s="749"/>
      <c r="P39" s="749"/>
    </row>
    <row r="40" spans="1:16" ht="15" hidden="1" customHeight="1" outlineLevel="1">
      <c r="A40" s="753"/>
      <c r="B40" s="7" t="s">
        <v>27</v>
      </c>
      <c r="C40" s="260">
        <v>18</v>
      </c>
      <c r="D40" s="279">
        <f t="shared" si="5"/>
        <v>0</v>
      </c>
      <c r="E40" s="279">
        <f t="shared" si="5"/>
        <v>0</v>
      </c>
      <c r="F40" s="279">
        <f t="shared" si="5"/>
        <v>0</v>
      </c>
      <c r="G40" s="279">
        <f t="shared" si="5"/>
        <v>0</v>
      </c>
      <c r="H40" s="279">
        <f t="shared" si="5"/>
        <v>0</v>
      </c>
      <c r="I40" s="279">
        <f t="shared" si="5"/>
        <v>0</v>
      </c>
      <c r="K40" s="749"/>
      <c r="L40" s="749"/>
      <c r="M40" s="749"/>
      <c r="N40" s="749"/>
      <c r="O40" s="749"/>
      <c r="P40" s="749"/>
    </row>
    <row r="41" spans="1:16" ht="15" hidden="1" customHeight="1" outlineLevel="1">
      <c r="A41" s="260"/>
      <c r="B41" s="6"/>
      <c r="C41" s="2"/>
      <c r="D41" s="260"/>
      <c r="E41" s="260"/>
      <c r="F41" s="260"/>
      <c r="G41" s="260"/>
      <c r="H41" s="260"/>
      <c r="I41" s="260"/>
      <c r="K41" s="749"/>
      <c r="L41" s="749"/>
      <c r="M41" s="749"/>
      <c r="N41" s="749"/>
      <c r="O41" s="749"/>
      <c r="P41" s="749"/>
    </row>
    <row r="42" spans="1:16" ht="15" hidden="1" customHeight="1" outlineLevel="1">
      <c r="A42" s="260"/>
      <c r="B42" s="6"/>
      <c r="C42" s="2"/>
      <c r="D42" s="260"/>
      <c r="E42" s="260"/>
      <c r="F42" s="260"/>
      <c r="G42" s="260"/>
      <c r="H42" s="260"/>
      <c r="I42" s="260"/>
      <c r="K42" s="749"/>
      <c r="L42" s="749"/>
      <c r="M42" s="749"/>
      <c r="N42" s="749"/>
      <c r="O42" s="749"/>
      <c r="P42" s="749"/>
    </row>
    <row r="43" spans="1:16" ht="15" hidden="1" customHeight="1" outlineLevel="1">
      <c r="A43" s="260"/>
      <c r="B43" s="6"/>
      <c r="C43" s="2"/>
      <c r="D43" s="280"/>
      <c r="E43" s="260"/>
      <c r="F43" s="260"/>
      <c r="G43" s="260"/>
      <c r="H43" s="260"/>
      <c r="I43" s="260"/>
      <c r="K43" s="749"/>
      <c r="L43" s="749"/>
      <c r="M43" s="749"/>
      <c r="N43" s="749"/>
      <c r="O43" s="749"/>
      <c r="P43" s="749"/>
    </row>
    <row r="44" spans="1:16" ht="15" hidden="1" customHeight="1" outlineLevel="1">
      <c r="A44" s="260"/>
      <c r="B44" s="9" t="s">
        <v>35</v>
      </c>
      <c r="C44" s="2"/>
      <c r="D44" s="260"/>
      <c r="E44" s="260"/>
      <c r="F44" s="260"/>
      <c r="G44" s="260"/>
      <c r="H44" s="260"/>
      <c r="I44" s="260"/>
      <c r="K44" s="749"/>
      <c r="L44" s="749"/>
      <c r="M44" s="749"/>
      <c r="N44" s="749"/>
      <c r="O44" s="749"/>
      <c r="P44" s="749"/>
    </row>
    <row r="45" spans="1:16" ht="15" hidden="1" customHeight="1" outlineLevel="1">
      <c r="A45" s="753" t="s">
        <v>21</v>
      </c>
      <c r="B45" s="7" t="s">
        <v>22</v>
      </c>
      <c r="C45" s="260">
        <v>1</v>
      </c>
      <c r="D45" s="279">
        <f t="shared" ref="D45:I54" si="6">D23+D104</f>
        <v>0</v>
      </c>
      <c r="E45" s="279">
        <f t="shared" si="6"/>
        <v>-75946.672370089073</v>
      </c>
      <c r="F45" s="279">
        <f t="shared" si="6"/>
        <v>-98810.245372914971</v>
      </c>
      <c r="G45" s="279">
        <f t="shared" si="6"/>
        <v>0</v>
      </c>
      <c r="H45" s="279">
        <f t="shared" ref="H45:H62" si="7">H23+H104</f>
        <v>-231009.53228536708</v>
      </c>
      <c r="I45" s="279">
        <f t="shared" si="6"/>
        <v>-89343.218500913019</v>
      </c>
      <c r="K45" s="749"/>
      <c r="L45" s="749"/>
      <c r="M45" s="749"/>
      <c r="N45" s="749"/>
      <c r="O45" s="749"/>
      <c r="P45" s="749"/>
    </row>
    <row r="46" spans="1:16" ht="15" hidden="1" customHeight="1" outlineLevel="1">
      <c r="A46" s="753"/>
      <c r="B46" s="7" t="s">
        <v>23</v>
      </c>
      <c r="C46" s="260">
        <v>2</v>
      </c>
      <c r="D46" s="279">
        <f t="shared" si="6"/>
        <v>0</v>
      </c>
      <c r="E46" s="279">
        <f t="shared" si="6"/>
        <v>-74966.724554414512</v>
      </c>
      <c r="F46" s="279">
        <f t="shared" si="6"/>
        <v>-97381.901616758259</v>
      </c>
      <c r="G46" s="279">
        <f t="shared" si="6"/>
        <v>0</v>
      </c>
      <c r="H46" s="279">
        <f t="shared" si="7"/>
        <v>-227571.37633236847</v>
      </c>
      <c r="I46" s="279">
        <f t="shared" si="6"/>
        <v>-87962.334300129995</v>
      </c>
      <c r="K46" s="749"/>
      <c r="L46" s="749"/>
      <c r="M46" s="749"/>
      <c r="N46" s="749"/>
      <c r="O46" s="749"/>
      <c r="P46" s="749"/>
    </row>
    <row r="47" spans="1:16" ht="15" hidden="1" customHeight="1" outlineLevel="1">
      <c r="A47" s="753"/>
      <c r="B47" s="7" t="s">
        <v>24</v>
      </c>
      <c r="C47" s="260">
        <v>3</v>
      </c>
      <c r="D47" s="279">
        <f t="shared" si="6"/>
        <v>0</v>
      </c>
      <c r="E47" s="279">
        <f t="shared" si="6"/>
        <v>-73573.867287521178</v>
      </c>
      <c r="F47" s="279">
        <f t="shared" si="6"/>
        <v>-95317.333202538255</v>
      </c>
      <c r="G47" s="279">
        <f t="shared" si="6"/>
        <v>0</v>
      </c>
      <c r="H47" s="279">
        <f t="shared" si="7"/>
        <v>-222811.45258961176</v>
      </c>
      <c r="I47" s="279">
        <f t="shared" si="6"/>
        <v>-85982.153815295052</v>
      </c>
      <c r="K47" s="749"/>
      <c r="L47" s="749"/>
      <c r="M47" s="749"/>
      <c r="N47" s="749"/>
      <c r="O47" s="749"/>
      <c r="P47" s="749"/>
    </row>
    <row r="48" spans="1:16" ht="15" hidden="1" customHeight="1" outlineLevel="1">
      <c r="A48" s="753"/>
      <c r="B48" s="7" t="s">
        <v>25</v>
      </c>
      <c r="C48" s="260">
        <v>4</v>
      </c>
      <c r="D48" s="279">
        <f t="shared" si="6"/>
        <v>0</v>
      </c>
      <c r="E48" s="279">
        <f t="shared" si="6"/>
        <v>-72001.654083466157</v>
      </c>
      <c r="F48" s="279">
        <f t="shared" si="6"/>
        <v>-92925.624926838151</v>
      </c>
      <c r="G48" s="279">
        <f t="shared" si="6"/>
        <v>0</v>
      </c>
      <c r="H48" s="279">
        <f t="shared" si="7"/>
        <v>-217708.80410299468</v>
      </c>
      <c r="I48" s="279">
        <f t="shared" si="6"/>
        <v>-83721.497953445301</v>
      </c>
      <c r="K48" s="749"/>
      <c r="L48" s="749"/>
      <c r="M48" s="749"/>
      <c r="N48" s="749"/>
      <c r="O48" s="749"/>
      <c r="P48" s="749"/>
    </row>
    <row r="49" spans="1:16" ht="15" hidden="1" customHeight="1" outlineLevel="1">
      <c r="A49" s="753"/>
      <c r="B49" s="7" t="s">
        <v>26</v>
      </c>
      <c r="C49" s="260">
        <v>5</v>
      </c>
      <c r="D49" s="279">
        <f t="shared" si="6"/>
        <v>0</v>
      </c>
      <c r="E49" s="279">
        <f t="shared" si="6"/>
        <v>-70698.820766983335</v>
      </c>
      <c r="F49" s="279">
        <f t="shared" si="6"/>
        <v>-90842.523498263356</v>
      </c>
      <c r="G49" s="279">
        <f t="shared" si="6"/>
        <v>0</v>
      </c>
      <c r="H49" s="279">
        <f t="shared" si="7"/>
        <v>-213992.0336794852</v>
      </c>
      <c r="I49" s="279">
        <f t="shared" si="6"/>
        <v>-81814.363291075846</v>
      </c>
      <c r="K49" s="749"/>
      <c r="L49" s="749"/>
      <c r="M49" s="749"/>
      <c r="N49" s="749"/>
      <c r="O49" s="749"/>
      <c r="P49" s="749"/>
    </row>
    <row r="50" spans="1:16" ht="15" hidden="1" customHeight="1" outlineLevel="1">
      <c r="A50" s="753"/>
      <c r="B50" s="7" t="s">
        <v>27</v>
      </c>
      <c r="C50" s="260">
        <v>6</v>
      </c>
      <c r="D50" s="279">
        <f t="shared" si="6"/>
        <v>0</v>
      </c>
      <c r="E50" s="279">
        <f t="shared" si="6"/>
        <v>-69695.970982195126</v>
      </c>
      <c r="F50" s="279">
        <f t="shared" si="6"/>
        <v>-89094.995345830233</v>
      </c>
      <c r="G50" s="279">
        <f t="shared" si="6"/>
        <v>0</v>
      </c>
      <c r="H50" s="279">
        <f t="shared" si="7"/>
        <v>-211963.15709503641</v>
      </c>
      <c r="I50" s="279">
        <f t="shared" si="6"/>
        <v>-80311.155277917307</v>
      </c>
      <c r="K50" s="749"/>
      <c r="L50" s="749"/>
      <c r="M50" s="749"/>
      <c r="N50" s="749"/>
      <c r="O50" s="749"/>
      <c r="P50" s="749"/>
    </row>
    <row r="51" spans="1:16" ht="15" hidden="1" customHeight="1" outlineLevel="1">
      <c r="A51" s="753"/>
      <c r="B51" s="7" t="s">
        <v>28</v>
      </c>
      <c r="C51" s="260">
        <v>7</v>
      </c>
      <c r="D51" s="279">
        <f t="shared" si="6"/>
        <v>0</v>
      </c>
      <c r="E51" s="279">
        <f t="shared" si="6"/>
        <v>-69486.023567416079</v>
      </c>
      <c r="F51" s="279">
        <f t="shared" si="6"/>
        <v>-88429.919823784468</v>
      </c>
      <c r="G51" s="279">
        <f t="shared" si="6"/>
        <v>0</v>
      </c>
      <c r="H51" s="279">
        <f t="shared" si="7"/>
        <v>-213345.69902511965</v>
      </c>
      <c r="I51" s="279">
        <f t="shared" si="6"/>
        <v>-79932.976600556678</v>
      </c>
      <c r="K51" s="749"/>
      <c r="L51" s="749"/>
      <c r="M51" s="749"/>
      <c r="N51" s="749"/>
      <c r="O51" s="749"/>
      <c r="P51" s="749"/>
    </row>
    <row r="52" spans="1:16" ht="15" hidden="1" customHeight="1" outlineLevel="1">
      <c r="A52" s="753"/>
      <c r="B52" s="7" t="s">
        <v>29</v>
      </c>
      <c r="C52" s="260">
        <v>8</v>
      </c>
      <c r="D52" s="279">
        <f t="shared" si="6"/>
        <v>0</v>
      </c>
      <c r="E52" s="279">
        <f t="shared" si="6"/>
        <v>-69835.390841714179</v>
      </c>
      <c r="F52" s="279">
        <f t="shared" si="6"/>
        <v>-88496.169662398388</v>
      </c>
      <c r="G52" s="279">
        <f t="shared" si="6"/>
        <v>0</v>
      </c>
      <c r="H52" s="279">
        <f t="shared" si="7"/>
        <v>-217506.84083255733</v>
      </c>
      <c r="I52" s="279">
        <f t="shared" si="6"/>
        <v>-80363.211136892525</v>
      </c>
      <c r="K52" s="749"/>
      <c r="L52" s="749"/>
      <c r="M52" s="749"/>
      <c r="N52" s="749"/>
      <c r="O52" s="749"/>
      <c r="P52" s="749"/>
    </row>
    <row r="53" spans="1:16" ht="15" hidden="1" customHeight="1" outlineLevel="1">
      <c r="A53" s="753"/>
      <c r="B53" s="7" t="s">
        <v>30</v>
      </c>
      <c r="C53" s="260">
        <v>9</v>
      </c>
      <c r="D53" s="279">
        <f t="shared" si="6"/>
        <v>0</v>
      </c>
      <c r="E53" s="279">
        <f t="shared" si="6"/>
        <v>-71063.134830762865</v>
      </c>
      <c r="F53" s="279">
        <f t="shared" si="6"/>
        <v>-89852.706807236158</v>
      </c>
      <c r="G53" s="279">
        <f t="shared" si="6"/>
        <v>0</v>
      </c>
      <c r="H53" s="279">
        <f t="shared" si="7"/>
        <v>-225138.73707866942</v>
      </c>
      <c r="I53" s="279">
        <f t="shared" si="6"/>
        <v>-82088.160854049987</v>
      </c>
      <c r="K53" s="749"/>
      <c r="L53" s="749"/>
      <c r="M53" s="749"/>
      <c r="N53" s="749"/>
      <c r="O53" s="749"/>
      <c r="P53" s="749"/>
    </row>
    <row r="54" spans="1:16" ht="15" hidden="1" customHeight="1" outlineLevel="1">
      <c r="A54" s="753"/>
      <c r="B54" s="7" t="s">
        <v>31</v>
      </c>
      <c r="C54" s="260">
        <v>10</v>
      </c>
      <c r="D54" s="279">
        <f t="shared" si="6"/>
        <v>0</v>
      </c>
      <c r="E54" s="279">
        <f t="shared" si="6"/>
        <v>-72656.851934174949</v>
      </c>
      <c r="F54" s="279">
        <f t="shared" si="6"/>
        <v>-91684.326789885672</v>
      </c>
      <c r="G54" s="279">
        <f t="shared" si="6"/>
        <v>0</v>
      </c>
      <c r="H54" s="279">
        <f t="shared" si="7"/>
        <v>0</v>
      </c>
      <c r="I54" s="279">
        <f t="shared" si="6"/>
        <v>-84379.393057183523</v>
      </c>
      <c r="K54" s="749"/>
      <c r="L54" s="749"/>
      <c r="M54" s="749"/>
      <c r="N54" s="749"/>
      <c r="O54" s="749"/>
      <c r="P54" s="749"/>
    </row>
    <row r="55" spans="1:16" ht="15" hidden="1" customHeight="1" outlineLevel="1">
      <c r="A55" s="753" t="s">
        <v>32</v>
      </c>
      <c r="B55" s="7" t="s">
        <v>33</v>
      </c>
      <c r="C55" s="260">
        <v>11</v>
      </c>
      <c r="D55" s="279">
        <f t="shared" ref="D55:I62" si="8">D33+D114</f>
        <v>0</v>
      </c>
      <c r="E55" s="279">
        <f t="shared" si="8"/>
        <v>-74785.465407456286</v>
      </c>
      <c r="F55" s="279">
        <f t="shared" si="8"/>
        <v>-94406.581005640386</v>
      </c>
      <c r="G55" s="279">
        <f t="shared" si="8"/>
        <v>0</v>
      </c>
      <c r="H55" s="279">
        <f t="shared" si="7"/>
        <v>0</v>
      </c>
      <c r="I55" s="279">
        <f t="shared" si="8"/>
        <v>-87502.569002016535</v>
      </c>
      <c r="K55" s="749"/>
      <c r="L55" s="749"/>
      <c r="M55" s="749"/>
      <c r="N55" s="749"/>
      <c r="O55" s="749"/>
      <c r="P55" s="749"/>
    </row>
    <row r="56" spans="1:16" ht="15" hidden="1" customHeight="1" outlineLevel="1">
      <c r="A56" s="753"/>
      <c r="B56" s="7" t="s">
        <v>34</v>
      </c>
      <c r="C56" s="260">
        <v>12</v>
      </c>
      <c r="D56" s="279">
        <f t="shared" si="8"/>
        <v>0</v>
      </c>
      <c r="E56" s="279">
        <f t="shared" si="8"/>
        <v>0</v>
      </c>
      <c r="F56" s="279">
        <f t="shared" si="8"/>
        <v>-97300.282637285534</v>
      </c>
      <c r="G56" s="279">
        <f t="shared" si="8"/>
        <v>0</v>
      </c>
      <c r="H56" s="279">
        <f t="shared" si="7"/>
        <v>0</v>
      </c>
      <c r="I56" s="279">
        <f t="shared" si="8"/>
        <v>0</v>
      </c>
      <c r="K56" s="749"/>
      <c r="L56" s="749"/>
      <c r="M56" s="749"/>
      <c r="N56" s="749"/>
      <c r="O56" s="749"/>
      <c r="P56" s="749"/>
    </row>
    <row r="57" spans="1:16" ht="15" hidden="1" customHeight="1" outlineLevel="1">
      <c r="A57" s="753"/>
      <c r="B57" s="7" t="s">
        <v>22</v>
      </c>
      <c r="C57" s="260">
        <v>13</v>
      </c>
      <c r="D57" s="279">
        <f t="shared" si="8"/>
        <v>0</v>
      </c>
      <c r="E57" s="279">
        <f t="shared" si="8"/>
        <v>0</v>
      </c>
      <c r="F57" s="279">
        <f t="shared" si="8"/>
        <v>0</v>
      </c>
      <c r="G57" s="279">
        <f t="shared" si="8"/>
        <v>0</v>
      </c>
      <c r="H57" s="279">
        <f t="shared" si="7"/>
        <v>0</v>
      </c>
      <c r="I57" s="279">
        <f t="shared" si="8"/>
        <v>0</v>
      </c>
      <c r="K57" s="749"/>
      <c r="L57" s="749"/>
      <c r="M57" s="749"/>
      <c r="N57" s="749"/>
      <c r="O57" s="749"/>
      <c r="P57" s="749"/>
    </row>
    <row r="58" spans="1:16" ht="15" hidden="1" customHeight="1" outlineLevel="1">
      <c r="A58" s="753"/>
      <c r="B58" s="7" t="s">
        <v>23</v>
      </c>
      <c r="C58" s="260">
        <v>14</v>
      </c>
      <c r="D58" s="279">
        <f t="shared" si="8"/>
        <v>0</v>
      </c>
      <c r="E58" s="279">
        <f t="shared" si="8"/>
        <v>0</v>
      </c>
      <c r="F58" s="279">
        <f t="shared" si="8"/>
        <v>0</v>
      </c>
      <c r="G58" s="279">
        <f t="shared" si="8"/>
        <v>0</v>
      </c>
      <c r="H58" s="279">
        <f t="shared" si="7"/>
        <v>0</v>
      </c>
      <c r="I58" s="279">
        <f t="shared" si="8"/>
        <v>0</v>
      </c>
      <c r="K58" s="749"/>
      <c r="L58" s="749"/>
      <c r="M58" s="749"/>
      <c r="N58" s="749"/>
      <c r="O58" s="749"/>
      <c r="P58" s="749"/>
    </row>
    <row r="59" spans="1:16" ht="15" hidden="1" customHeight="1" outlineLevel="1">
      <c r="A59" s="753"/>
      <c r="B59" s="7" t="s">
        <v>24</v>
      </c>
      <c r="C59" s="260">
        <v>15</v>
      </c>
      <c r="D59" s="279">
        <f t="shared" si="8"/>
        <v>0</v>
      </c>
      <c r="E59" s="279">
        <f t="shared" si="8"/>
        <v>0</v>
      </c>
      <c r="F59" s="279">
        <f t="shared" si="8"/>
        <v>0</v>
      </c>
      <c r="G59" s="279">
        <f t="shared" si="8"/>
        <v>0</v>
      </c>
      <c r="H59" s="279">
        <f t="shared" si="7"/>
        <v>0</v>
      </c>
      <c r="I59" s="279">
        <f t="shared" si="8"/>
        <v>0</v>
      </c>
      <c r="K59" s="749"/>
      <c r="L59" s="749"/>
      <c r="M59" s="749"/>
      <c r="N59" s="749"/>
      <c r="O59" s="749"/>
      <c r="P59" s="749"/>
    </row>
    <row r="60" spans="1:16" ht="15" hidden="1" customHeight="1" outlineLevel="1">
      <c r="A60" s="753"/>
      <c r="B60" s="7" t="s">
        <v>25</v>
      </c>
      <c r="C60" s="260">
        <v>16</v>
      </c>
      <c r="D60" s="279">
        <f t="shared" si="8"/>
        <v>0</v>
      </c>
      <c r="E60" s="279">
        <f t="shared" si="8"/>
        <v>0</v>
      </c>
      <c r="F60" s="279">
        <f t="shared" si="8"/>
        <v>0</v>
      </c>
      <c r="G60" s="279">
        <f t="shared" si="8"/>
        <v>0</v>
      </c>
      <c r="H60" s="279">
        <f t="shared" si="7"/>
        <v>0</v>
      </c>
      <c r="I60" s="279">
        <f t="shared" si="8"/>
        <v>0</v>
      </c>
      <c r="K60" s="749"/>
      <c r="L60" s="749"/>
      <c r="M60" s="749"/>
      <c r="N60" s="749"/>
      <c r="O60" s="749"/>
      <c r="P60" s="749"/>
    </row>
    <row r="61" spans="1:16" ht="15" hidden="1" customHeight="1" outlineLevel="1">
      <c r="A61" s="753"/>
      <c r="B61" s="7" t="s">
        <v>26</v>
      </c>
      <c r="C61" s="260">
        <v>17</v>
      </c>
      <c r="D61" s="279">
        <f t="shared" si="8"/>
        <v>0</v>
      </c>
      <c r="E61" s="279">
        <f t="shared" si="8"/>
        <v>0</v>
      </c>
      <c r="F61" s="279">
        <f t="shared" si="8"/>
        <v>0</v>
      </c>
      <c r="G61" s="279">
        <f t="shared" si="8"/>
        <v>0</v>
      </c>
      <c r="H61" s="279">
        <f t="shared" si="7"/>
        <v>0</v>
      </c>
      <c r="I61" s="279">
        <f t="shared" si="8"/>
        <v>0</v>
      </c>
      <c r="K61" s="749"/>
      <c r="L61" s="749"/>
      <c r="M61" s="749"/>
      <c r="N61" s="749"/>
      <c r="O61" s="749"/>
      <c r="P61" s="749"/>
    </row>
    <row r="62" spans="1:16" ht="15" hidden="1" customHeight="1" outlineLevel="1">
      <c r="A62" s="753"/>
      <c r="B62" s="7" t="s">
        <v>27</v>
      </c>
      <c r="C62" s="260">
        <v>18</v>
      </c>
      <c r="D62" s="279">
        <f t="shared" si="8"/>
        <v>0</v>
      </c>
      <c r="E62" s="279">
        <f t="shared" si="8"/>
        <v>0</v>
      </c>
      <c r="F62" s="279">
        <f t="shared" si="8"/>
        <v>0</v>
      </c>
      <c r="G62" s="279">
        <f t="shared" si="8"/>
        <v>0</v>
      </c>
      <c r="H62" s="279">
        <f t="shared" si="7"/>
        <v>0</v>
      </c>
      <c r="I62" s="279">
        <f t="shared" si="8"/>
        <v>0</v>
      </c>
      <c r="K62" s="749"/>
      <c r="L62" s="749"/>
      <c r="M62" s="749"/>
      <c r="N62" s="749"/>
      <c r="O62" s="749"/>
      <c r="P62" s="749"/>
    </row>
    <row r="63" spans="1:16" ht="15" hidden="1" customHeight="1" outlineLevel="1">
      <c r="A63" s="260"/>
      <c r="B63" s="260"/>
      <c r="C63" s="260"/>
      <c r="D63" s="260"/>
      <c r="E63" s="260"/>
      <c r="F63" s="260"/>
      <c r="G63" s="260"/>
      <c r="H63" s="260"/>
      <c r="I63" s="260"/>
      <c r="K63" s="749"/>
      <c r="L63" s="749"/>
      <c r="M63" s="749"/>
      <c r="N63" s="749"/>
      <c r="O63" s="749"/>
      <c r="P63" s="749"/>
    </row>
    <row r="64" spans="1:16" ht="15" hidden="1" customHeight="1" outlineLevel="1">
      <c r="A64" s="260"/>
      <c r="B64" s="260"/>
      <c r="C64" s="260"/>
      <c r="D64" s="260"/>
      <c r="E64" s="260"/>
      <c r="F64" s="260"/>
      <c r="G64" s="260"/>
      <c r="H64" s="260"/>
      <c r="I64" s="260"/>
      <c r="K64" s="749"/>
      <c r="L64" s="749"/>
      <c r="M64" s="749"/>
      <c r="N64" s="749"/>
      <c r="O64" s="749"/>
      <c r="P64" s="749"/>
    </row>
    <row r="65" spans="1:16" ht="15" hidden="1" customHeight="1" outlineLevel="1">
      <c r="A65" s="260"/>
      <c r="B65" s="2" t="s">
        <v>36</v>
      </c>
      <c r="C65" s="260"/>
      <c r="D65" s="260"/>
      <c r="E65" s="260"/>
      <c r="F65" s="260"/>
      <c r="G65" s="260"/>
      <c r="H65" s="260"/>
      <c r="I65" s="260"/>
      <c r="K65" s="749"/>
      <c r="L65" s="749"/>
      <c r="M65" s="749"/>
      <c r="N65" s="749"/>
      <c r="O65" s="749"/>
      <c r="P65" s="749"/>
    </row>
    <row r="66" spans="1:16" ht="15" hidden="1" customHeight="1" outlineLevel="1">
      <c r="D66" s="281">
        <f t="shared" ref="D66:I66" si="9">D103</f>
        <v>0</v>
      </c>
      <c r="E66" s="281">
        <f t="shared" si="9"/>
        <v>607542</v>
      </c>
      <c r="F66" s="281">
        <f t="shared" si="9"/>
        <v>827959</v>
      </c>
      <c r="G66" s="281">
        <f t="shared" si="9"/>
        <v>0</v>
      </c>
      <c r="H66" s="281">
        <f t="shared" si="9"/>
        <v>1384287</v>
      </c>
      <c r="I66" s="281">
        <f t="shared" si="9"/>
        <v>657933</v>
      </c>
      <c r="K66" s="749"/>
      <c r="L66" s="749"/>
      <c r="M66" s="749"/>
      <c r="N66" s="749"/>
      <c r="O66" s="749"/>
      <c r="P66" s="749"/>
    </row>
    <row r="67" spans="1:16" ht="15" hidden="1" customHeight="1" outlineLevel="1">
      <c r="D67" s="281">
        <f>IF((D66+D23)&lt;0,0,D66+D23)</f>
        <v>0</v>
      </c>
      <c r="E67" s="281">
        <f t="shared" ref="E67:E81" si="10">IF((E66+E23)&lt;0,0,E66+E23)</f>
        <v>566967.8040765042</v>
      </c>
      <c r="F67" s="281">
        <f t="shared" ref="F67:F81" si="11">IF((F66+F23)&lt;0,0,F66+F23)</f>
        <v>779727.58136049646</v>
      </c>
      <c r="G67" s="281">
        <f t="shared" ref="G67:H81" si="12">IF((G66+G23)&lt;0,0,G66+G23)</f>
        <v>0</v>
      </c>
      <c r="H67" s="281">
        <f t="shared" si="12"/>
        <v>1279866.403150572</v>
      </c>
      <c r="I67" s="281">
        <f t="shared" ref="I67:I81" si="13">IF((I66+I23)&lt;0,0,I66+I23)</f>
        <v>617790.30333848496</v>
      </c>
      <c r="K67" s="749"/>
      <c r="L67" s="749"/>
      <c r="M67" s="749"/>
      <c r="N67" s="749"/>
      <c r="O67" s="749"/>
      <c r="P67" s="749"/>
    </row>
    <row r="68" spans="1:16" ht="15" hidden="1" customHeight="1" outlineLevel="1">
      <c r="D68" s="281">
        <f t="shared" ref="D68:D81" si="14">IF((D67+D24)&lt;0,0,D67+D24)</f>
        <v>0</v>
      </c>
      <c r="E68" s="281">
        <f t="shared" si="10"/>
        <v>523958.14576688071</v>
      </c>
      <c r="F68" s="281">
        <f t="shared" si="11"/>
        <v>728458.55071451073</v>
      </c>
      <c r="G68" s="281">
        <f t="shared" si="12"/>
        <v>0</v>
      </c>
      <c r="H68" s="281">
        <f t="shared" si="12"/>
        <v>1165601.2051970661</v>
      </c>
      <c r="I68" s="281">
        <f t="shared" si="13"/>
        <v>574552.77575137885</v>
      </c>
      <c r="K68" s="749"/>
      <c r="L68" s="749"/>
      <c r="M68" s="749"/>
      <c r="N68" s="749"/>
      <c r="O68" s="749"/>
      <c r="P68" s="749"/>
    </row>
    <row r="69" spans="1:16" ht="15" hidden="1" customHeight="1" outlineLevel="1">
      <c r="D69" s="281">
        <f t="shared" si="14"/>
        <v>0</v>
      </c>
      <c r="E69" s="281">
        <f t="shared" si="10"/>
        <v>478366.83666494576</v>
      </c>
      <c r="F69" s="281">
        <f t="shared" si="11"/>
        <v>673960.59943040379</v>
      </c>
      <c r="G69" s="281">
        <f t="shared" si="12"/>
        <v>0</v>
      </c>
      <c r="H69" s="281">
        <f t="shared" si="12"/>
        <v>1040563.2734355661</v>
      </c>
      <c r="I69" s="281">
        <f t="shared" si="13"/>
        <v>527981.81895668886</v>
      </c>
      <c r="K69" s="749"/>
      <c r="L69" s="749"/>
      <c r="M69" s="749"/>
      <c r="N69" s="749"/>
      <c r="O69" s="749"/>
      <c r="P69" s="749"/>
    </row>
    <row r="70" spans="1:16" ht="15" hidden="1" customHeight="1" outlineLevel="1">
      <c r="D70" s="281">
        <f t="shared" si="14"/>
        <v>0</v>
      </c>
      <c r="E70" s="281">
        <f t="shared" si="10"/>
        <v>430038.91341885255</v>
      </c>
      <c r="F70" s="281">
        <f t="shared" si="11"/>
        <v>616030.37026978214</v>
      </c>
      <c r="G70" s="281">
        <f t="shared" si="12"/>
        <v>0</v>
      </c>
      <c r="H70" s="281">
        <f t="shared" si="12"/>
        <v>903736.97234645288</v>
      </c>
      <c r="I70" s="281">
        <f t="shared" si="13"/>
        <v>477820.43976118515</v>
      </c>
      <c r="K70" s="749"/>
      <c r="L70" s="749"/>
      <c r="M70" s="749"/>
      <c r="N70" s="749"/>
      <c r="O70" s="749"/>
      <c r="P70" s="749"/>
    </row>
    <row r="71" spans="1:16" ht="15" hidden="1" customHeight="1" outlineLevel="1">
      <c r="D71" s="281">
        <f t="shared" si="14"/>
        <v>0</v>
      </c>
      <c r="E71" s="281">
        <f t="shared" si="10"/>
        <v>378810.11101578339</v>
      </c>
      <c r="F71" s="281">
        <f t="shared" si="11"/>
        <v>554451.69856692839</v>
      </c>
      <c r="G71" s="281">
        <f t="shared" si="12"/>
        <v>0</v>
      </c>
      <c r="H71" s="281">
        <f t="shared" si="12"/>
        <v>754010.91397371574</v>
      </c>
      <c r="I71" s="281">
        <f t="shared" si="13"/>
        <v>423791.83189109719</v>
      </c>
      <c r="K71" s="749"/>
      <c r="L71" s="749"/>
      <c r="M71" s="749"/>
      <c r="N71" s="749"/>
      <c r="O71" s="749"/>
      <c r="P71" s="749"/>
    </row>
    <row r="72" spans="1:16" ht="15" hidden="1" customHeight="1" outlineLevel="1">
      <c r="D72" s="281">
        <f t="shared" si="14"/>
        <v>0</v>
      </c>
      <c r="E72" s="281">
        <f t="shared" si="10"/>
        <v>324506.30445060349</v>
      </c>
      <c r="F72" s="281">
        <f t="shared" si="11"/>
        <v>488994.80561775586</v>
      </c>
      <c r="G72" s="281">
        <f t="shared" si="12"/>
        <v>0</v>
      </c>
      <c r="H72" s="281">
        <f t="shared" si="12"/>
        <v>590168.93054367474</v>
      </c>
      <c r="I72" s="281">
        <f t="shared" si="13"/>
        <v>365597.8484879976</v>
      </c>
      <c r="K72" s="749"/>
      <c r="L72" s="749"/>
      <c r="M72" s="749"/>
      <c r="N72" s="749"/>
      <c r="O72" s="749"/>
      <c r="P72" s="749"/>
    </row>
    <row r="73" spans="1:16" ht="15" hidden="1" customHeight="1" outlineLevel="1">
      <c r="D73" s="281">
        <f t="shared" si="14"/>
        <v>0</v>
      </c>
      <c r="E73" s="281">
        <f t="shared" si="10"/>
        <v>266942.91688072734</v>
      </c>
      <c r="F73" s="281">
        <f t="shared" si="11"/>
        <v>419415.44126844546</v>
      </c>
      <c r="G73" s="281">
        <f t="shared" si="12"/>
        <v>0</v>
      </c>
      <c r="H73" s="281">
        <f t="shared" si="12"/>
        <v>410880.1959971321</v>
      </c>
      <c r="I73" s="281">
        <f t="shared" si="13"/>
        <v>302917.35684062471</v>
      </c>
      <c r="K73" s="749"/>
      <c r="L73" s="749"/>
      <c r="M73" s="749"/>
      <c r="N73" s="749"/>
      <c r="O73" s="749"/>
      <c r="P73" s="749"/>
    </row>
    <row r="74" spans="1:16" ht="15" hidden="1" customHeight="1" outlineLevel="1">
      <c r="D74" s="281">
        <f t="shared" si="14"/>
        <v>0</v>
      </c>
      <c r="E74" s="281">
        <f t="shared" si="10"/>
        <v>205924.29225553485</v>
      </c>
      <c r="F74" s="281">
        <f t="shared" si="11"/>
        <v>345453.9725043634</v>
      </c>
      <c r="G74" s="281">
        <f t="shared" si="12"/>
        <v>0</v>
      </c>
      <c r="H74" s="281">
        <f t="shared" si="12"/>
        <v>214688.41619591878</v>
      </c>
      <c r="I74" s="281">
        <f t="shared" si="13"/>
        <v>235404.46627353702</v>
      </c>
      <c r="K74" s="749"/>
      <c r="L74" s="749"/>
      <c r="M74" s="749"/>
      <c r="N74" s="749"/>
      <c r="O74" s="749"/>
      <c r="P74" s="749"/>
    </row>
    <row r="75" spans="1:16" ht="15" hidden="1" customHeight="1" outlineLevel="1">
      <c r="D75" s="281">
        <f t="shared" si="14"/>
        <v>0</v>
      </c>
      <c r="E75" s="281">
        <f t="shared" si="10"/>
        <v>141243.03028792623</v>
      </c>
      <c r="F75" s="281">
        <f t="shared" si="11"/>
        <v>266834.41463836079</v>
      </c>
      <c r="G75" s="281">
        <f t="shared" si="12"/>
        <v>0</v>
      </c>
      <c r="H75" s="281">
        <f t="shared" si="12"/>
        <v>0</v>
      </c>
      <c r="I75" s="281">
        <f t="shared" si="13"/>
        <v>162686.61941353086</v>
      </c>
      <c r="K75" s="749"/>
      <c r="L75" s="749"/>
      <c r="M75" s="749"/>
      <c r="N75" s="749"/>
      <c r="O75" s="749"/>
      <c r="P75" s="749"/>
    </row>
    <row r="76" spans="1:16" ht="15" hidden="1" customHeight="1" outlineLevel="1">
      <c r="D76" s="281">
        <f t="shared" si="14"/>
        <v>0</v>
      </c>
      <c r="E76" s="281">
        <f t="shared" si="10"/>
        <v>72679.281507605119</v>
      </c>
      <c r="F76" s="281">
        <f t="shared" si="11"/>
        <v>183263.40148336749</v>
      </c>
      <c r="G76" s="281">
        <f t="shared" si="12"/>
        <v>0</v>
      </c>
      <c r="H76" s="281">
        <f t="shared" si="12"/>
        <v>0</v>
      </c>
      <c r="I76" s="281">
        <f t="shared" si="13"/>
        <v>84362.536300829175</v>
      </c>
      <c r="K76" s="749"/>
      <c r="L76" s="749"/>
      <c r="M76" s="749"/>
      <c r="N76" s="749"/>
      <c r="O76" s="749"/>
      <c r="P76" s="749"/>
    </row>
    <row r="77" spans="1:16" ht="15" hidden="1" customHeight="1" outlineLevel="1">
      <c r="D77" s="281">
        <f t="shared" si="14"/>
        <v>0</v>
      </c>
      <c r="E77" s="281">
        <f t="shared" si="10"/>
        <v>0</v>
      </c>
      <c r="F77" s="281">
        <f t="shared" si="11"/>
        <v>94429.090666514065</v>
      </c>
      <c r="G77" s="281">
        <f t="shared" si="12"/>
        <v>0</v>
      </c>
      <c r="H77" s="281">
        <f t="shared" si="12"/>
        <v>0</v>
      </c>
      <c r="I77" s="281">
        <f t="shared" si="13"/>
        <v>7.2759576141834259E-11</v>
      </c>
      <c r="K77" s="749"/>
      <c r="L77" s="749"/>
      <c r="M77" s="749"/>
      <c r="N77" s="749"/>
      <c r="O77" s="749"/>
      <c r="P77" s="749"/>
    </row>
    <row r="78" spans="1:16" ht="15" hidden="1" customHeight="1" outlineLevel="1">
      <c r="D78" s="281">
        <f t="shared" si="14"/>
        <v>0</v>
      </c>
      <c r="E78" s="281">
        <f t="shared" si="10"/>
        <v>0</v>
      </c>
      <c r="F78" s="281">
        <f t="shared" si="11"/>
        <v>0</v>
      </c>
      <c r="G78" s="281">
        <f t="shared" si="12"/>
        <v>0</v>
      </c>
      <c r="H78" s="281">
        <f t="shared" si="12"/>
        <v>0</v>
      </c>
      <c r="I78" s="281">
        <f t="shared" si="13"/>
        <v>7.2759576141834259E-11</v>
      </c>
      <c r="K78" s="749"/>
      <c r="L78" s="749"/>
      <c r="M78" s="749"/>
      <c r="N78" s="749"/>
      <c r="O78" s="749"/>
      <c r="P78" s="749"/>
    </row>
    <row r="79" spans="1:16" ht="15" hidden="1" customHeight="1" outlineLevel="1">
      <c r="D79" s="281">
        <f t="shared" si="14"/>
        <v>0</v>
      </c>
      <c r="E79" s="281">
        <f t="shared" si="10"/>
        <v>0</v>
      </c>
      <c r="F79" s="281">
        <f t="shared" si="11"/>
        <v>0</v>
      </c>
      <c r="G79" s="281">
        <f t="shared" si="12"/>
        <v>0</v>
      </c>
      <c r="H79" s="281">
        <f t="shared" si="12"/>
        <v>0</v>
      </c>
      <c r="I79" s="281">
        <f t="shared" si="13"/>
        <v>7.2759576141834259E-11</v>
      </c>
      <c r="K79" s="749"/>
      <c r="L79" s="749"/>
      <c r="M79" s="749"/>
      <c r="N79" s="749"/>
      <c r="O79" s="749"/>
      <c r="P79" s="749"/>
    </row>
    <row r="80" spans="1:16" ht="15" hidden="1" customHeight="1" outlineLevel="1">
      <c r="D80" s="281">
        <f t="shared" si="14"/>
        <v>0</v>
      </c>
      <c r="E80" s="281">
        <f t="shared" si="10"/>
        <v>0</v>
      </c>
      <c r="F80" s="281">
        <f t="shared" si="11"/>
        <v>0</v>
      </c>
      <c r="G80" s="281">
        <f t="shared" si="12"/>
        <v>0</v>
      </c>
      <c r="H80" s="281">
        <f t="shared" si="12"/>
        <v>0</v>
      </c>
      <c r="I80" s="281">
        <f t="shared" si="13"/>
        <v>7.2759576141834259E-11</v>
      </c>
      <c r="K80" s="749"/>
      <c r="L80" s="749"/>
      <c r="M80" s="749"/>
      <c r="N80" s="749"/>
      <c r="O80" s="749"/>
      <c r="P80" s="749"/>
    </row>
    <row r="81" spans="2:16" ht="15" hidden="1" customHeight="1" outlineLevel="1">
      <c r="D81" s="281">
        <f t="shared" si="14"/>
        <v>0</v>
      </c>
      <c r="E81" s="281">
        <f t="shared" si="10"/>
        <v>0</v>
      </c>
      <c r="F81" s="281">
        <f t="shared" si="11"/>
        <v>0</v>
      </c>
      <c r="G81" s="281">
        <f t="shared" si="12"/>
        <v>0</v>
      </c>
      <c r="H81" s="281">
        <f t="shared" si="12"/>
        <v>0</v>
      </c>
      <c r="I81" s="281">
        <f t="shared" si="13"/>
        <v>7.2759576141834259E-11</v>
      </c>
      <c r="K81" s="749"/>
      <c r="L81" s="749"/>
      <c r="M81" s="749"/>
      <c r="N81" s="749"/>
      <c r="O81" s="749"/>
      <c r="P81" s="749"/>
    </row>
    <row r="82" spans="2:16" ht="15" hidden="1" customHeight="1" outlineLevel="1">
      <c r="B82" s="260"/>
      <c r="C82" s="260"/>
      <c r="D82" s="260"/>
      <c r="E82" s="260"/>
      <c r="F82" s="260"/>
      <c r="G82" s="260"/>
      <c r="H82" s="260"/>
      <c r="I82" s="260"/>
      <c r="K82" s="749"/>
      <c r="L82" s="749"/>
      <c r="M82" s="749"/>
      <c r="N82" s="749"/>
      <c r="O82" s="749"/>
      <c r="P82" s="749"/>
    </row>
    <row r="83" spans="2:16" ht="15" hidden="1" customHeight="1" outlineLevel="1">
      <c r="B83" s="2" t="s">
        <v>37</v>
      </c>
      <c r="C83" s="260"/>
      <c r="D83" s="260"/>
      <c r="E83" s="260"/>
      <c r="F83" s="260"/>
      <c r="G83" s="260"/>
      <c r="H83" s="260"/>
      <c r="I83" s="260"/>
      <c r="K83" s="749"/>
      <c r="L83" s="749"/>
      <c r="M83" s="749"/>
      <c r="N83" s="749"/>
      <c r="O83" s="749"/>
      <c r="P83" s="749"/>
    </row>
    <row r="84" spans="2:16" ht="15" hidden="1" customHeight="1" outlineLevel="1">
      <c r="B84" s="2" t="s">
        <v>38</v>
      </c>
      <c r="C84" s="260"/>
      <c r="D84" s="278">
        <f t="shared" ref="D84:I84" si="15">D20/12</f>
        <v>1.1250000000000001E-2</v>
      </c>
      <c r="E84" s="278">
        <f t="shared" si="15"/>
        <v>1.1250000000000001E-2</v>
      </c>
      <c r="F84" s="278">
        <f t="shared" si="15"/>
        <v>1.1250000000000001E-2</v>
      </c>
      <c r="G84" s="278">
        <f t="shared" si="15"/>
        <v>1.1250000000000001E-2</v>
      </c>
      <c r="H84" s="278">
        <f t="shared" si="15"/>
        <v>1.1250000000000001E-2</v>
      </c>
      <c r="I84" s="278">
        <f t="shared" si="15"/>
        <v>1.1250000000000001E-2</v>
      </c>
      <c r="K84" s="749"/>
      <c r="L84" s="749"/>
      <c r="M84" s="749"/>
      <c r="N84" s="749"/>
      <c r="O84" s="749"/>
      <c r="P84" s="749"/>
    </row>
    <row r="85" spans="2:16" ht="15" hidden="1" customHeight="1" outlineLevel="1">
      <c r="B85" s="260"/>
      <c r="C85" s="260"/>
      <c r="D85" s="282"/>
      <c r="E85" s="282"/>
      <c r="F85" s="282"/>
      <c r="G85" s="282"/>
      <c r="H85" s="282"/>
      <c r="I85" s="282"/>
      <c r="K85" s="749"/>
      <c r="L85" s="749"/>
      <c r="M85" s="749"/>
      <c r="N85" s="749"/>
      <c r="O85" s="749"/>
      <c r="P85" s="749"/>
    </row>
    <row r="86" spans="2:16" ht="15" hidden="1" customHeight="1" outlineLevel="1">
      <c r="B86" s="260"/>
      <c r="C86" s="260"/>
      <c r="D86" s="283">
        <f t="shared" ref="D86:I97" si="16">(D66*D$84)</f>
        <v>0</v>
      </c>
      <c r="E86" s="283">
        <f t="shared" si="16"/>
        <v>6834.8475000000008</v>
      </c>
      <c r="F86" s="283">
        <f t="shared" si="16"/>
        <v>9314.5387500000015</v>
      </c>
      <c r="G86" s="283">
        <f t="shared" si="16"/>
        <v>0</v>
      </c>
      <c r="H86" s="283">
        <f t="shared" ref="H86:H97" si="17">(H66*H$84)</f>
        <v>15573.228750000002</v>
      </c>
      <c r="I86" s="283">
        <f t="shared" si="16"/>
        <v>7401.7462500000011</v>
      </c>
      <c r="K86" s="749"/>
      <c r="L86" s="749"/>
      <c r="M86" s="749"/>
      <c r="N86" s="749"/>
      <c r="O86" s="749"/>
      <c r="P86" s="749"/>
    </row>
    <row r="87" spans="2:16" ht="15" hidden="1" customHeight="1" outlineLevel="1">
      <c r="B87" s="260"/>
      <c r="C87" s="260"/>
      <c r="D87" s="283">
        <f t="shared" si="16"/>
        <v>0</v>
      </c>
      <c r="E87" s="283">
        <f t="shared" si="16"/>
        <v>6378.3877958606727</v>
      </c>
      <c r="F87" s="283">
        <f t="shared" si="16"/>
        <v>8771.935290305586</v>
      </c>
      <c r="G87" s="283">
        <f t="shared" si="16"/>
        <v>0</v>
      </c>
      <c r="H87" s="283">
        <f t="shared" si="17"/>
        <v>14398.497035443936</v>
      </c>
      <c r="I87" s="283">
        <f t="shared" si="16"/>
        <v>6950.1409125579567</v>
      </c>
      <c r="K87" s="749"/>
      <c r="L87" s="749"/>
      <c r="M87" s="749"/>
      <c r="N87" s="749"/>
      <c r="O87" s="749"/>
      <c r="P87" s="749"/>
    </row>
    <row r="88" spans="2:16" ht="15" hidden="1" customHeight="1" outlineLevel="1">
      <c r="B88" s="260"/>
      <c r="C88" s="260"/>
      <c r="D88" s="283">
        <f t="shared" si="16"/>
        <v>0</v>
      </c>
      <c r="E88" s="283">
        <f t="shared" si="16"/>
        <v>5894.5291398774089</v>
      </c>
      <c r="F88" s="283">
        <f t="shared" si="16"/>
        <v>8195.1586955382463</v>
      </c>
      <c r="G88" s="283">
        <f t="shared" si="16"/>
        <v>0</v>
      </c>
      <c r="H88" s="283">
        <f t="shared" si="17"/>
        <v>13113.013558466995</v>
      </c>
      <c r="I88" s="283">
        <f t="shared" si="16"/>
        <v>6463.7187272030133</v>
      </c>
      <c r="K88" s="749"/>
      <c r="L88" s="749"/>
      <c r="M88" s="749"/>
      <c r="N88" s="749"/>
      <c r="O88" s="749"/>
      <c r="P88" s="749"/>
    </row>
    <row r="89" spans="2:16" ht="15" hidden="1" customHeight="1" outlineLevel="1">
      <c r="B89" s="260"/>
      <c r="C89" s="260"/>
      <c r="D89" s="283">
        <f t="shared" si="16"/>
        <v>0</v>
      </c>
      <c r="E89" s="283">
        <f t="shared" si="16"/>
        <v>5381.6269124806404</v>
      </c>
      <c r="F89" s="283">
        <f t="shared" si="16"/>
        <v>7582.0567435920439</v>
      </c>
      <c r="G89" s="283">
        <f t="shared" si="16"/>
        <v>0</v>
      </c>
      <c r="H89" s="283">
        <f t="shared" si="17"/>
        <v>11706.33682615012</v>
      </c>
      <c r="I89" s="283">
        <f t="shared" si="16"/>
        <v>5939.7954632627507</v>
      </c>
      <c r="K89" s="749"/>
      <c r="L89" s="749"/>
      <c r="M89" s="749"/>
      <c r="N89" s="749"/>
      <c r="O89" s="749"/>
      <c r="P89" s="749"/>
    </row>
    <row r="90" spans="2:16" ht="15" hidden="1" customHeight="1" outlineLevel="1">
      <c r="B90" s="260"/>
      <c r="C90" s="260"/>
      <c r="D90" s="283">
        <f t="shared" si="16"/>
        <v>0</v>
      </c>
      <c r="E90" s="283">
        <f t="shared" si="16"/>
        <v>4837.937775962092</v>
      </c>
      <c r="F90" s="283">
        <f t="shared" si="16"/>
        <v>6930.3416655350502</v>
      </c>
      <c r="G90" s="283">
        <f t="shared" si="16"/>
        <v>0</v>
      </c>
      <c r="H90" s="283">
        <f t="shared" si="17"/>
        <v>10167.040938897597</v>
      </c>
      <c r="I90" s="283">
        <f t="shared" si="16"/>
        <v>5375.4799473133335</v>
      </c>
      <c r="K90" s="749"/>
      <c r="L90" s="749"/>
      <c r="M90" s="749"/>
      <c r="N90" s="749"/>
      <c r="O90" s="749"/>
      <c r="P90" s="749"/>
    </row>
    <row r="91" spans="2:16" ht="15" hidden="1" customHeight="1" outlineLevel="1">
      <c r="B91" s="260"/>
      <c r="C91" s="260"/>
      <c r="D91" s="283">
        <f t="shared" si="16"/>
        <v>0</v>
      </c>
      <c r="E91" s="283">
        <f t="shared" si="16"/>
        <v>4261.6137489275634</v>
      </c>
      <c r="F91" s="283">
        <f t="shared" si="16"/>
        <v>6237.5816088779447</v>
      </c>
      <c r="G91" s="283">
        <f t="shared" si="16"/>
        <v>0</v>
      </c>
      <c r="H91" s="283">
        <f t="shared" si="17"/>
        <v>8482.6227822043038</v>
      </c>
      <c r="I91" s="283">
        <f t="shared" si="16"/>
        <v>4767.6581087748436</v>
      </c>
      <c r="K91" s="749"/>
      <c r="L91" s="749"/>
      <c r="M91" s="749"/>
      <c r="N91" s="749"/>
      <c r="O91" s="749"/>
      <c r="P91" s="749"/>
    </row>
    <row r="92" spans="2:16" ht="15" hidden="1" customHeight="1" outlineLevel="1">
      <c r="B92" s="260"/>
      <c r="C92" s="260"/>
      <c r="D92" s="283">
        <f t="shared" si="16"/>
        <v>0</v>
      </c>
      <c r="E92" s="283">
        <f t="shared" si="16"/>
        <v>3650.6959250692898</v>
      </c>
      <c r="F92" s="283">
        <f t="shared" si="16"/>
        <v>5501.1915631997545</v>
      </c>
      <c r="G92" s="283">
        <f t="shared" si="16"/>
        <v>0</v>
      </c>
      <c r="H92" s="283">
        <f t="shared" si="17"/>
        <v>6639.4004686163416</v>
      </c>
      <c r="I92" s="283">
        <f t="shared" si="16"/>
        <v>4112.9757954899733</v>
      </c>
      <c r="K92" s="749"/>
      <c r="L92" s="749"/>
      <c r="M92" s="749"/>
      <c r="N92" s="749"/>
      <c r="O92" s="749"/>
      <c r="P92" s="749"/>
    </row>
    <row r="93" spans="2:16" ht="15" hidden="1" customHeight="1" outlineLevel="1">
      <c r="B93" s="260"/>
      <c r="C93" s="260"/>
      <c r="D93" s="283">
        <f t="shared" si="16"/>
        <v>0</v>
      </c>
      <c r="E93" s="283">
        <f t="shared" si="16"/>
        <v>3003.1078149081827</v>
      </c>
      <c r="F93" s="283">
        <f t="shared" si="16"/>
        <v>4718.4237142700122</v>
      </c>
      <c r="G93" s="283">
        <f t="shared" si="16"/>
        <v>0</v>
      </c>
      <c r="H93" s="283">
        <f t="shared" si="17"/>
        <v>4622.4022049677369</v>
      </c>
      <c r="I93" s="283">
        <f t="shared" si="16"/>
        <v>3407.8202644570283</v>
      </c>
      <c r="K93" s="749"/>
      <c r="L93" s="749"/>
      <c r="M93" s="749"/>
      <c r="N93" s="749"/>
      <c r="O93" s="749"/>
      <c r="P93" s="749"/>
    </row>
    <row r="94" spans="2:16" ht="15" hidden="1" customHeight="1" outlineLevel="1">
      <c r="B94" s="260"/>
      <c r="C94" s="260"/>
      <c r="D94" s="283">
        <f t="shared" si="16"/>
        <v>0</v>
      </c>
      <c r="E94" s="283">
        <f t="shared" si="16"/>
        <v>2316.6482878747674</v>
      </c>
      <c r="F94" s="283">
        <f t="shared" si="16"/>
        <v>3886.3571906740885</v>
      </c>
      <c r="G94" s="283">
        <f t="shared" si="16"/>
        <v>0</v>
      </c>
      <c r="H94" s="283">
        <f t="shared" si="17"/>
        <v>2415.2446822040865</v>
      </c>
      <c r="I94" s="283">
        <f t="shared" si="16"/>
        <v>2648.3002455772917</v>
      </c>
      <c r="K94" s="749"/>
      <c r="L94" s="749"/>
      <c r="M94" s="749"/>
      <c r="N94" s="749"/>
      <c r="O94" s="749"/>
      <c r="P94" s="749"/>
    </row>
    <row r="95" spans="2:16" ht="15" hidden="1" customHeight="1" outlineLevel="1">
      <c r="B95" s="260"/>
      <c r="C95" s="260"/>
      <c r="D95" s="283">
        <f t="shared" si="16"/>
        <v>0</v>
      </c>
      <c r="E95" s="283">
        <f t="shared" si="16"/>
        <v>1588.9840907391704</v>
      </c>
      <c r="F95" s="283">
        <f t="shared" si="16"/>
        <v>3001.8871646815592</v>
      </c>
      <c r="G95" s="283">
        <f t="shared" si="16"/>
        <v>0</v>
      </c>
      <c r="H95" s="283">
        <f t="shared" si="17"/>
        <v>0</v>
      </c>
      <c r="I95" s="283">
        <f t="shared" si="16"/>
        <v>1830.2244684022223</v>
      </c>
      <c r="K95" s="749"/>
      <c r="L95" s="749"/>
      <c r="M95" s="749"/>
      <c r="N95" s="749"/>
      <c r="O95" s="749"/>
      <c r="P95" s="749"/>
    </row>
    <row r="96" spans="2:16" ht="15" hidden="1" customHeight="1" outlineLevel="1">
      <c r="B96" s="260"/>
      <c r="C96" s="260"/>
      <c r="D96" s="283">
        <f t="shared" si="16"/>
        <v>0</v>
      </c>
      <c r="E96" s="283">
        <f t="shared" si="16"/>
        <v>817.64191696055764</v>
      </c>
      <c r="F96" s="283">
        <f t="shared" si="16"/>
        <v>2061.7132666878847</v>
      </c>
      <c r="G96" s="283">
        <f t="shared" si="16"/>
        <v>0</v>
      </c>
      <c r="H96" s="283">
        <f t="shared" si="17"/>
        <v>0</v>
      </c>
      <c r="I96" s="283">
        <f t="shared" si="16"/>
        <v>949.07853338432835</v>
      </c>
      <c r="K96" s="749"/>
      <c r="L96" s="749"/>
      <c r="M96" s="749"/>
      <c r="N96" s="749"/>
      <c r="O96" s="749"/>
      <c r="P96" s="749"/>
    </row>
    <row r="97" spans="1:16" ht="15" hidden="1" customHeight="1" outlineLevel="1">
      <c r="B97" s="260"/>
      <c r="C97" s="260"/>
      <c r="D97" s="283">
        <f t="shared" si="16"/>
        <v>0</v>
      </c>
      <c r="E97" s="283">
        <f t="shared" si="16"/>
        <v>0</v>
      </c>
      <c r="F97" s="283">
        <f t="shared" si="16"/>
        <v>1062.3272699982833</v>
      </c>
      <c r="G97" s="283">
        <f t="shared" si="16"/>
        <v>0</v>
      </c>
      <c r="H97" s="283">
        <f t="shared" si="17"/>
        <v>0</v>
      </c>
      <c r="I97" s="283">
        <f t="shared" si="16"/>
        <v>8.1854523159563554E-13</v>
      </c>
      <c r="K97" s="749"/>
      <c r="L97" s="749"/>
      <c r="M97" s="749"/>
      <c r="N97" s="749"/>
      <c r="O97" s="749"/>
      <c r="P97" s="749"/>
    </row>
    <row r="98" spans="1:16" ht="15" hidden="1" customHeight="1" outlineLevel="1">
      <c r="A98" s="260"/>
      <c r="B98" s="260"/>
      <c r="C98" s="260"/>
      <c r="D98" s="260"/>
      <c r="E98" s="260"/>
      <c r="F98" s="260"/>
      <c r="G98" s="260"/>
      <c r="H98" s="260"/>
      <c r="I98" s="260"/>
      <c r="K98" s="749"/>
      <c r="L98" s="749"/>
      <c r="M98" s="749"/>
      <c r="N98" s="749"/>
      <c r="O98" s="749"/>
      <c r="P98" s="749"/>
    </row>
    <row r="99" spans="1:16" collapsed="1">
      <c r="A99" s="260"/>
      <c r="B99" s="2" t="s">
        <v>37</v>
      </c>
      <c r="C99" s="2"/>
      <c r="D99" s="25">
        <f t="shared" ref="D99:H99" si="18">SUM(D86:D98)</f>
        <v>0</v>
      </c>
      <c r="E99" s="25">
        <f t="shared" si="18"/>
        <v>44966.020908660343</v>
      </c>
      <c r="F99" s="25">
        <f t="shared" si="18"/>
        <v>67263.512923360468</v>
      </c>
      <c r="G99" s="25">
        <f t="shared" si="18"/>
        <v>0</v>
      </c>
      <c r="H99" s="25">
        <f t="shared" si="18"/>
        <v>87117.787246951091</v>
      </c>
      <c r="I99" s="25">
        <f>SUM(I86:I98)</f>
        <v>49846.938716422745</v>
      </c>
      <c r="K99" s="749"/>
      <c r="L99" s="749"/>
      <c r="M99" s="749"/>
      <c r="N99" s="749"/>
      <c r="O99" s="749"/>
      <c r="P99" s="749"/>
    </row>
    <row r="100" spans="1:16" ht="4" customHeight="1">
      <c r="A100" s="260"/>
      <c r="B100" s="8"/>
      <c r="C100" s="273"/>
      <c r="D100" s="260"/>
      <c r="E100" s="260"/>
      <c r="F100" s="260"/>
      <c r="G100" s="260"/>
      <c r="H100" s="260"/>
      <c r="I100" s="260"/>
      <c r="K100" s="749"/>
      <c r="L100" s="749"/>
      <c r="M100" s="749"/>
      <c r="N100" s="749"/>
      <c r="O100" s="749"/>
      <c r="P100" s="749"/>
    </row>
    <row r="101" spans="1:16">
      <c r="A101" s="260"/>
      <c r="B101" s="8" t="s">
        <v>39</v>
      </c>
      <c r="C101" s="273"/>
      <c r="D101" s="278">
        <f t="shared" ref="D101:I101" si="19">D5</f>
        <v>7.0980720081469884E-2</v>
      </c>
      <c r="E101" s="278">
        <f t="shared" si="19"/>
        <v>6.0024908213089367E-2</v>
      </c>
      <c r="F101" s="278">
        <f t="shared" si="19"/>
        <v>6.2979943202299382E-2</v>
      </c>
      <c r="G101" s="278">
        <f t="shared" si="19"/>
        <v>0.10715764404203197</v>
      </c>
      <c r="H101" s="278">
        <f t="shared" si="19"/>
        <v>9.4278345471185743E-2</v>
      </c>
      <c r="I101" s="278">
        <f t="shared" si="19"/>
        <v>7.7095740520046613E-2</v>
      </c>
      <c r="K101" s="749"/>
      <c r="L101" s="749"/>
      <c r="M101" s="749"/>
      <c r="N101" s="749"/>
      <c r="O101" s="749"/>
      <c r="P101" s="749"/>
    </row>
    <row r="102" spans="1:16">
      <c r="A102" s="260"/>
      <c r="B102" s="260" t="s">
        <v>40</v>
      </c>
      <c r="C102" s="273"/>
      <c r="D102" s="284">
        <f>Model_Summary!F521</f>
        <v>11</v>
      </c>
      <c r="E102" s="284">
        <f t="shared" ref="E102:I102" si="20">ROUND(E7,0)</f>
        <v>11</v>
      </c>
      <c r="F102" s="284">
        <f t="shared" si="20"/>
        <v>12</v>
      </c>
      <c r="G102" s="284">
        <f t="shared" si="20"/>
        <v>9</v>
      </c>
      <c r="H102" s="284">
        <f t="shared" si="20"/>
        <v>9</v>
      </c>
      <c r="I102" s="284">
        <f t="shared" si="20"/>
        <v>11</v>
      </c>
      <c r="K102" s="749"/>
      <c r="L102" s="749"/>
      <c r="M102" s="749"/>
      <c r="N102" s="749"/>
      <c r="O102" s="749"/>
      <c r="P102" s="749"/>
    </row>
    <row r="103" spans="1:16">
      <c r="A103" s="260"/>
      <c r="B103" s="260" t="s">
        <v>41</v>
      </c>
      <c r="C103" s="260"/>
      <c r="D103" s="285">
        <f t="shared" ref="D103:I103" si="21">D18+D14</f>
        <v>0</v>
      </c>
      <c r="E103" s="285">
        <f t="shared" si="21"/>
        <v>607542</v>
      </c>
      <c r="F103" s="285">
        <f t="shared" si="21"/>
        <v>827959</v>
      </c>
      <c r="G103" s="285">
        <f t="shared" si="21"/>
        <v>0</v>
      </c>
      <c r="H103" s="285">
        <f t="shared" si="21"/>
        <v>1384287</v>
      </c>
      <c r="I103" s="285">
        <f t="shared" si="21"/>
        <v>657933</v>
      </c>
      <c r="K103" s="749"/>
      <c r="L103" s="749"/>
      <c r="M103" s="749"/>
      <c r="N103" s="749"/>
      <c r="O103" s="749"/>
      <c r="P103" s="749"/>
    </row>
    <row r="104" spans="1:16" ht="18.5" hidden="1" customHeight="1" outlineLevel="1">
      <c r="A104" s="753" t="s">
        <v>21</v>
      </c>
      <c r="B104" s="7" t="s">
        <v>22</v>
      </c>
      <c r="C104" s="260">
        <v>1</v>
      </c>
      <c r="D104" s="286">
        <f>IFERROR(IPMT(D$101,$C104,D$102,D$103),0)*Assumption_Sheet!$C82</f>
        <v>0</v>
      </c>
      <c r="E104" s="286">
        <f>IFERROR(IPMT(E$101,$C104,E$102,E$103),0)*Assumption_Sheet!$C82</f>
        <v>-35372.476446593319</v>
      </c>
      <c r="F104" s="286">
        <f>IFERROR(IPMT(F$101,$C104,F$102,F$103),0)*Assumption_Sheet!$C82</f>
        <v>-50578.826733411479</v>
      </c>
      <c r="G104" s="286">
        <f>IFERROR(IPMT(G$101,$C104,G$102,G$103),0)*Assumption_Sheet!$C82</f>
        <v>0</v>
      </c>
      <c r="H104" s="286">
        <f>IFERROR(IPMT(H$101,$C104,H$102,H$103),0)*Assumption_Sheet!$C82</f>
        <v>-126588.93543593897</v>
      </c>
      <c r="I104" s="286">
        <f>IFERROR(IPMT(I$101,$C104,I$102,I$103),0)*Assumption_Sheet!$C82</f>
        <v>-49200.521839398003</v>
      </c>
      <c r="K104" s="749"/>
      <c r="L104" s="749"/>
      <c r="M104" s="749"/>
      <c r="N104" s="749"/>
      <c r="O104" s="749"/>
      <c r="P104" s="749"/>
    </row>
    <row r="105" spans="1:16" ht="18.5" hidden="1" customHeight="1" outlineLevel="1">
      <c r="A105" s="753"/>
      <c r="B105" s="7" t="s">
        <v>23</v>
      </c>
      <c r="C105" s="260">
        <v>2</v>
      </c>
      <c r="D105" s="286">
        <f>IFERROR(IPMT(D$101,$C105,D$102,D$103),0)*Assumption_Sheet!$C83</f>
        <v>0</v>
      </c>
      <c r="E105" s="286">
        <f>IFERROR(IPMT(E$101,$C105,E$102,E$103),0)*Assumption_Sheet!$C83</f>
        <v>-31957.066244791029</v>
      </c>
      <c r="F105" s="286">
        <f>IFERROR(IPMT(F$101,$C105,F$102,F$103),0)*Assumption_Sheet!$C83</f>
        <v>-46112.870970772499</v>
      </c>
      <c r="G105" s="286">
        <f>IFERROR(IPMT(G$101,$C105,G$102,G$103),0)*Assumption_Sheet!$C83</f>
        <v>0</v>
      </c>
      <c r="H105" s="286">
        <f>IFERROR(IPMT(H$101,$C105,H$102,H$103),0)*Assumption_Sheet!$C83</f>
        <v>-113306.17837886255</v>
      </c>
      <c r="I105" s="286">
        <f>IFERROR(IPMT(I$101,$C105,I$102,I$103),0)*Assumption_Sheet!$C83</f>
        <v>-44724.806713023885</v>
      </c>
      <c r="K105" s="749"/>
      <c r="L105" s="749"/>
      <c r="M105" s="749"/>
      <c r="N105" s="749"/>
      <c r="O105" s="749"/>
      <c r="P105" s="749"/>
    </row>
    <row r="106" spans="1:16" ht="18.5" hidden="1" customHeight="1" outlineLevel="1">
      <c r="A106" s="753"/>
      <c r="B106" s="7" t="s">
        <v>24</v>
      </c>
      <c r="C106" s="260">
        <v>3</v>
      </c>
      <c r="D106" s="286">
        <f>IFERROR(IPMT(D$101,$C106,D$102,D$103),0)*Assumption_Sheet!$C84</f>
        <v>0</v>
      </c>
      <c r="E106" s="286">
        <f>IFERROR(IPMT(E$101,$C106,E$102,E$103),0)*Assumption_Sheet!$C84</f>
        <v>-27982.5581855862</v>
      </c>
      <c r="F106" s="286">
        <f>IFERROR(IPMT(F$101,$C106,F$102,F$103),0)*Assumption_Sheet!$C84</f>
        <v>-40819.381918431362</v>
      </c>
      <c r="G106" s="286">
        <f>IFERROR(IPMT(G$101,$C106,G$102,G$103),0)*Assumption_Sheet!$C84</f>
        <v>0</v>
      </c>
      <c r="H106" s="286">
        <f>IFERROR(IPMT(H$101,$C106,H$102,H$103),0)*Assumption_Sheet!$C84</f>
        <v>-97773.520828111738</v>
      </c>
      <c r="I106" s="286">
        <f>IFERROR(IPMT(I$101,$C106,I$102,I$103),0)*Assumption_Sheet!$C84</f>
        <v>-39411.197020605054</v>
      </c>
      <c r="K106" s="749"/>
      <c r="L106" s="749"/>
      <c r="M106" s="749"/>
      <c r="N106" s="749"/>
      <c r="O106" s="749"/>
      <c r="P106" s="749"/>
    </row>
    <row r="107" spans="1:16" ht="18.5" hidden="1" customHeight="1" outlineLevel="1">
      <c r="A107" s="753"/>
      <c r="B107" s="7" t="s">
        <v>25</v>
      </c>
      <c r="C107" s="260">
        <v>4</v>
      </c>
      <c r="D107" s="286">
        <f>IFERROR(IPMT(D$101,$C107,D$102,D$103),0)*Assumption_Sheet!$C85</f>
        <v>0</v>
      </c>
      <c r="E107" s="286">
        <f>IFERROR(IPMT(E$101,$C107,E$102,E$103),0)*Assumption_Sheet!$C85</f>
        <v>-23673.730837372961</v>
      </c>
      <c r="F107" s="286">
        <f>IFERROR(IPMT(F$101,$C107,F$102,F$103),0)*Assumption_Sheet!$C85</f>
        <v>-34995.395766216527</v>
      </c>
      <c r="G107" s="286">
        <f>IFERROR(IPMT(G$101,$C107,G$102,G$103),0)*Assumption_Sheet!$C85</f>
        <v>0</v>
      </c>
      <c r="H107" s="286">
        <f>IFERROR(IPMT(H$101,$C107,H$102,H$103),0)*Assumption_Sheet!$C85</f>
        <v>-80882.503013881447</v>
      </c>
      <c r="I107" s="286">
        <f>IFERROR(IPMT(I$101,$C107,I$102,I$103),0)*Assumption_Sheet!$C85</f>
        <v>-33560.118757941564</v>
      </c>
      <c r="K107" s="749"/>
      <c r="L107" s="749"/>
      <c r="M107" s="749"/>
      <c r="N107" s="749"/>
      <c r="O107" s="749"/>
      <c r="P107" s="749"/>
    </row>
    <row r="108" spans="1:16" ht="18.5" hidden="1" customHeight="1" outlineLevel="1">
      <c r="A108" s="753"/>
      <c r="B108" s="7" t="s">
        <v>26</v>
      </c>
      <c r="C108" s="260">
        <v>5</v>
      </c>
      <c r="D108" s="286">
        <f>IFERROR(IPMT(D$101,$C108,D$102,D$103),0)*Assumption_Sheet!$C86</f>
        <v>0</v>
      </c>
      <c r="E108" s="286">
        <f>IFERROR(IPMT(E$101,$C108,E$102,E$103),0)*Assumption_Sheet!$C86</f>
        <v>-19470.018363914165</v>
      </c>
      <c r="F108" s="286">
        <f>IFERROR(IPMT(F$101,$C108,F$102,F$103),0)*Assumption_Sheet!$C86</f>
        <v>-29263.851795409595</v>
      </c>
      <c r="G108" s="286">
        <f>IFERROR(IPMT(G$101,$C108,G$102,G$103),0)*Assumption_Sheet!$C86</f>
        <v>0</v>
      </c>
      <c r="H108" s="286">
        <f>IFERROR(IPMT(H$101,$C108,H$102,H$103),0)*Assumption_Sheet!$C86</f>
        <v>-64265.975306748071</v>
      </c>
      <c r="I108" s="286">
        <f>IFERROR(IPMT(I$101,$C108,I$102,I$103),0)*Assumption_Sheet!$C86</f>
        <v>-27785.755420987898</v>
      </c>
      <c r="K108" s="749"/>
      <c r="L108" s="749"/>
      <c r="M108" s="749"/>
      <c r="N108" s="749"/>
      <c r="O108" s="749"/>
      <c r="P108" s="749"/>
    </row>
    <row r="109" spans="1:16" ht="18.5" hidden="1" customHeight="1" outlineLevel="1">
      <c r="A109" s="753"/>
      <c r="B109" s="7" t="s">
        <v>27</v>
      </c>
      <c r="C109" s="260">
        <v>6</v>
      </c>
      <c r="D109" s="286">
        <f>IFERROR(IPMT(D$101,$C109,D$102,D$103),0)*Assumption_Sheet!$C87</f>
        <v>0</v>
      </c>
      <c r="E109" s="286">
        <f>IFERROR(IPMT(E$101,$C109,E$102,E$103),0)*Assumption_Sheet!$C87</f>
        <v>-15392.164417015223</v>
      </c>
      <c r="F109" s="286">
        <f>IFERROR(IPMT(F$101,$C109,F$102,F$103),0)*Assumption_Sheet!$C87</f>
        <v>-23638.102396657705</v>
      </c>
      <c r="G109" s="286">
        <f>IFERROR(IPMT(G$101,$C109,G$102,G$103),0)*Assumption_Sheet!$C87</f>
        <v>0</v>
      </c>
      <c r="H109" s="286">
        <f>IFERROR(IPMT(H$101,$C109,H$102,H$103),0)*Assumption_Sheet!$C87</f>
        <v>-48121.17366499544</v>
      </c>
      <c r="I109" s="286">
        <f>IFERROR(IPMT(I$101,$C109,I$102,I$103),0)*Assumption_Sheet!$C87</f>
        <v>-22117.171874817708</v>
      </c>
      <c r="K109" s="749"/>
      <c r="L109" s="749"/>
      <c r="M109" s="749"/>
      <c r="N109" s="749"/>
      <c r="O109" s="749"/>
      <c r="P109" s="749"/>
    </row>
    <row r="110" spans="1:16" ht="18.5" hidden="1" customHeight="1" outlineLevel="1">
      <c r="A110" s="753"/>
      <c r="B110" s="7" t="s">
        <v>28</v>
      </c>
      <c r="C110" s="260">
        <v>7</v>
      </c>
      <c r="D110" s="286">
        <f>IFERROR(IPMT(D$101,$C110,D$102,D$103),0)*Assumption_Sheet!$C88</f>
        <v>0</v>
      </c>
      <c r="E110" s="286">
        <f>IFERROR(IPMT(E$101,$C110,E$102,E$103),0)*Assumption_Sheet!$C88</f>
        <v>-11922.635997539897</v>
      </c>
      <c r="F110" s="286">
        <f>IFERROR(IPMT(F$101,$C110,F$102,F$103),0)*Assumption_Sheet!$C88</f>
        <v>-18850.555474474066</v>
      </c>
      <c r="G110" s="286">
        <f>IFERROR(IPMT(G$101,$C110,G$102,G$103),0)*Assumption_Sheet!$C88</f>
        <v>0</v>
      </c>
      <c r="H110" s="286">
        <f>IFERROR(IPMT(H$101,$C110,H$102,H$103),0)*Assumption_Sheet!$C88</f>
        <v>-34056.964478577</v>
      </c>
      <c r="I110" s="286">
        <f>IFERROR(IPMT(I$101,$C110,I$102,I$103),0)*Assumption_Sheet!$C88</f>
        <v>-17252.484953183815</v>
      </c>
      <c r="K110" s="749"/>
      <c r="L110" s="749"/>
      <c r="M110" s="749"/>
      <c r="N110" s="749"/>
      <c r="O110" s="749"/>
      <c r="P110" s="749"/>
    </row>
    <row r="111" spans="1:16" ht="18.5" hidden="1" customHeight="1" outlineLevel="1">
      <c r="A111" s="753"/>
      <c r="B111" s="7" t="s">
        <v>29</v>
      </c>
      <c r="C111" s="260">
        <v>8</v>
      </c>
      <c r="D111" s="286">
        <f>IFERROR(IPMT(D$101,$C111,D$102,D$103),0)*Assumption_Sheet!$C89</f>
        <v>0</v>
      </c>
      <c r="E111" s="286">
        <f>IFERROR(IPMT(E$101,$C111,E$102,E$103),0)*Assumption_Sheet!$C89</f>
        <v>-8816.7662165216971</v>
      </c>
      <c r="F111" s="286">
        <f>IFERROR(IPMT(F$101,$C111,F$102,F$103),0)*Assumption_Sheet!$C89</f>
        <v>-14534.70089831632</v>
      </c>
      <c r="G111" s="286">
        <f>IFERROR(IPMT(G$101,$C111,G$102,G$103),0)*Assumption_Sheet!$C89</f>
        <v>0</v>
      </c>
      <c r="H111" s="286">
        <f>IFERROR(IPMT(H$101,$C111,H$102,H$103),0)*Assumption_Sheet!$C89</f>
        <v>-21315.061031343997</v>
      </c>
      <c r="I111" s="286">
        <f>IFERROR(IPMT(I$101,$C111,I$102,I$103),0)*Assumption_Sheet!$C89</f>
        <v>-12850.320569804855</v>
      </c>
      <c r="K111" s="749"/>
      <c r="L111" s="749"/>
      <c r="M111" s="749"/>
      <c r="N111" s="749"/>
      <c r="O111" s="749"/>
      <c r="P111" s="749"/>
    </row>
    <row r="112" spans="1:16" ht="18.5" hidden="1" customHeight="1" outlineLevel="1">
      <c r="A112" s="753"/>
      <c r="B112" s="7" t="s">
        <v>30</v>
      </c>
      <c r="C112" s="260">
        <v>9</v>
      </c>
      <c r="D112" s="286">
        <f>IFERROR(IPMT(D$101,$C112,D$102,D$103),0)*Assumption_Sheet!$C90</f>
        <v>0</v>
      </c>
      <c r="E112" s="286">
        <f>IFERROR(IPMT(E$101,$C112,E$102,E$103),0)*Assumption_Sheet!$C90</f>
        <v>-6381.8728631542426</v>
      </c>
      <c r="F112" s="286">
        <f>IFERROR(IPMT(F$101,$C112,F$102,F$103),0)*Assumption_Sheet!$C90</f>
        <v>-11233.148941233569</v>
      </c>
      <c r="G112" s="286">
        <f>IFERROR(IPMT(G$101,$C112,G$102,G$103),0)*Assumption_Sheet!$C90</f>
        <v>0</v>
      </c>
      <c r="H112" s="286">
        <f>IFERROR(IPMT(H$101,$C112,H$102,H$103),0)*Assumption_Sheet!$C90</f>
        <v>-10450.320882750513</v>
      </c>
      <c r="I112" s="286">
        <f>IFERROR(IPMT(I$101,$C112,I$102,I$103),0)*Assumption_Sheet!$C90</f>
        <v>-9370.3139940438232</v>
      </c>
      <c r="K112" s="749"/>
      <c r="L112" s="749"/>
      <c r="M112" s="749"/>
      <c r="N112" s="749"/>
      <c r="O112" s="749"/>
      <c r="P112" s="749"/>
    </row>
    <row r="113" spans="1:16" ht="18.5" hidden="1" customHeight="1" outlineLevel="1">
      <c r="A113" s="753"/>
      <c r="B113" s="7" t="s">
        <v>31</v>
      </c>
      <c r="C113" s="260">
        <v>10</v>
      </c>
      <c r="D113" s="286">
        <f>IFERROR(IPMT(D$101,$C113,D$102,D$103),0)*Assumption_Sheet!$C91</f>
        <v>0</v>
      </c>
      <c r="E113" s="286">
        <f>IFERROR(IPMT(E$101,$C113,E$102,E$103),0)*Assumption_Sheet!$C91</f>
        <v>-4093.1031538538423</v>
      </c>
      <c r="F113" s="286">
        <f>IFERROR(IPMT(F$101,$C113,F$102,F$103),0)*Assumption_Sheet!$C91</f>
        <v>-8113.3136348923617</v>
      </c>
      <c r="G113" s="286">
        <f>IFERROR(IPMT(G$101,$C113,G$102,G$103),0)*Assumption_Sheet!$C91</f>
        <v>0</v>
      </c>
      <c r="H113" s="286">
        <f>IFERROR(IPMT(H$101,$C113,H$102,H$103),0)*Assumption_Sheet!$C91</f>
        <v>0</v>
      </c>
      <c r="I113" s="286">
        <f>IFERROR(IPMT(I$101,$C113,I$102,I$103),0)*Assumption_Sheet!$C91</f>
        <v>-6055.3099444818336</v>
      </c>
      <c r="K113" s="749"/>
      <c r="L113" s="749"/>
      <c r="M113" s="749"/>
      <c r="N113" s="749"/>
      <c r="O113" s="749"/>
      <c r="P113" s="749"/>
    </row>
    <row r="114" spans="1:16" ht="18.5" hidden="1" customHeight="1" outlineLevel="1">
      <c r="A114" s="753" t="s">
        <v>32</v>
      </c>
      <c r="B114" s="7" t="s">
        <v>33</v>
      </c>
      <c r="C114" s="260">
        <v>11</v>
      </c>
      <c r="D114" s="286">
        <f>IFERROR(IPMT(D$101,$C114,D$102,D$103),0)*Assumption_Sheet!$C92</f>
        <v>0</v>
      </c>
      <c r="E114" s="286">
        <f>IFERROR(IPMT(E$101,$C114,E$102,E$103),0)*Assumption_Sheet!$C92</f>
        <v>-2106.1838998510893</v>
      </c>
      <c r="F114" s="286">
        <f>IFERROR(IPMT(F$101,$C114,F$102,F$103),0)*Assumption_Sheet!$C92</f>
        <v>-5572.2701887869689</v>
      </c>
      <c r="G114" s="286">
        <f>IFERROR(IPMT(G$101,$C114,G$102,G$103),0)*Assumption_Sheet!$C92</f>
        <v>0</v>
      </c>
      <c r="H114" s="286">
        <f>IFERROR(IPMT(H$101,$C114,H$102,H$103),0)*Assumption_Sheet!$C92</f>
        <v>0</v>
      </c>
      <c r="I114" s="286">
        <f>IFERROR(IPMT(I$101,$C114,I$102,I$103),0)*Assumption_Sheet!$C92</f>
        <v>-3140.0327011874269</v>
      </c>
      <c r="K114" s="749"/>
      <c r="L114" s="749"/>
      <c r="M114" s="749"/>
      <c r="N114" s="749"/>
      <c r="O114" s="749"/>
      <c r="P114" s="749"/>
    </row>
    <row r="115" spans="1:16" ht="18.5" hidden="1" customHeight="1" outlineLevel="1">
      <c r="A115" s="753"/>
      <c r="B115" s="7" t="s">
        <v>34</v>
      </c>
      <c r="C115" s="260">
        <v>12</v>
      </c>
      <c r="D115" s="286">
        <f>IFERROR(IPMT(D$101,$C115,D$102,D$103),0)*Assumption_Sheet!$C93</f>
        <v>0</v>
      </c>
      <c r="E115" s="286">
        <f>IFERROR(IPMT(E$101,$C115,E$102,E$103),0)*Assumption_Sheet!$C93</f>
        <v>0</v>
      </c>
      <c r="F115" s="286">
        <f>IFERROR(IPMT(F$101,$C115,F$102,F$103),0)*Assumption_Sheet!$C93</f>
        <v>-2871.1919707712823</v>
      </c>
      <c r="G115" s="286">
        <f>IFERROR(IPMT(G$101,$C115,G$102,G$103),0)*Assumption_Sheet!$C93</f>
        <v>0</v>
      </c>
      <c r="H115" s="286">
        <f>IFERROR(IPMT(H$101,$C115,H$102,H$103),0)*Assumption_Sheet!$C93</f>
        <v>0</v>
      </c>
      <c r="I115" s="286">
        <f>IFERROR(IPMT(I$101,$C115,I$102,I$103),0)*Assumption_Sheet!$C93</f>
        <v>0</v>
      </c>
      <c r="K115" s="749"/>
      <c r="L115" s="749"/>
      <c r="M115" s="749"/>
      <c r="N115" s="749"/>
      <c r="O115" s="749"/>
      <c r="P115" s="749"/>
    </row>
    <row r="116" spans="1:16" ht="18.5" hidden="1" customHeight="1" outlineLevel="1">
      <c r="A116" s="753"/>
      <c r="B116" s="7" t="s">
        <v>22</v>
      </c>
      <c r="C116" s="260">
        <v>13</v>
      </c>
      <c r="D116" s="286">
        <f t="shared" ref="D116:I121" si="22">IFERROR(IPMT(D$101,$C116,D$102,D$103),0)</f>
        <v>0</v>
      </c>
      <c r="E116" s="286">
        <f t="shared" si="22"/>
        <v>0</v>
      </c>
      <c r="F116" s="286">
        <f t="shared" si="22"/>
        <v>0</v>
      </c>
      <c r="G116" s="286">
        <f t="shared" si="22"/>
        <v>0</v>
      </c>
      <c r="H116" s="286">
        <f t="shared" si="22"/>
        <v>0</v>
      </c>
      <c r="I116" s="286">
        <f t="shared" si="22"/>
        <v>0</v>
      </c>
      <c r="K116" s="749"/>
      <c r="L116" s="749"/>
      <c r="M116" s="749"/>
      <c r="N116" s="749"/>
      <c r="O116" s="749"/>
      <c r="P116" s="749"/>
    </row>
    <row r="117" spans="1:16" ht="18.5" hidden="1" customHeight="1" outlineLevel="1">
      <c r="A117" s="753"/>
      <c r="B117" s="7" t="s">
        <v>23</v>
      </c>
      <c r="C117" s="260">
        <v>14</v>
      </c>
      <c r="D117" s="286">
        <f t="shared" si="22"/>
        <v>0</v>
      </c>
      <c r="E117" s="286">
        <f t="shared" si="22"/>
        <v>0</v>
      </c>
      <c r="F117" s="286">
        <f t="shared" si="22"/>
        <v>0</v>
      </c>
      <c r="G117" s="286">
        <f t="shared" si="22"/>
        <v>0</v>
      </c>
      <c r="H117" s="286">
        <f t="shared" si="22"/>
        <v>0</v>
      </c>
      <c r="I117" s="286">
        <f t="shared" si="22"/>
        <v>0</v>
      </c>
      <c r="K117" s="749"/>
      <c r="L117" s="749"/>
      <c r="M117" s="749"/>
      <c r="N117" s="749"/>
      <c r="O117" s="749"/>
      <c r="P117" s="749"/>
    </row>
    <row r="118" spans="1:16" ht="18.5" hidden="1" customHeight="1" outlineLevel="1">
      <c r="A118" s="753"/>
      <c r="B118" s="7" t="s">
        <v>24</v>
      </c>
      <c r="C118" s="260">
        <v>15</v>
      </c>
      <c r="D118" s="286">
        <f t="shared" si="22"/>
        <v>0</v>
      </c>
      <c r="E118" s="286">
        <f t="shared" si="22"/>
        <v>0</v>
      </c>
      <c r="F118" s="286">
        <f t="shared" si="22"/>
        <v>0</v>
      </c>
      <c r="G118" s="286">
        <f t="shared" si="22"/>
        <v>0</v>
      </c>
      <c r="H118" s="286">
        <f t="shared" si="22"/>
        <v>0</v>
      </c>
      <c r="I118" s="286">
        <f t="shared" si="22"/>
        <v>0</v>
      </c>
      <c r="K118" s="749"/>
      <c r="L118" s="749"/>
      <c r="M118" s="749"/>
      <c r="N118" s="749"/>
      <c r="O118" s="749"/>
      <c r="P118" s="749"/>
    </row>
    <row r="119" spans="1:16" ht="18.5" hidden="1" customHeight="1" outlineLevel="1">
      <c r="A119" s="753"/>
      <c r="B119" s="7" t="s">
        <v>25</v>
      </c>
      <c r="C119" s="260">
        <v>16</v>
      </c>
      <c r="D119" s="286">
        <f t="shared" si="22"/>
        <v>0</v>
      </c>
      <c r="E119" s="286">
        <f t="shared" si="22"/>
        <v>0</v>
      </c>
      <c r="F119" s="286">
        <f t="shared" si="22"/>
        <v>0</v>
      </c>
      <c r="G119" s="286">
        <f t="shared" si="22"/>
        <v>0</v>
      </c>
      <c r="H119" s="286">
        <f t="shared" si="22"/>
        <v>0</v>
      </c>
      <c r="I119" s="286">
        <f t="shared" si="22"/>
        <v>0</v>
      </c>
      <c r="K119" s="749"/>
      <c r="L119" s="749"/>
      <c r="M119" s="749"/>
      <c r="N119" s="749"/>
      <c r="O119" s="749"/>
      <c r="P119" s="749"/>
    </row>
    <row r="120" spans="1:16" ht="18.5" hidden="1" customHeight="1" outlineLevel="1">
      <c r="A120" s="753"/>
      <c r="B120" s="7" t="s">
        <v>26</v>
      </c>
      <c r="C120" s="260">
        <v>17</v>
      </c>
      <c r="D120" s="286">
        <f t="shared" si="22"/>
        <v>0</v>
      </c>
      <c r="E120" s="286">
        <f t="shared" si="22"/>
        <v>0</v>
      </c>
      <c r="F120" s="286">
        <f t="shared" si="22"/>
        <v>0</v>
      </c>
      <c r="G120" s="286">
        <f t="shared" si="22"/>
        <v>0</v>
      </c>
      <c r="H120" s="286">
        <f t="shared" si="22"/>
        <v>0</v>
      </c>
      <c r="I120" s="286">
        <f t="shared" si="22"/>
        <v>0</v>
      </c>
      <c r="K120" s="749"/>
      <c r="L120" s="749"/>
      <c r="M120" s="749"/>
      <c r="N120" s="749"/>
      <c r="O120" s="749"/>
      <c r="P120" s="749"/>
    </row>
    <row r="121" spans="1:16" ht="18.5" hidden="1" customHeight="1" outlineLevel="1">
      <c r="A121" s="753"/>
      <c r="B121" s="7" t="s">
        <v>27</v>
      </c>
      <c r="C121" s="260">
        <v>18</v>
      </c>
      <c r="D121" s="286">
        <f t="shared" si="22"/>
        <v>0</v>
      </c>
      <c r="E121" s="286">
        <f t="shared" si="22"/>
        <v>0</v>
      </c>
      <c r="F121" s="286">
        <f t="shared" si="22"/>
        <v>0</v>
      </c>
      <c r="G121" s="286">
        <f t="shared" si="22"/>
        <v>0</v>
      </c>
      <c r="H121" s="286">
        <f t="shared" si="22"/>
        <v>0</v>
      </c>
      <c r="I121" s="286">
        <f t="shared" si="22"/>
        <v>0</v>
      </c>
      <c r="K121" s="749"/>
      <c r="L121" s="749"/>
      <c r="M121" s="749"/>
      <c r="N121" s="749"/>
      <c r="O121" s="749"/>
      <c r="P121" s="749"/>
    </row>
    <row r="122" spans="1:16" collapsed="1">
      <c r="A122" s="260"/>
      <c r="B122" s="260"/>
      <c r="C122" s="260"/>
      <c r="D122" s="260"/>
      <c r="E122" s="260"/>
      <c r="F122" s="260"/>
      <c r="G122" s="260"/>
      <c r="H122" s="260"/>
      <c r="I122" s="260"/>
      <c r="K122" s="749"/>
      <c r="L122" s="749"/>
      <c r="M122" s="749"/>
      <c r="N122" s="749"/>
      <c r="O122" s="749"/>
      <c r="P122" s="749"/>
    </row>
    <row r="123" spans="1:16" ht="18.5" hidden="1" customHeight="1">
      <c r="A123" s="260"/>
      <c r="B123" s="8" t="s">
        <v>42</v>
      </c>
      <c r="C123" s="8"/>
      <c r="D123" s="260"/>
      <c r="E123" s="260"/>
      <c r="F123" s="260"/>
      <c r="G123" s="260"/>
      <c r="H123" s="260"/>
      <c r="I123" s="260"/>
      <c r="K123" s="749"/>
      <c r="L123" s="749"/>
      <c r="M123" s="749"/>
      <c r="N123" s="749"/>
      <c r="O123" s="749"/>
      <c r="P123" s="749"/>
    </row>
    <row r="124" spans="1:16" ht="18.5" hidden="1" customHeight="1">
      <c r="A124" s="260"/>
      <c r="B124" s="260" t="s">
        <v>43</v>
      </c>
      <c r="C124" s="17">
        <v>6.4500000000000002E-2</v>
      </c>
      <c r="D124" s="17">
        <v>6.4500000000000002E-2</v>
      </c>
      <c r="E124" s="17">
        <v>6.4500000000000002E-2</v>
      </c>
      <c r="F124" s="17">
        <v>6.4500000000000002E-2</v>
      </c>
      <c r="G124" s="17">
        <v>6.4500000000000002E-2</v>
      </c>
      <c r="H124" s="17">
        <v>6.4500000000000002E-2</v>
      </c>
      <c r="I124" s="17">
        <v>6.4500000000000002E-2</v>
      </c>
      <c r="K124" s="749"/>
      <c r="L124" s="749"/>
      <c r="M124" s="749"/>
      <c r="N124" s="749"/>
      <c r="O124" s="749"/>
      <c r="P124" s="749"/>
    </row>
    <row r="125" spans="1:16" ht="18.5" hidden="1" customHeight="1">
      <c r="A125" s="260"/>
      <c r="B125" s="260" t="s">
        <v>40</v>
      </c>
      <c r="C125" s="18">
        <v>7.9</v>
      </c>
      <c r="D125" s="18">
        <v>7.9</v>
      </c>
      <c r="E125" s="18">
        <v>7.9</v>
      </c>
      <c r="F125" s="18">
        <v>7.9</v>
      </c>
      <c r="G125" s="18">
        <v>7.9</v>
      </c>
      <c r="H125" s="18">
        <v>7.9</v>
      </c>
      <c r="I125" s="18">
        <v>7.9</v>
      </c>
      <c r="K125" s="749"/>
      <c r="L125" s="749"/>
      <c r="M125" s="749"/>
      <c r="N125" s="749"/>
      <c r="O125" s="749"/>
      <c r="P125" s="749"/>
    </row>
    <row r="126" spans="1:16" ht="18.5" hidden="1" customHeight="1">
      <c r="A126" s="260"/>
      <c r="B126" s="260" t="s">
        <v>41</v>
      </c>
      <c r="C126" s="260"/>
      <c r="D126" s="287" t="e">
        <f>#REF!+D19</f>
        <v>#REF!</v>
      </c>
      <c r="E126" s="287" t="e">
        <f>#REF!+E19</f>
        <v>#REF!</v>
      </c>
      <c r="F126" s="287" t="e">
        <f>#REF!+F19</f>
        <v>#REF!</v>
      </c>
      <c r="G126" s="287" t="e">
        <f>#REF!+G19</f>
        <v>#REF!</v>
      </c>
      <c r="H126" s="287" t="e">
        <f>#REF!+H19</f>
        <v>#REF!</v>
      </c>
      <c r="I126" s="287" t="e">
        <f>#REF!+I19</f>
        <v>#REF!</v>
      </c>
      <c r="K126" s="749"/>
      <c r="L126" s="749"/>
      <c r="M126" s="749"/>
      <c r="N126" s="749"/>
      <c r="O126" s="749"/>
      <c r="P126" s="749"/>
    </row>
    <row r="127" spans="1:16" ht="18.5" hidden="1" customHeight="1" outlineLevel="1">
      <c r="A127" s="753">
        <v>2016</v>
      </c>
      <c r="B127" s="7" t="s">
        <v>22</v>
      </c>
      <c r="C127" s="260">
        <v>1</v>
      </c>
      <c r="D127" s="286">
        <f t="shared" ref="D127:I136" si="23">IFERROR(IPMT(D$124,$C127,D$125,D$126),0)</f>
        <v>0</v>
      </c>
      <c r="E127" s="286">
        <f t="shared" si="23"/>
        <v>0</v>
      </c>
      <c r="F127" s="286">
        <f t="shared" si="23"/>
        <v>0</v>
      </c>
      <c r="G127" s="286">
        <f t="shared" si="23"/>
        <v>0</v>
      </c>
      <c r="H127" s="286">
        <f t="shared" si="23"/>
        <v>0</v>
      </c>
      <c r="I127" s="286">
        <f t="shared" si="23"/>
        <v>0</v>
      </c>
      <c r="K127" s="749"/>
      <c r="L127" s="749"/>
      <c r="M127" s="749"/>
      <c r="N127" s="749"/>
      <c r="O127" s="749"/>
      <c r="P127" s="749"/>
    </row>
    <row r="128" spans="1:16" ht="18.5" hidden="1" customHeight="1" outlineLevel="1">
      <c r="A128" s="753"/>
      <c r="B128" s="7" t="s">
        <v>23</v>
      </c>
      <c r="C128" s="260">
        <v>2</v>
      </c>
      <c r="D128" s="286">
        <f t="shared" si="23"/>
        <v>0</v>
      </c>
      <c r="E128" s="286">
        <f t="shared" si="23"/>
        <v>0</v>
      </c>
      <c r="F128" s="286">
        <f t="shared" si="23"/>
        <v>0</v>
      </c>
      <c r="G128" s="286">
        <f t="shared" si="23"/>
        <v>0</v>
      </c>
      <c r="H128" s="286">
        <f t="shared" si="23"/>
        <v>0</v>
      </c>
      <c r="I128" s="286">
        <f t="shared" si="23"/>
        <v>0</v>
      </c>
      <c r="K128" s="749"/>
      <c r="L128" s="749"/>
      <c r="M128" s="749"/>
      <c r="N128" s="749"/>
      <c r="O128" s="749"/>
      <c r="P128" s="749"/>
    </row>
    <row r="129" spans="1:16" ht="18.5" hidden="1" customHeight="1" outlineLevel="1">
      <c r="A129" s="753"/>
      <c r="B129" s="7" t="s">
        <v>24</v>
      </c>
      <c r="C129" s="260">
        <v>3</v>
      </c>
      <c r="D129" s="286">
        <f t="shared" si="23"/>
        <v>0</v>
      </c>
      <c r="E129" s="286">
        <f t="shared" si="23"/>
        <v>0</v>
      </c>
      <c r="F129" s="286">
        <f t="shared" si="23"/>
        <v>0</v>
      </c>
      <c r="G129" s="286">
        <f t="shared" si="23"/>
        <v>0</v>
      </c>
      <c r="H129" s="286">
        <f t="shared" si="23"/>
        <v>0</v>
      </c>
      <c r="I129" s="286">
        <f t="shared" si="23"/>
        <v>0</v>
      </c>
      <c r="K129" s="749"/>
      <c r="L129" s="749"/>
      <c r="M129" s="749"/>
      <c r="N129" s="749"/>
      <c r="O129" s="749"/>
      <c r="P129" s="749"/>
    </row>
    <row r="130" spans="1:16" ht="18.5" hidden="1" customHeight="1" outlineLevel="1">
      <c r="A130" s="753"/>
      <c r="B130" s="7" t="s">
        <v>25</v>
      </c>
      <c r="C130" s="260">
        <v>4</v>
      </c>
      <c r="D130" s="286">
        <f t="shared" si="23"/>
        <v>0</v>
      </c>
      <c r="E130" s="286">
        <f t="shared" si="23"/>
        <v>0</v>
      </c>
      <c r="F130" s="286">
        <f t="shared" si="23"/>
        <v>0</v>
      </c>
      <c r="G130" s="286">
        <f t="shared" si="23"/>
        <v>0</v>
      </c>
      <c r="H130" s="286">
        <f t="shared" si="23"/>
        <v>0</v>
      </c>
      <c r="I130" s="286">
        <f t="shared" si="23"/>
        <v>0</v>
      </c>
      <c r="K130" s="749"/>
      <c r="L130" s="749"/>
      <c r="M130" s="749"/>
      <c r="N130" s="749"/>
      <c r="O130" s="749"/>
      <c r="P130" s="749"/>
    </row>
    <row r="131" spans="1:16" ht="18.5" hidden="1" customHeight="1" outlineLevel="1">
      <c r="A131" s="753"/>
      <c r="B131" s="7" t="s">
        <v>26</v>
      </c>
      <c r="C131" s="260">
        <v>5</v>
      </c>
      <c r="D131" s="286">
        <f t="shared" si="23"/>
        <v>0</v>
      </c>
      <c r="E131" s="286">
        <f t="shared" si="23"/>
        <v>0</v>
      </c>
      <c r="F131" s="286">
        <f t="shared" si="23"/>
        <v>0</v>
      </c>
      <c r="G131" s="286">
        <f t="shared" si="23"/>
        <v>0</v>
      </c>
      <c r="H131" s="286">
        <f t="shared" si="23"/>
        <v>0</v>
      </c>
      <c r="I131" s="286">
        <f t="shared" si="23"/>
        <v>0</v>
      </c>
      <c r="K131" s="749"/>
      <c r="L131" s="749"/>
      <c r="M131" s="749"/>
      <c r="N131" s="749"/>
      <c r="O131" s="749"/>
      <c r="P131" s="749"/>
    </row>
    <row r="132" spans="1:16" ht="18.5" hidden="1" customHeight="1" outlineLevel="1">
      <c r="A132" s="753"/>
      <c r="B132" s="7" t="s">
        <v>27</v>
      </c>
      <c r="C132" s="260">
        <v>6</v>
      </c>
      <c r="D132" s="286">
        <f t="shared" si="23"/>
        <v>0</v>
      </c>
      <c r="E132" s="286">
        <f t="shared" si="23"/>
        <v>0</v>
      </c>
      <c r="F132" s="286">
        <f t="shared" si="23"/>
        <v>0</v>
      </c>
      <c r="G132" s="286">
        <f t="shared" si="23"/>
        <v>0</v>
      </c>
      <c r="H132" s="286">
        <f t="shared" si="23"/>
        <v>0</v>
      </c>
      <c r="I132" s="286">
        <f t="shared" si="23"/>
        <v>0</v>
      </c>
      <c r="K132" s="749"/>
      <c r="L132" s="749"/>
      <c r="M132" s="749"/>
      <c r="N132" s="749"/>
      <c r="O132" s="749"/>
      <c r="P132" s="749"/>
    </row>
    <row r="133" spans="1:16" ht="18.5" hidden="1" customHeight="1" outlineLevel="1">
      <c r="A133" s="753"/>
      <c r="B133" s="7" t="s">
        <v>28</v>
      </c>
      <c r="C133" s="260">
        <v>7</v>
      </c>
      <c r="D133" s="286">
        <f t="shared" si="23"/>
        <v>0</v>
      </c>
      <c r="E133" s="286">
        <f t="shared" si="23"/>
        <v>0</v>
      </c>
      <c r="F133" s="286">
        <f t="shared" si="23"/>
        <v>0</v>
      </c>
      <c r="G133" s="286">
        <f t="shared" si="23"/>
        <v>0</v>
      </c>
      <c r="H133" s="286">
        <f t="shared" si="23"/>
        <v>0</v>
      </c>
      <c r="I133" s="286">
        <f t="shared" si="23"/>
        <v>0</v>
      </c>
      <c r="K133" s="749"/>
      <c r="L133" s="749"/>
      <c r="M133" s="749"/>
      <c r="N133" s="749"/>
      <c r="O133" s="749"/>
      <c r="P133" s="749"/>
    </row>
    <row r="134" spans="1:16" ht="18.5" hidden="1" customHeight="1" outlineLevel="1">
      <c r="A134" s="753"/>
      <c r="B134" s="7" t="s">
        <v>29</v>
      </c>
      <c r="C134" s="260">
        <v>8</v>
      </c>
      <c r="D134" s="286">
        <f t="shared" si="23"/>
        <v>0</v>
      </c>
      <c r="E134" s="286">
        <f t="shared" si="23"/>
        <v>0</v>
      </c>
      <c r="F134" s="286">
        <f t="shared" si="23"/>
        <v>0</v>
      </c>
      <c r="G134" s="286">
        <f t="shared" si="23"/>
        <v>0</v>
      </c>
      <c r="H134" s="286">
        <f t="shared" si="23"/>
        <v>0</v>
      </c>
      <c r="I134" s="286">
        <f t="shared" si="23"/>
        <v>0</v>
      </c>
      <c r="K134" s="749"/>
      <c r="L134" s="749"/>
      <c r="M134" s="749"/>
      <c r="N134" s="749"/>
      <c r="O134" s="749"/>
      <c r="P134" s="749"/>
    </row>
    <row r="135" spans="1:16" ht="18.5" hidden="1" customHeight="1" outlineLevel="1">
      <c r="A135" s="753"/>
      <c r="B135" s="7" t="s">
        <v>30</v>
      </c>
      <c r="C135" s="260">
        <v>9</v>
      </c>
      <c r="D135" s="286">
        <f t="shared" si="23"/>
        <v>0</v>
      </c>
      <c r="E135" s="286">
        <f t="shared" si="23"/>
        <v>0</v>
      </c>
      <c r="F135" s="286">
        <f t="shared" si="23"/>
        <v>0</v>
      </c>
      <c r="G135" s="286">
        <f t="shared" si="23"/>
        <v>0</v>
      </c>
      <c r="H135" s="286">
        <f t="shared" si="23"/>
        <v>0</v>
      </c>
      <c r="I135" s="286">
        <f t="shared" si="23"/>
        <v>0</v>
      </c>
      <c r="K135" s="749"/>
      <c r="L135" s="749"/>
      <c r="M135" s="749"/>
      <c r="N135" s="749"/>
      <c r="O135" s="749"/>
      <c r="P135" s="749"/>
    </row>
    <row r="136" spans="1:16" ht="18.5" hidden="1" customHeight="1" outlineLevel="1">
      <c r="A136" s="753"/>
      <c r="B136" s="7" t="s">
        <v>31</v>
      </c>
      <c r="C136" s="260">
        <v>10</v>
      </c>
      <c r="D136" s="286">
        <f t="shared" si="23"/>
        <v>0</v>
      </c>
      <c r="E136" s="286">
        <f t="shared" si="23"/>
        <v>0</v>
      </c>
      <c r="F136" s="286">
        <f t="shared" si="23"/>
        <v>0</v>
      </c>
      <c r="G136" s="286">
        <f t="shared" si="23"/>
        <v>0</v>
      </c>
      <c r="H136" s="286">
        <f t="shared" si="23"/>
        <v>0</v>
      </c>
      <c r="I136" s="286">
        <f t="shared" si="23"/>
        <v>0</v>
      </c>
      <c r="K136" s="749"/>
      <c r="L136" s="749"/>
      <c r="M136" s="749"/>
      <c r="N136" s="749"/>
      <c r="O136" s="749"/>
      <c r="P136" s="749"/>
    </row>
    <row r="137" spans="1:16" ht="18.5" hidden="1" customHeight="1" outlineLevel="1">
      <c r="A137" s="753">
        <v>2017</v>
      </c>
      <c r="B137" s="7" t="s">
        <v>33</v>
      </c>
      <c r="C137" s="260">
        <v>11</v>
      </c>
      <c r="D137" s="286">
        <f t="shared" ref="D137:I144" si="24">IFERROR(IPMT(D$124,$C137,D$125,D$126),0)</f>
        <v>0</v>
      </c>
      <c r="E137" s="286">
        <f t="shared" si="24"/>
        <v>0</v>
      </c>
      <c r="F137" s="286">
        <f t="shared" si="24"/>
        <v>0</v>
      </c>
      <c r="G137" s="286">
        <f t="shared" si="24"/>
        <v>0</v>
      </c>
      <c r="H137" s="286">
        <f t="shared" si="24"/>
        <v>0</v>
      </c>
      <c r="I137" s="286">
        <f t="shared" si="24"/>
        <v>0</v>
      </c>
      <c r="K137" s="749"/>
      <c r="L137" s="749"/>
      <c r="M137" s="749"/>
      <c r="N137" s="749"/>
      <c r="O137" s="749"/>
      <c r="P137" s="749"/>
    </row>
    <row r="138" spans="1:16" ht="18.5" hidden="1" customHeight="1" outlineLevel="1">
      <c r="A138" s="753"/>
      <c r="B138" s="7" t="s">
        <v>34</v>
      </c>
      <c r="C138" s="260">
        <v>12</v>
      </c>
      <c r="D138" s="286">
        <f t="shared" si="24"/>
        <v>0</v>
      </c>
      <c r="E138" s="286">
        <f t="shared" si="24"/>
        <v>0</v>
      </c>
      <c r="F138" s="286">
        <f t="shared" si="24"/>
        <v>0</v>
      </c>
      <c r="G138" s="286">
        <f t="shared" si="24"/>
        <v>0</v>
      </c>
      <c r="H138" s="286">
        <f t="shared" si="24"/>
        <v>0</v>
      </c>
      <c r="I138" s="286">
        <f t="shared" si="24"/>
        <v>0</v>
      </c>
      <c r="K138" s="749"/>
      <c r="L138" s="749"/>
      <c r="M138" s="749"/>
      <c r="N138" s="749"/>
      <c r="O138" s="749"/>
      <c r="P138" s="749"/>
    </row>
    <row r="139" spans="1:16" ht="18.5" hidden="1" customHeight="1" outlineLevel="1">
      <c r="A139" s="753"/>
      <c r="B139" s="7" t="s">
        <v>22</v>
      </c>
      <c r="C139" s="260">
        <v>13</v>
      </c>
      <c r="D139" s="286">
        <f t="shared" si="24"/>
        <v>0</v>
      </c>
      <c r="E139" s="286">
        <f t="shared" si="24"/>
        <v>0</v>
      </c>
      <c r="F139" s="286">
        <f t="shared" si="24"/>
        <v>0</v>
      </c>
      <c r="G139" s="286">
        <f t="shared" si="24"/>
        <v>0</v>
      </c>
      <c r="H139" s="286">
        <f t="shared" si="24"/>
        <v>0</v>
      </c>
      <c r="I139" s="286">
        <f t="shared" si="24"/>
        <v>0</v>
      </c>
      <c r="K139" s="749"/>
      <c r="L139" s="749"/>
      <c r="M139" s="749"/>
      <c r="N139" s="749"/>
      <c r="O139" s="749"/>
      <c r="P139" s="749"/>
    </row>
    <row r="140" spans="1:16" ht="18.5" hidden="1" customHeight="1" outlineLevel="1">
      <c r="A140" s="753"/>
      <c r="B140" s="7" t="s">
        <v>23</v>
      </c>
      <c r="C140" s="260">
        <v>14</v>
      </c>
      <c r="D140" s="286">
        <f t="shared" si="24"/>
        <v>0</v>
      </c>
      <c r="E140" s="286">
        <f t="shared" si="24"/>
        <v>0</v>
      </c>
      <c r="F140" s="286">
        <f t="shared" si="24"/>
        <v>0</v>
      </c>
      <c r="G140" s="286">
        <f t="shared" si="24"/>
        <v>0</v>
      </c>
      <c r="H140" s="286">
        <f t="shared" si="24"/>
        <v>0</v>
      </c>
      <c r="I140" s="286">
        <f t="shared" si="24"/>
        <v>0</v>
      </c>
      <c r="K140" s="749"/>
      <c r="L140" s="749"/>
      <c r="M140" s="749"/>
      <c r="N140" s="749"/>
      <c r="O140" s="749"/>
      <c r="P140" s="749"/>
    </row>
    <row r="141" spans="1:16" ht="18.5" hidden="1" customHeight="1" outlineLevel="1">
      <c r="A141" s="753"/>
      <c r="B141" s="7" t="s">
        <v>24</v>
      </c>
      <c r="C141" s="260">
        <v>15</v>
      </c>
      <c r="D141" s="286">
        <f t="shared" si="24"/>
        <v>0</v>
      </c>
      <c r="E141" s="286">
        <f t="shared" si="24"/>
        <v>0</v>
      </c>
      <c r="F141" s="286">
        <f t="shared" si="24"/>
        <v>0</v>
      </c>
      <c r="G141" s="286">
        <f t="shared" si="24"/>
        <v>0</v>
      </c>
      <c r="H141" s="286">
        <f t="shared" si="24"/>
        <v>0</v>
      </c>
      <c r="I141" s="286">
        <f t="shared" si="24"/>
        <v>0</v>
      </c>
      <c r="K141" s="749"/>
      <c r="L141" s="749"/>
      <c r="M141" s="749"/>
      <c r="N141" s="749"/>
      <c r="O141" s="749"/>
      <c r="P141" s="749"/>
    </row>
    <row r="142" spans="1:16" ht="18.5" hidden="1" customHeight="1" outlineLevel="1">
      <c r="A142" s="753"/>
      <c r="B142" s="7" t="s">
        <v>25</v>
      </c>
      <c r="C142" s="260">
        <v>16</v>
      </c>
      <c r="D142" s="286">
        <f t="shared" si="24"/>
        <v>0</v>
      </c>
      <c r="E142" s="286">
        <f t="shared" si="24"/>
        <v>0</v>
      </c>
      <c r="F142" s="286">
        <f t="shared" si="24"/>
        <v>0</v>
      </c>
      <c r="G142" s="286">
        <f t="shared" si="24"/>
        <v>0</v>
      </c>
      <c r="H142" s="286">
        <f t="shared" si="24"/>
        <v>0</v>
      </c>
      <c r="I142" s="286">
        <f t="shared" si="24"/>
        <v>0</v>
      </c>
      <c r="K142" s="749"/>
      <c r="L142" s="749"/>
      <c r="M142" s="749"/>
      <c r="N142" s="749"/>
      <c r="O142" s="749"/>
      <c r="P142" s="749"/>
    </row>
    <row r="143" spans="1:16" ht="18.5" hidden="1" customHeight="1" outlineLevel="1">
      <c r="A143" s="753"/>
      <c r="B143" s="7" t="s">
        <v>26</v>
      </c>
      <c r="C143" s="260">
        <v>17</v>
      </c>
      <c r="D143" s="286">
        <f t="shared" si="24"/>
        <v>0</v>
      </c>
      <c r="E143" s="286">
        <f t="shared" si="24"/>
        <v>0</v>
      </c>
      <c r="F143" s="286">
        <f t="shared" si="24"/>
        <v>0</v>
      </c>
      <c r="G143" s="286">
        <f t="shared" si="24"/>
        <v>0</v>
      </c>
      <c r="H143" s="286">
        <f t="shared" si="24"/>
        <v>0</v>
      </c>
      <c r="I143" s="286">
        <f t="shared" si="24"/>
        <v>0</v>
      </c>
      <c r="K143" s="749"/>
      <c r="L143" s="749"/>
      <c r="M143" s="749"/>
      <c r="N143" s="749"/>
      <c r="O143" s="749"/>
      <c r="P143" s="749"/>
    </row>
    <row r="144" spans="1:16" ht="18.5" hidden="1" customHeight="1" outlineLevel="1">
      <c r="A144" s="753"/>
      <c r="B144" s="7" t="s">
        <v>27</v>
      </c>
      <c r="C144" s="260">
        <v>18</v>
      </c>
      <c r="D144" s="286">
        <f t="shared" si="24"/>
        <v>0</v>
      </c>
      <c r="E144" s="286">
        <f t="shared" si="24"/>
        <v>0</v>
      </c>
      <c r="F144" s="286">
        <f t="shared" si="24"/>
        <v>0</v>
      </c>
      <c r="G144" s="286">
        <f t="shared" si="24"/>
        <v>0</v>
      </c>
      <c r="H144" s="286">
        <f t="shared" si="24"/>
        <v>0</v>
      </c>
      <c r="I144" s="286">
        <f t="shared" si="24"/>
        <v>0</v>
      </c>
      <c r="K144" s="749"/>
      <c r="L144" s="749"/>
      <c r="M144" s="749"/>
      <c r="N144" s="749"/>
      <c r="O144" s="749"/>
      <c r="P144" s="749"/>
    </row>
    <row r="145" spans="1:17" collapsed="1">
      <c r="A145" s="260"/>
      <c r="B145" s="260"/>
      <c r="C145" s="260"/>
      <c r="D145" s="260"/>
      <c r="E145" s="260"/>
      <c r="F145" s="260"/>
      <c r="G145" s="260"/>
      <c r="H145" s="260"/>
      <c r="I145" s="260"/>
      <c r="K145" s="749"/>
      <c r="L145" s="749"/>
      <c r="M145" s="749"/>
      <c r="N145" s="749"/>
      <c r="O145" s="749"/>
      <c r="P145" s="749"/>
    </row>
    <row r="146" spans="1:17">
      <c r="A146" s="260"/>
      <c r="B146" s="288"/>
      <c r="C146" s="288"/>
      <c r="D146" s="288"/>
      <c r="E146" s="288"/>
      <c r="F146" s="288"/>
      <c r="G146" s="288"/>
      <c r="H146" s="288"/>
      <c r="I146" s="288"/>
      <c r="K146" s="749"/>
      <c r="L146" s="749"/>
      <c r="M146" s="749"/>
      <c r="N146" s="749"/>
      <c r="O146" s="749"/>
      <c r="P146" s="749"/>
    </row>
    <row r="147" spans="1:17">
      <c r="A147" s="260"/>
      <c r="B147" s="2" t="s">
        <v>44</v>
      </c>
      <c r="C147" s="260"/>
      <c r="D147" s="260"/>
      <c r="E147" s="260"/>
      <c r="F147" s="260"/>
      <c r="G147" s="260"/>
      <c r="H147" s="260"/>
      <c r="I147" s="260"/>
      <c r="K147" s="749"/>
      <c r="L147" s="749"/>
      <c r="M147" s="749"/>
      <c r="N147" s="749"/>
      <c r="O147" s="749"/>
      <c r="P147" s="749"/>
    </row>
    <row r="148" spans="1:17">
      <c r="A148" s="260"/>
      <c r="B148" s="260" t="s">
        <v>45</v>
      </c>
      <c r="C148" s="260"/>
      <c r="D148" s="277">
        <f t="shared" ref="D148:I148" si="25">-SUM(D104:D121,D127:D144)+SUM(D18:D19)</f>
        <v>0</v>
      </c>
      <c r="E148" s="277">
        <f t="shared" si="25"/>
        <v>187168.57662619368</v>
      </c>
      <c r="F148" s="277">
        <f t="shared" si="25"/>
        <v>286583.61068937375</v>
      </c>
      <c r="G148" s="277">
        <f t="shared" si="25"/>
        <v>0</v>
      </c>
      <c r="H148" s="277">
        <f t="shared" si="25"/>
        <v>596760.63302120974</v>
      </c>
      <c r="I148" s="277">
        <f t="shared" si="25"/>
        <v>265468.03378947586</v>
      </c>
      <c r="K148" s="749"/>
      <c r="L148" s="749"/>
      <c r="M148" s="749"/>
      <c r="N148" s="749"/>
      <c r="O148" s="749"/>
      <c r="P148" s="749"/>
    </row>
    <row r="149" spans="1:17">
      <c r="A149" s="260"/>
      <c r="B149" s="260" t="s">
        <v>12</v>
      </c>
      <c r="C149" s="260"/>
      <c r="D149" s="277">
        <f t="shared" ref="D149:I149" si="26">-D9*(D14)</f>
        <v>0</v>
      </c>
      <c r="E149" s="277">
        <f t="shared" si="26"/>
        <v>-31592.183999999997</v>
      </c>
      <c r="F149" s="277">
        <f t="shared" si="26"/>
        <v>-57957.130000000005</v>
      </c>
      <c r="G149" s="277">
        <f t="shared" si="26"/>
        <v>0</v>
      </c>
      <c r="H149" s="277">
        <f t="shared" si="26"/>
        <v>-214564.48499999999</v>
      </c>
      <c r="I149" s="277">
        <f t="shared" si="26"/>
        <v>-86189.222999999998</v>
      </c>
      <c r="K149" s="749"/>
      <c r="L149" s="749"/>
      <c r="M149" s="749"/>
      <c r="N149" s="749"/>
      <c r="O149" s="749"/>
      <c r="P149" s="749"/>
    </row>
    <row r="150" spans="1:17">
      <c r="A150" s="260"/>
      <c r="B150" s="23" t="s">
        <v>46</v>
      </c>
      <c r="C150" s="23"/>
      <c r="D150" s="20">
        <f t="shared" ref="D150:I150" si="27">SUM(D148:D149)</f>
        <v>0</v>
      </c>
      <c r="E150" s="20">
        <f t="shared" si="27"/>
        <v>155576.39262619367</v>
      </c>
      <c r="F150" s="20">
        <f t="shared" si="27"/>
        <v>228626.48068937374</v>
      </c>
      <c r="G150" s="20">
        <f t="shared" si="27"/>
        <v>0</v>
      </c>
      <c r="H150" s="20">
        <f t="shared" si="27"/>
        <v>382196.14802120975</v>
      </c>
      <c r="I150" s="20">
        <f t="shared" si="27"/>
        <v>179278.81078947586</v>
      </c>
      <c r="K150" s="749"/>
      <c r="L150" s="749"/>
      <c r="M150" s="749"/>
      <c r="N150" s="749"/>
      <c r="O150" s="749"/>
      <c r="P150" s="749"/>
    </row>
    <row r="151" spans="1:17" ht="4" customHeight="1">
      <c r="A151" s="260"/>
      <c r="B151" s="2"/>
      <c r="C151" s="2"/>
      <c r="D151" s="21"/>
      <c r="E151" s="21"/>
      <c r="F151" s="21"/>
      <c r="G151" s="21"/>
      <c r="H151" s="21"/>
      <c r="I151" s="21"/>
      <c r="K151" s="749"/>
      <c r="L151" s="749"/>
      <c r="M151" s="749"/>
      <c r="N151" s="749"/>
      <c r="O151" s="749"/>
      <c r="P151" s="749"/>
    </row>
    <row r="152" spans="1:17">
      <c r="A152" s="260"/>
      <c r="B152" s="2" t="s">
        <v>413</v>
      </c>
      <c r="C152" s="2"/>
      <c r="D152" s="21"/>
      <c r="E152" s="21"/>
      <c r="F152" s="21"/>
      <c r="G152" s="156" t="e">
        <f>-G153/G12</f>
        <v>#DIV/0!</v>
      </c>
      <c r="H152" s="21"/>
      <c r="I152" s="21"/>
      <c r="K152" s="749"/>
      <c r="L152" s="749"/>
      <c r="M152" s="749"/>
      <c r="N152" s="749"/>
      <c r="O152" s="749"/>
      <c r="P152" s="749"/>
    </row>
    <row r="153" spans="1:17">
      <c r="A153" s="260"/>
      <c r="B153" s="260" t="s">
        <v>37</v>
      </c>
      <c r="C153" s="260"/>
      <c r="D153" s="277">
        <f t="shared" ref="D153:I153" si="28">-D99</f>
        <v>0</v>
      </c>
      <c r="E153" s="277">
        <f t="shared" si="28"/>
        <v>-44966.020908660343</v>
      </c>
      <c r="F153" s="277">
        <f t="shared" si="28"/>
        <v>-67263.512923360468</v>
      </c>
      <c r="G153" s="277">
        <f t="shared" si="28"/>
        <v>0</v>
      </c>
      <c r="H153" s="277">
        <f t="shared" si="28"/>
        <v>-87117.787246951091</v>
      </c>
      <c r="I153" s="277">
        <f t="shared" si="28"/>
        <v>-49846.938716422745</v>
      </c>
      <c r="J153" s="501" t="s">
        <v>430</v>
      </c>
      <c r="K153" s="749"/>
      <c r="L153" s="749"/>
      <c r="M153" s="749"/>
      <c r="N153" s="749"/>
      <c r="O153" s="749"/>
      <c r="P153" s="749"/>
    </row>
    <row r="154" spans="1:17">
      <c r="A154" s="260"/>
      <c r="B154" s="2" t="s">
        <v>341</v>
      </c>
      <c r="C154" s="260"/>
      <c r="D154" s="21"/>
      <c r="E154" s="21"/>
      <c r="F154" s="21"/>
      <c r="G154" s="21"/>
      <c r="H154" s="21"/>
      <c r="I154" s="21"/>
      <c r="J154" s="501"/>
      <c r="K154" s="481"/>
      <c r="L154" s="481"/>
      <c r="M154" s="481"/>
      <c r="N154" s="481"/>
      <c r="O154" s="481"/>
      <c r="P154" s="481"/>
    </row>
    <row r="155" spans="1:17">
      <c r="A155" s="260"/>
      <c r="B155" s="487" t="s">
        <v>408</v>
      </c>
      <c r="C155" s="66">
        <v>50</v>
      </c>
      <c r="D155" s="277">
        <f>-C155*D7</f>
        <v>-550</v>
      </c>
      <c r="E155" s="277">
        <f>-C155*E7</f>
        <v>-550</v>
      </c>
      <c r="F155" s="277">
        <f>-C155*F7</f>
        <v>-600</v>
      </c>
      <c r="G155" s="277">
        <f>-C155*G7</f>
        <v>-450</v>
      </c>
      <c r="H155" s="277">
        <f>-C155*H7</f>
        <v>-450</v>
      </c>
      <c r="I155" s="277">
        <f>-C155*I7</f>
        <v>-550</v>
      </c>
      <c r="J155" s="500" t="s">
        <v>432</v>
      </c>
      <c r="K155" s="481"/>
      <c r="L155" s="481"/>
      <c r="M155" s="481"/>
      <c r="N155" s="481"/>
      <c r="O155" s="481"/>
      <c r="P155" s="481"/>
    </row>
    <row r="156" spans="1:17">
      <c r="A156" s="260"/>
      <c r="B156" s="10" t="s">
        <v>48</v>
      </c>
      <c r="C156" s="66">
        <v>10</v>
      </c>
      <c r="D156" s="277">
        <f t="shared" ref="D156:I156" si="29">-$C156*D11</f>
        <v>-10</v>
      </c>
      <c r="E156" s="277">
        <f t="shared" si="29"/>
        <v>-10</v>
      </c>
      <c r="F156" s="277">
        <f t="shared" si="29"/>
        <v>-10</v>
      </c>
      <c r="G156" s="277">
        <f t="shared" si="29"/>
        <v>-10</v>
      </c>
      <c r="H156" s="277">
        <f t="shared" si="29"/>
        <v>-10</v>
      </c>
      <c r="I156" s="277">
        <f t="shared" si="29"/>
        <v>-10</v>
      </c>
      <c r="J156" s="500" t="s">
        <v>431</v>
      </c>
      <c r="K156" s="749"/>
      <c r="L156" s="749"/>
      <c r="M156" s="749"/>
      <c r="N156" s="749"/>
      <c r="O156" s="749"/>
      <c r="P156" s="749"/>
    </row>
    <row r="157" spans="1:17">
      <c r="A157" s="260"/>
      <c r="B157" s="10" t="s">
        <v>121</v>
      </c>
      <c r="C157" s="17">
        <v>0.01</v>
      </c>
      <c r="D157" s="277">
        <f>((IF(($C157*(-SUM(D45:D62)))&gt;(2000*D7),-2000*D7,($C157*SUM(D45:D62))))*(1-D9))*0.5</f>
        <v>0</v>
      </c>
      <c r="E157" s="277">
        <f t="shared" ref="E157:F157" si="30">((IF(($C157*(-SUM(E45:E62)))&gt;(2000*E7),-2000*E7,($C157*SUM(E45:E62))))*(1-E9))*0.5</f>
        <v>-3766.9281332081578</v>
      </c>
      <c r="F157" s="277">
        <f t="shared" si="30"/>
        <v>-5182.6231397055881</v>
      </c>
      <c r="G157" s="277">
        <f>((IF(($C157*(-SUM(G45:G62)))&gt;(2000*G7),-2000*G7,($C157*SUM(G45:G62))))*(1-G9))*0.5</f>
        <v>0</v>
      </c>
      <c r="H157" s="277">
        <f>((IF(($C157*(-SUM(H45:H62)))&gt;(2000*H7),-2000*H7,($C157*SUM(H45:H62))))*(1-H9))*0.5</f>
        <v>-7605</v>
      </c>
      <c r="I157" s="277">
        <f>((IF(($C157*(-SUM(I45:I62)))&gt;(2000*I7),-2000*I7,($C157*SUM(I45:I62))))*(1-I9))*0.5</f>
        <v>-4012.1774918152728</v>
      </c>
      <c r="J157" s="501"/>
      <c r="K157" s="749"/>
      <c r="L157" s="749"/>
      <c r="M157" s="749"/>
      <c r="N157" s="749"/>
      <c r="O157" s="749"/>
      <c r="P157" s="749"/>
    </row>
    <row r="158" spans="1:17" ht="17.5" customHeight="1">
      <c r="A158" s="260"/>
      <c r="B158" s="260" t="s">
        <v>49</v>
      </c>
      <c r="C158" s="67">
        <f>(0.35/1000)*1.075</f>
        <v>3.7624999999999996E-4</v>
      </c>
      <c r="D158" s="277">
        <f t="shared" ref="D158:I158" si="31">-$C158*D14</f>
        <v>0</v>
      </c>
      <c r="E158" s="277">
        <f t="shared" si="31"/>
        <v>-228.58767749999998</v>
      </c>
      <c r="F158" s="277">
        <f t="shared" si="31"/>
        <v>-311.51957374999995</v>
      </c>
      <c r="G158" s="277">
        <f t="shared" si="31"/>
        <v>0</v>
      </c>
      <c r="H158" s="277">
        <f t="shared" si="31"/>
        <v>-520.83798374999992</v>
      </c>
      <c r="I158" s="277">
        <f t="shared" si="31"/>
        <v>-247.54729124999997</v>
      </c>
      <c r="J158" s="481" t="s">
        <v>433</v>
      </c>
      <c r="K158" s="749"/>
      <c r="L158" s="749"/>
      <c r="M158" s="749"/>
      <c r="N158" s="749"/>
      <c r="O158" s="749"/>
      <c r="P158" s="749"/>
    </row>
    <row r="159" spans="1:17" s="2" customFormat="1" ht="19" customHeight="1">
      <c r="A159" s="8"/>
      <c r="B159" s="8" t="s">
        <v>411</v>
      </c>
      <c r="C159" s="503"/>
      <c r="D159" s="504">
        <f>SUM(D155:D158)</f>
        <v>-560</v>
      </c>
      <c r="E159" s="504">
        <f t="shared" ref="E159:I159" si="32">SUM(E155:E158)</f>
        <v>-4555.515810708157</v>
      </c>
      <c r="F159" s="504">
        <f t="shared" si="32"/>
        <v>-6104.1427134555879</v>
      </c>
      <c r="G159" s="504">
        <f t="shared" si="32"/>
        <v>-460</v>
      </c>
      <c r="H159" s="504">
        <f t="shared" si="32"/>
        <v>-8585.8379837499997</v>
      </c>
      <c r="I159" s="504">
        <f t="shared" si="32"/>
        <v>-4819.7247830652732</v>
      </c>
      <c r="J159" s="481"/>
      <c r="K159" s="749"/>
      <c r="L159" s="749"/>
      <c r="M159" s="749"/>
      <c r="N159" s="749"/>
      <c r="O159" s="749"/>
      <c r="P159" s="749"/>
      <c r="Q159" s="481"/>
    </row>
    <row r="160" spans="1:17">
      <c r="A160" s="260"/>
      <c r="B160" s="505" t="s">
        <v>50</v>
      </c>
      <c r="C160" s="505"/>
      <c r="D160" s="506">
        <f>D153+D159</f>
        <v>-560</v>
      </c>
      <c r="E160" s="506">
        <f t="shared" ref="E160:I160" si="33">E153+E159</f>
        <v>-49521.536719368502</v>
      </c>
      <c r="F160" s="506">
        <f t="shared" si="33"/>
        <v>-73367.655636816053</v>
      </c>
      <c r="G160" s="506">
        <f t="shared" si="33"/>
        <v>-460</v>
      </c>
      <c r="H160" s="506">
        <f t="shared" si="33"/>
        <v>-95703.625230701087</v>
      </c>
      <c r="I160" s="506">
        <f t="shared" si="33"/>
        <v>-54666.663499488015</v>
      </c>
      <c r="J160" s="501"/>
      <c r="K160" s="749"/>
      <c r="L160" s="749"/>
      <c r="M160" s="749"/>
      <c r="N160" s="749"/>
      <c r="O160" s="749"/>
      <c r="P160" s="749"/>
    </row>
    <row r="161" spans="1:17" ht="4" customHeight="1">
      <c r="A161" s="260"/>
      <c r="B161" s="260"/>
      <c r="C161" s="260"/>
      <c r="D161" s="291"/>
      <c r="E161" s="291"/>
      <c r="F161" s="291"/>
      <c r="G161" s="291"/>
      <c r="H161" s="291"/>
      <c r="I161" s="291"/>
      <c r="K161" s="749"/>
      <c r="L161" s="749"/>
      <c r="M161" s="749"/>
      <c r="N161" s="749"/>
      <c r="O161" s="749"/>
      <c r="P161" s="749"/>
    </row>
    <row r="162" spans="1:17">
      <c r="A162" s="260"/>
      <c r="B162" s="4" t="s">
        <v>400</v>
      </c>
      <c r="C162" s="260"/>
      <c r="D162" s="292"/>
      <c r="E162" s="291"/>
      <c r="F162" s="291"/>
      <c r="G162" s="291"/>
      <c r="H162" s="291"/>
      <c r="I162" s="291"/>
      <c r="J162" s="481" t="s">
        <v>434</v>
      </c>
      <c r="K162" s="749"/>
      <c r="L162" s="749"/>
      <c r="M162" s="749"/>
      <c r="N162" s="749"/>
      <c r="O162" s="749"/>
      <c r="P162" s="749"/>
    </row>
    <row r="163" spans="1:17">
      <c r="B163" s="260" t="s">
        <v>56</v>
      </c>
      <c r="C163" s="17"/>
      <c r="D163" s="277">
        <f>-D14*Assumption_Sheet!B$120</f>
        <v>0</v>
      </c>
      <c r="E163" s="277">
        <f>-E14*Assumption_Sheet!C$120</f>
        <v>-1449.2702287901054</v>
      </c>
      <c r="F163" s="277">
        <f>-F14*Assumption_Sheet!D$120</f>
        <v>-1163.7917151067752</v>
      </c>
      <c r="G163" s="277">
        <f>-G14*Assumption_Sheet!$F$120</f>
        <v>0</v>
      </c>
      <c r="H163" s="277">
        <f>-H14*Assumption_Sheet!$F$120</f>
        <v>-4024.0577381821927</v>
      </c>
      <c r="I163" s="750">
        <f>-(AVERAGE(Assumption_Sheet!$B$128:$K$128)*I$14)</f>
        <v>-11722.868347767009</v>
      </c>
      <c r="K163" s="749"/>
      <c r="L163" s="749"/>
      <c r="M163" s="749"/>
      <c r="N163" s="749"/>
      <c r="O163" s="749"/>
      <c r="P163" s="749"/>
    </row>
    <row r="164" spans="1:17">
      <c r="B164" s="260" t="s">
        <v>57</v>
      </c>
      <c r="C164" s="17">
        <f>AVERAGE(Assumption_Sheet!B126:K126)</f>
        <v>4.592674493046664E-3</v>
      </c>
      <c r="D164" s="277">
        <f t="shared" ref="D164:H165" si="34">-($C164*D$14)</f>
        <v>0</v>
      </c>
      <c r="E164" s="277">
        <f t="shared" si="34"/>
        <v>-2790.2426468545564</v>
      </c>
      <c r="F164" s="277">
        <f t="shared" si="34"/>
        <v>-3802.5461805884229</v>
      </c>
      <c r="G164" s="277">
        <f t="shared" si="34"/>
        <v>0</v>
      </c>
      <c r="H164" s="277">
        <f t="shared" si="34"/>
        <v>-6357.5795959560874</v>
      </c>
      <c r="I164" s="751"/>
      <c r="K164" s="749"/>
      <c r="L164" s="749"/>
      <c r="M164" s="749"/>
      <c r="N164" s="749"/>
      <c r="O164" s="749"/>
      <c r="P164" s="749"/>
    </row>
    <row r="165" spans="1:17">
      <c r="B165" s="260" t="s">
        <v>58</v>
      </c>
      <c r="C165" s="17">
        <f>AVERAGE(Assumption_Sheet!B127:K127)</f>
        <v>4.0229480669732811E-4</v>
      </c>
      <c r="D165" s="277">
        <f t="shared" si="34"/>
        <v>0</v>
      </c>
      <c r="E165" s="277">
        <f t="shared" si="34"/>
        <v>-244.41099145050811</v>
      </c>
      <c r="F165" s="277">
        <f t="shared" si="34"/>
        <v>-333.08360585831309</v>
      </c>
      <c r="G165" s="277">
        <f t="shared" si="34"/>
        <v>0</v>
      </c>
      <c r="H165" s="277">
        <f t="shared" si="34"/>
        <v>-556.89147107862425</v>
      </c>
      <c r="I165" s="752"/>
      <c r="K165" s="749"/>
      <c r="L165" s="749"/>
      <c r="M165" s="749"/>
      <c r="N165" s="749"/>
      <c r="O165" s="749"/>
      <c r="P165" s="749"/>
    </row>
    <row r="166" spans="1:17" ht="3" customHeight="1">
      <c r="B166" s="260"/>
      <c r="C166" s="260"/>
      <c r="D166" s="277"/>
      <c r="E166" s="277"/>
      <c r="F166" s="277"/>
      <c r="G166" s="277"/>
      <c r="H166" s="277"/>
      <c r="I166" s="277"/>
      <c r="K166" s="749"/>
      <c r="L166" s="749"/>
      <c r="M166" s="749"/>
      <c r="N166" s="749"/>
      <c r="O166" s="749"/>
      <c r="P166" s="749"/>
    </row>
    <row r="167" spans="1:17">
      <c r="B167" s="260"/>
      <c r="C167" s="260"/>
      <c r="D167" s="293">
        <f t="shared" ref="D167:I167" si="35">SUM(D163:D166)</f>
        <v>0</v>
      </c>
      <c r="E167" s="293">
        <f t="shared" si="35"/>
        <v>-4483.92386709517</v>
      </c>
      <c r="F167" s="293">
        <f t="shared" si="35"/>
        <v>-5299.421501553511</v>
      </c>
      <c r="G167" s="293">
        <f t="shared" si="35"/>
        <v>0</v>
      </c>
      <c r="H167" s="293">
        <f t="shared" si="35"/>
        <v>-10938.528805216905</v>
      </c>
      <c r="I167" s="293">
        <f t="shared" si="35"/>
        <v>-11722.868347767009</v>
      </c>
      <c r="K167" s="749"/>
      <c r="L167" s="749"/>
      <c r="M167" s="749"/>
      <c r="N167" s="749"/>
      <c r="O167" s="749"/>
      <c r="P167" s="749"/>
    </row>
    <row r="168" spans="1:17" ht="4" customHeight="1">
      <c r="B168" s="260"/>
      <c r="C168" s="260"/>
      <c r="D168" s="287"/>
      <c r="E168" s="287"/>
      <c r="F168" s="287"/>
      <c r="G168" s="287"/>
      <c r="H168" s="287"/>
      <c r="I168" s="287"/>
      <c r="K168" s="749"/>
      <c r="L168" s="749"/>
      <c r="M168" s="749"/>
      <c r="N168" s="749"/>
      <c r="O168" s="749"/>
      <c r="P168" s="749"/>
    </row>
    <row r="169" spans="1:17">
      <c r="B169" s="260"/>
      <c r="C169" s="294"/>
      <c r="D169" s="277"/>
      <c r="E169" s="277"/>
      <c r="F169" s="277"/>
      <c r="G169" s="277"/>
      <c r="H169" s="277"/>
      <c r="I169" s="277"/>
      <c r="K169" s="749"/>
      <c r="L169" s="749"/>
      <c r="M169" s="749"/>
      <c r="N169" s="749"/>
      <c r="O169" s="749"/>
      <c r="P169" s="749"/>
    </row>
    <row r="170" spans="1:17" s="62" customFormat="1">
      <c r="B170" s="23" t="s">
        <v>412</v>
      </c>
      <c r="C170" s="23"/>
      <c r="D170" s="11">
        <f t="shared" ref="D170:I170" si="36">SUM(D167:D169)</f>
        <v>0</v>
      </c>
      <c r="E170" s="11">
        <f t="shared" si="36"/>
        <v>-4483.92386709517</v>
      </c>
      <c r="F170" s="11">
        <f t="shared" si="36"/>
        <v>-5299.421501553511</v>
      </c>
      <c r="G170" s="11">
        <f t="shared" si="36"/>
        <v>0</v>
      </c>
      <c r="H170" s="11">
        <f t="shared" si="36"/>
        <v>-10938.528805216905</v>
      </c>
      <c r="I170" s="11">
        <f t="shared" si="36"/>
        <v>-11722.868347767009</v>
      </c>
      <c r="J170" s="501"/>
      <c r="K170" s="749"/>
      <c r="L170" s="749"/>
      <c r="M170" s="749"/>
      <c r="N170" s="749"/>
      <c r="O170" s="749"/>
      <c r="P170" s="749"/>
      <c r="Q170" s="481"/>
    </row>
    <row r="171" spans="1:17" ht="4" customHeight="1">
      <c r="B171" s="260"/>
      <c r="C171" s="260"/>
      <c r="D171" s="260"/>
      <c r="E171" s="260"/>
      <c r="F171" s="260"/>
      <c r="G171" s="260"/>
      <c r="H171" s="260"/>
      <c r="I171" s="260"/>
      <c r="K171" s="749"/>
      <c r="L171" s="749"/>
      <c r="M171" s="749"/>
      <c r="N171" s="749"/>
      <c r="O171" s="749"/>
      <c r="P171" s="749"/>
    </row>
    <row r="172" spans="1:17">
      <c r="B172" s="4" t="s">
        <v>65</v>
      </c>
      <c r="C172" s="260"/>
      <c r="D172" s="295"/>
      <c r="E172" s="260"/>
      <c r="F172" s="260"/>
      <c r="G172" s="260"/>
      <c r="H172" s="260"/>
      <c r="I172" s="260"/>
      <c r="J172" s="500"/>
      <c r="K172" s="749"/>
      <c r="L172" s="749"/>
      <c r="M172" s="749"/>
      <c r="N172" s="749"/>
      <c r="O172" s="749"/>
      <c r="P172" s="749"/>
    </row>
    <row r="173" spans="1:17">
      <c r="B173" s="260" t="s">
        <v>68</v>
      </c>
      <c r="C173" s="18">
        <f>Assumption_Sheet!B30</f>
        <v>76.649999999999991</v>
      </c>
      <c r="D173" s="277">
        <f t="shared" ref="D173:I173" si="37">-$C$173*D$16</f>
        <v>-510.99999999999994</v>
      </c>
      <c r="E173" s="277">
        <f t="shared" si="37"/>
        <v>-87.10227272727272</v>
      </c>
      <c r="F173" s="277">
        <f t="shared" si="37"/>
        <v>-85.166666666666657</v>
      </c>
      <c r="G173" s="277">
        <f t="shared" si="37"/>
        <v>-1277.5</v>
      </c>
      <c r="H173" s="277">
        <f t="shared" si="37"/>
        <v>-97.025316455696185</v>
      </c>
      <c r="I173" s="277">
        <f t="shared" si="37"/>
        <v>-383.24999999999994</v>
      </c>
      <c r="J173" s="481" t="s">
        <v>438</v>
      </c>
      <c r="K173" s="749"/>
      <c r="L173" s="749"/>
      <c r="M173" s="749"/>
      <c r="N173" s="749"/>
      <c r="O173" s="749"/>
      <c r="P173" s="749"/>
    </row>
    <row r="174" spans="1:17">
      <c r="B174" s="23" t="s">
        <v>69</v>
      </c>
      <c r="C174" s="23"/>
      <c r="D174" s="11">
        <f t="shared" ref="D174:I174" si="38">SUM(D173:D173)</f>
        <v>-510.99999999999994</v>
      </c>
      <c r="E174" s="11">
        <f t="shared" si="38"/>
        <v>-87.10227272727272</v>
      </c>
      <c r="F174" s="11">
        <f t="shared" si="38"/>
        <v>-85.166666666666657</v>
      </c>
      <c r="G174" s="11">
        <f t="shared" si="38"/>
        <v>-1277.5</v>
      </c>
      <c r="H174" s="11">
        <f t="shared" si="38"/>
        <v>-97.025316455696185</v>
      </c>
      <c r="I174" s="11">
        <f t="shared" si="38"/>
        <v>-383.24999999999994</v>
      </c>
      <c r="K174" s="749"/>
      <c r="L174" s="749"/>
      <c r="M174" s="749"/>
      <c r="N174" s="749"/>
      <c r="O174" s="749"/>
      <c r="P174" s="749"/>
    </row>
    <row r="175" spans="1:17" ht="4" customHeight="1">
      <c r="B175" s="260"/>
      <c r="C175" s="260"/>
      <c r="D175" s="260"/>
      <c r="E175" s="260"/>
      <c r="F175" s="260"/>
      <c r="G175" s="260"/>
      <c r="H175" s="260"/>
      <c r="I175" s="260"/>
      <c r="K175" s="749"/>
      <c r="L175" s="749"/>
      <c r="M175" s="749"/>
      <c r="N175" s="749"/>
      <c r="O175" s="749"/>
      <c r="P175" s="749"/>
    </row>
    <row r="176" spans="1:17">
      <c r="B176" s="4" t="s">
        <v>70</v>
      </c>
      <c r="C176" s="260"/>
      <c r="D176" s="282"/>
      <c r="E176" s="260"/>
      <c r="F176" s="260"/>
      <c r="G176" s="260"/>
      <c r="H176" s="260"/>
      <c r="I176" s="260"/>
      <c r="K176" s="749"/>
      <c r="L176" s="749"/>
      <c r="M176" s="749"/>
      <c r="N176" s="749"/>
      <c r="O176" s="749"/>
      <c r="P176" s="749"/>
    </row>
    <row r="177" spans="2:17">
      <c r="B177" s="4" t="s">
        <v>71</v>
      </c>
      <c r="C177" s="260"/>
      <c r="D177" s="282"/>
      <c r="E177" s="260"/>
      <c r="F177" s="260"/>
      <c r="G177" s="260"/>
      <c r="H177" s="260"/>
      <c r="I177" s="260"/>
      <c r="K177" s="749"/>
      <c r="L177" s="749"/>
      <c r="M177" s="749"/>
      <c r="N177" s="749"/>
      <c r="O177" s="749"/>
      <c r="P177" s="749"/>
    </row>
    <row r="178" spans="2:17">
      <c r="B178" s="223" t="s">
        <v>72</v>
      </c>
      <c r="C178" s="18">
        <f>Assumption_Sheet!C40</f>
        <v>182.5</v>
      </c>
      <c r="D178" s="277">
        <f>-$C178*ROUNDUP(Assumption_Sheet!$B$51*D$16,0)</f>
        <v>-182.5</v>
      </c>
      <c r="E178" s="277">
        <f>-$C178*ROUNDUP(Assumption_Sheet!$B$51*E$16,0)</f>
        <v>-182.5</v>
      </c>
      <c r="F178" s="277">
        <f>-$C178*ROUNDUP(Assumption_Sheet!$B$51*F$16,0)</f>
        <v>-182.5</v>
      </c>
      <c r="G178" s="277">
        <f>-$C178*ROUNDUP(Assumption_Sheet!$B$51*G$16,0)</f>
        <v>-182.5</v>
      </c>
      <c r="H178" s="277">
        <f>-$C178*ROUNDUP(Assumption_Sheet!$B$51*H$16,0)</f>
        <v>-182.5</v>
      </c>
      <c r="I178" s="277">
        <f>-$C178*ROUNDUP(Assumption_Sheet!$B$51*I$16,0)</f>
        <v>-182.5</v>
      </c>
      <c r="J178" s="481" t="s">
        <v>435</v>
      </c>
      <c r="K178" s="749"/>
      <c r="L178" s="749"/>
      <c r="M178" s="749"/>
      <c r="N178" s="749"/>
      <c r="O178" s="749"/>
      <c r="P178" s="749"/>
    </row>
    <row r="179" spans="2:17">
      <c r="B179" s="260" t="s">
        <v>73</v>
      </c>
      <c r="C179" s="18">
        <f>Assumption_Sheet!$B$59</f>
        <v>117.80000000000001</v>
      </c>
      <c r="D179" s="277">
        <f t="shared" ref="D179:I179" si="39">-$C179*D16</f>
        <v>-785.33333333333348</v>
      </c>
      <c r="E179" s="277">
        <f t="shared" si="39"/>
        <v>-133.8636363636364</v>
      </c>
      <c r="F179" s="277">
        <f t="shared" si="39"/>
        <v>-130.88888888888891</v>
      </c>
      <c r="G179" s="277">
        <f t="shared" si="39"/>
        <v>-1963.3333333333337</v>
      </c>
      <c r="H179" s="277">
        <f t="shared" si="39"/>
        <v>-149.1139240506329</v>
      </c>
      <c r="I179" s="277">
        <f t="shared" si="39"/>
        <v>-589</v>
      </c>
      <c r="J179" s="481" t="s">
        <v>436</v>
      </c>
      <c r="K179" s="749"/>
      <c r="L179" s="749"/>
      <c r="M179" s="749"/>
      <c r="N179" s="749"/>
      <c r="O179" s="749"/>
      <c r="P179" s="749"/>
    </row>
    <row r="180" spans="2:17">
      <c r="B180" s="260" t="s">
        <v>74</v>
      </c>
      <c r="C180" s="18">
        <v>50</v>
      </c>
      <c r="D180" s="277">
        <f t="shared" ref="D180:I180" si="40">-$C180*D16</f>
        <v>-333.33333333333337</v>
      </c>
      <c r="E180" s="277">
        <f t="shared" si="40"/>
        <v>-56.81818181818182</v>
      </c>
      <c r="F180" s="277">
        <f t="shared" si="40"/>
        <v>-55.555555555555557</v>
      </c>
      <c r="G180" s="277">
        <f t="shared" si="40"/>
        <v>-833.33333333333337</v>
      </c>
      <c r="H180" s="277">
        <f t="shared" si="40"/>
        <v>-63.291139240506325</v>
      </c>
      <c r="I180" s="277">
        <f t="shared" si="40"/>
        <v>-250</v>
      </c>
      <c r="J180" s="513" t="s">
        <v>437</v>
      </c>
      <c r="K180" s="749"/>
      <c r="L180" s="749"/>
      <c r="M180" s="749"/>
      <c r="N180" s="749"/>
      <c r="O180" s="749"/>
      <c r="P180" s="749"/>
    </row>
    <row r="181" spans="2:17">
      <c r="B181" s="260" t="s">
        <v>75</v>
      </c>
      <c r="C181" s="260"/>
      <c r="D181" s="277">
        <f>-Assumption_Sheet!$C$65*D$16*0.1</f>
        <v>-333.33333333333337</v>
      </c>
      <c r="E181" s="277">
        <f>-Assumption_Sheet!$C$65*E$16*0.1</f>
        <v>-56.818181818181827</v>
      </c>
      <c r="F181" s="277">
        <f>-Assumption_Sheet!$C$65*F$16*0.1</f>
        <v>-55.555555555555557</v>
      </c>
      <c r="G181" s="277">
        <f>-Assumption_Sheet!$C$66*G$16*0.1</f>
        <v>-1666.666666666667</v>
      </c>
      <c r="H181" s="277">
        <f>-Assumption_Sheet!$C$66*H$16*0.1</f>
        <v>-126.58227848101265</v>
      </c>
      <c r="I181" s="277">
        <f>-Assumption_Sheet!$B$67*I$16*0.1</f>
        <v>-416.66666666666663</v>
      </c>
      <c r="J181" s="513"/>
      <c r="K181" s="749"/>
      <c r="L181" s="749"/>
      <c r="M181" s="749"/>
      <c r="N181" s="749"/>
      <c r="O181" s="749"/>
      <c r="P181" s="749"/>
    </row>
    <row r="182" spans="2:17">
      <c r="B182" s="260" t="s">
        <v>76</v>
      </c>
      <c r="C182" s="18">
        <f>Assumption_Sheet!B35</f>
        <v>298.94280369475052</v>
      </c>
      <c r="D182" s="277">
        <f t="shared" ref="D182:I182" si="41">-$C$182*D16</f>
        <v>-1992.9520246316702</v>
      </c>
      <c r="E182" s="277">
        <f t="shared" si="41"/>
        <v>-339.70773147130745</v>
      </c>
      <c r="F182" s="277">
        <f t="shared" si="41"/>
        <v>-332.15867077194503</v>
      </c>
      <c r="G182" s="277">
        <f t="shared" si="41"/>
        <v>-4982.3800615791761</v>
      </c>
      <c r="H182" s="277">
        <f t="shared" si="41"/>
        <v>-378.40861227183609</v>
      </c>
      <c r="I182" s="277">
        <f t="shared" si="41"/>
        <v>-1494.7140184737527</v>
      </c>
      <c r="J182" s="513"/>
      <c r="K182" s="749"/>
      <c r="L182" s="749"/>
      <c r="M182" s="749"/>
      <c r="N182" s="749"/>
      <c r="O182" s="749"/>
      <c r="P182" s="749"/>
    </row>
    <row r="183" spans="2:17">
      <c r="B183" s="260" t="s">
        <v>77</v>
      </c>
      <c r="C183" s="260"/>
      <c r="D183" s="277">
        <v>0</v>
      </c>
      <c r="E183" s="277">
        <v>0</v>
      </c>
      <c r="F183" s="277">
        <v>0</v>
      </c>
      <c r="G183" s="277">
        <v>0</v>
      </c>
      <c r="H183" s="277">
        <v>0</v>
      </c>
      <c r="I183" s="277">
        <v>0</v>
      </c>
      <c r="J183" s="513"/>
      <c r="K183" s="749"/>
      <c r="L183" s="749"/>
      <c r="M183" s="749"/>
      <c r="N183" s="749"/>
      <c r="O183" s="749"/>
      <c r="P183" s="749"/>
    </row>
    <row r="184" spans="2:17" ht="4" customHeight="1">
      <c r="B184" s="260"/>
      <c r="C184" s="260"/>
      <c r="D184" s="276"/>
      <c r="E184" s="276"/>
      <c r="F184" s="276"/>
      <c r="G184" s="276"/>
      <c r="H184" s="276"/>
      <c r="I184" s="276"/>
      <c r="K184" s="749"/>
      <c r="L184" s="749"/>
      <c r="M184" s="749"/>
      <c r="N184" s="749"/>
      <c r="O184" s="749"/>
      <c r="P184" s="749"/>
    </row>
    <row r="185" spans="2:17" s="62" customFormat="1">
      <c r="B185" s="11" t="s">
        <v>78</v>
      </c>
      <c r="C185" s="11"/>
      <c r="D185" s="11">
        <f t="shared" ref="D185:I185" si="42">SUM(D178:D184)</f>
        <v>-3627.4520246316706</v>
      </c>
      <c r="E185" s="11">
        <f t="shared" si="42"/>
        <v>-769.7077314713074</v>
      </c>
      <c r="F185" s="11">
        <f t="shared" si="42"/>
        <v>-756.65867077194503</v>
      </c>
      <c r="G185" s="11">
        <f t="shared" si="42"/>
        <v>-9628.2133949125091</v>
      </c>
      <c r="H185" s="11">
        <f t="shared" si="42"/>
        <v>-899.89595404398801</v>
      </c>
      <c r="I185" s="11">
        <f t="shared" si="42"/>
        <v>-2932.8806851404192</v>
      </c>
      <c r="J185" s="481"/>
      <c r="K185" s="749"/>
      <c r="L185" s="749"/>
      <c r="M185" s="749"/>
      <c r="N185" s="749"/>
      <c r="O185" s="749"/>
      <c r="P185" s="749"/>
      <c r="Q185" s="481"/>
    </row>
    <row r="186" spans="2:17" s="62" customFormat="1" ht="6" customHeight="1">
      <c r="B186" s="12"/>
      <c r="C186" s="12"/>
      <c r="D186" s="188"/>
      <c r="E186" s="12"/>
      <c r="F186" s="12"/>
      <c r="G186" s="12"/>
      <c r="H186" s="12"/>
      <c r="I186" s="12"/>
      <c r="J186" s="481"/>
      <c r="K186" s="749"/>
      <c r="L186" s="749"/>
      <c r="M186" s="749"/>
      <c r="N186" s="749"/>
      <c r="O186" s="749"/>
      <c r="P186" s="749"/>
      <c r="Q186" s="481"/>
    </row>
    <row r="187" spans="2:17" s="62" customFormat="1">
      <c r="B187" s="11" t="s">
        <v>79</v>
      </c>
      <c r="C187" s="11"/>
      <c r="D187" s="11">
        <f t="shared" ref="D187:I187" si="43">D170+D185+D160+D174</f>
        <v>-4698.4520246316706</v>
      </c>
      <c r="E187" s="11">
        <f t="shared" si="43"/>
        <v>-54862.27059066225</v>
      </c>
      <c r="F187" s="11">
        <f t="shared" si="43"/>
        <v>-79508.90247580818</v>
      </c>
      <c r="G187" s="11">
        <f t="shared" si="43"/>
        <v>-11365.713394912509</v>
      </c>
      <c r="H187" s="11">
        <f t="shared" si="43"/>
        <v>-107639.07530641767</v>
      </c>
      <c r="I187" s="11">
        <f t="shared" si="43"/>
        <v>-69705.66253239545</v>
      </c>
      <c r="J187" s="481"/>
      <c r="K187" s="749"/>
      <c r="L187" s="749"/>
      <c r="M187" s="749"/>
      <c r="N187" s="749"/>
      <c r="O187" s="749"/>
      <c r="P187" s="749"/>
      <c r="Q187" s="481"/>
    </row>
    <row r="188" spans="2:17" s="62" customFormat="1" ht="6" customHeight="1">
      <c r="B188" s="12"/>
      <c r="C188" s="12"/>
      <c r="D188" s="12"/>
      <c r="E188" s="12"/>
      <c r="F188" s="12"/>
      <c r="G188" s="12"/>
      <c r="H188" s="12"/>
      <c r="I188" s="12"/>
      <c r="J188" s="481"/>
      <c r="K188" s="749"/>
      <c r="L188" s="749"/>
      <c r="M188" s="749"/>
      <c r="N188" s="749"/>
      <c r="O188" s="749"/>
      <c r="P188" s="749"/>
      <c r="Q188" s="481"/>
    </row>
    <row r="189" spans="2:17" ht="15" thickBot="1">
      <c r="B189" s="13" t="s">
        <v>80</v>
      </c>
      <c r="C189" s="296"/>
      <c r="D189" s="22">
        <f t="shared" ref="D189:I189" si="44">D150+D187</f>
        <v>-4698.4520246316706</v>
      </c>
      <c r="E189" s="22">
        <f t="shared" si="44"/>
        <v>100714.12203553141</v>
      </c>
      <c r="F189" s="22">
        <f t="shared" si="44"/>
        <v>149117.57821356558</v>
      </c>
      <c r="G189" s="22">
        <f t="shared" si="44"/>
        <v>-11365.713394912509</v>
      </c>
      <c r="H189" s="22">
        <f t="shared" si="44"/>
        <v>274557.0727147921</v>
      </c>
      <c r="I189" s="22">
        <f t="shared" si="44"/>
        <v>109573.14825708041</v>
      </c>
      <c r="K189" s="749"/>
      <c r="L189" s="749"/>
      <c r="M189" s="749"/>
      <c r="N189" s="749"/>
      <c r="O189" s="749"/>
      <c r="P189" s="749"/>
    </row>
    <row r="190" spans="2:17" s="62" customFormat="1" ht="10" customHeight="1" thickTop="1">
      <c r="B190" s="12"/>
      <c r="C190" s="12"/>
      <c r="D190" s="12"/>
      <c r="E190" s="12"/>
      <c r="F190" s="12"/>
      <c r="G190" s="12"/>
      <c r="H190" s="12"/>
      <c r="I190" s="12"/>
      <c r="J190" s="481"/>
      <c r="K190" s="749"/>
      <c r="L190" s="749"/>
      <c r="M190" s="749"/>
      <c r="N190" s="749"/>
      <c r="O190" s="749"/>
      <c r="P190" s="749"/>
      <c r="Q190" s="481"/>
    </row>
    <row r="191" spans="2:17">
      <c r="B191" s="260" t="s">
        <v>81</v>
      </c>
      <c r="C191" s="18">
        <f>Assumption_Sheet!$B$194</f>
        <v>157685.78593841929</v>
      </c>
      <c r="D191" s="277">
        <f t="shared" ref="D191:I191" si="45">-$C$191*D11</f>
        <v>-157685.78593841929</v>
      </c>
      <c r="E191" s="277">
        <f t="shared" si="45"/>
        <v>-157685.78593841929</v>
      </c>
      <c r="F191" s="277">
        <f t="shared" si="45"/>
        <v>-157685.78593841929</v>
      </c>
      <c r="G191" s="277">
        <f t="shared" si="45"/>
        <v>-157685.78593841929</v>
      </c>
      <c r="H191" s="277">
        <f t="shared" si="45"/>
        <v>-157685.78593841929</v>
      </c>
      <c r="I191" s="277">
        <f t="shared" si="45"/>
        <v>-157685.78593841929</v>
      </c>
      <c r="K191" s="749"/>
      <c r="L191" s="749"/>
      <c r="M191" s="749"/>
      <c r="N191" s="749"/>
      <c r="O191" s="749"/>
      <c r="P191" s="749"/>
    </row>
    <row r="192" spans="2:17" ht="10" customHeight="1">
      <c r="B192" s="260"/>
      <c r="C192" s="260"/>
      <c r="D192" s="260"/>
      <c r="E192" s="260"/>
      <c r="F192" s="260"/>
      <c r="G192" s="260"/>
      <c r="H192" s="260"/>
      <c r="I192" s="260"/>
      <c r="K192" s="749"/>
      <c r="L192" s="749"/>
      <c r="M192" s="749"/>
      <c r="N192" s="749"/>
      <c r="O192" s="749"/>
      <c r="P192" s="749"/>
    </row>
    <row r="193" spans="2:16" ht="15" thickBot="1">
      <c r="B193" s="13" t="s">
        <v>82</v>
      </c>
      <c r="C193" s="296"/>
      <c r="D193" s="22">
        <f t="shared" ref="D193:I193" si="46">D189+D191</f>
        <v>-162384.23796305095</v>
      </c>
      <c r="E193" s="22">
        <f t="shared" si="46"/>
        <v>-56971.663902887871</v>
      </c>
      <c r="F193" s="22">
        <f t="shared" si="46"/>
        <v>-8568.2077248537098</v>
      </c>
      <c r="G193" s="22">
        <f t="shared" si="46"/>
        <v>-169051.4993333318</v>
      </c>
      <c r="H193" s="22">
        <f t="shared" si="46"/>
        <v>116871.28677637281</v>
      </c>
      <c r="I193" s="22">
        <f t="shared" si="46"/>
        <v>-48112.637681338878</v>
      </c>
      <c r="K193" s="749"/>
      <c r="L193" s="749"/>
      <c r="M193" s="749"/>
      <c r="N193" s="749"/>
      <c r="O193" s="749"/>
      <c r="P193" s="749"/>
    </row>
    <row r="194" spans="2:16" ht="15" thickTop="1">
      <c r="B194" s="260"/>
      <c r="C194" s="260"/>
      <c r="D194" s="260"/>
      <c r="E194" s="298"/>
      <c r="F194" s="298"/>
      <c r="G194" s="298"/>
      <c r="H194" s="298"/>
      <c r="I194" s="298"/>
      <c r="K194" s="749"/>
      <c r="L194" s="749"/>
      <c r="M194" s="749"/>
      <c r="N194" s="749"/>
      <c r="O194" s="749"/>
      <c r="P194" s="749"/>
    </row>
    <row r="195" spans="2:16">
      <c r="B195" s="260" t="s">
        <v>83</v>
      </c>
      <c r="C195" s="260"/>
      <c r="D195" s="299">
        <f t="shared" ref="D195:I195" si="47">IFERROR(D189/D12,0)</f>
        <v>0</v>
      </c>
      <c r="E195" s="299">
        <f t="shared" si="47"/>
        <v>0.1657731021650049</v>
      </c>
      <c r="F195" s="299">
        <f t="shared" si="47"/>
        <v>0.1801026116191328</v>
      </c>
      <c r="G195" s="299">
        <f t="shared" si="47"/>
        <v>0</v>
      </c>
      <c r="H195" s="299">
        <f t="shared" si="47"/>
        <v>0.19833825840652416</v>
      </c>
      <c r="I195" s="299">
        <f t="shared" si="47"/>
        <v>0.16654149929716311</v>
      </c>
      <c r="K195" s="749"/>
      <c r="L195" s="749"/>
      <c r="M195" s="749"/>
      <c r="N195" s="749"/>
      <c r="O195" s="749"/>
      <c r="P195" s="749"/>
    </row>
    <row r="196" spans="2:16">
      <c r="B196" s="260" t="s">
        <v>84</v>
      </c>
      <c r="C196" s="260"/>
      <c r="D196" s="300">
        <f t="shared" ref="D196:I196" si="48">IFERROR(D193/D12,0)</f>
        <v>0</v>
      </c>
      <c r="E196" s="300">
        <f t="shared" si="48"/>
        <v>-9.3774033569511028E-2</v>
      </c>
      <c r="F196" s="300">
        <f t="shared" si="48"/>
        <v>-1.0348589392534788E-2</v>
      </c>
      <c r="G196" s="300">
        <f t="shared" si="48"/>
        <v>0</v>
      </c>
      <c r="H196" s="300">
        <f t="shared" si="48"/>
        <v>8.4427063734885038E-2</v>
      </c>
      <c r="I196" s="300">
        <f t="shared" si="48"/>
        <v>-7.3126956211861813E-2</v>
      </c>
      <c r="K196" s="749"/>
      <c r="L196" s="749"/>
      <c r="M196" s="749"/>
      <c r="N196" s="749"/>
      <c r="O196" s="749"/>
      <c r="P196" s="749"/>
    </row>
    <row r="197" spans="2:16">
      <c r="B197" s="260"/>
      <c r="C197" s="260"/>
      <c r="D197" s="301"/>
      <c r="E197" s="301"/>
      <c r="F197" s="301"/>
      <c r="G197" s="301"/>
      <c r="H197" s="301"/>
      <c r="I197" s="301"/>
      <c r="K197" s="749"/>
      <c r="L197" s="749"/>
      <c r="M197" s="749"/>
      <c r="N197" s="749"/>
      <c r="O197" s="749"/>
      <c r="P197" s="749"/>
    </row>
    <row r="198" spans="2:16">
      <c r="B198" s="260"/>
      <c r="C198" s="260"/>
      <c r="D198" s="301"/>
      <c r="E198" s="301"/>
      <c r="F198" s="301"/>
      <c r="G198" s="301"/>
      <c r="H198" s="301"/>
      <c r="I198" s="301"/>
      <c r="K198" s="749"/>
      <c r="L198" s="749"/>
      <c r="M198" s="749"/>
      <c r="N198" s="749"/>
      <c r="O198" s="749"/>
      <c r="P198" s="749"/>
    </row>
    <row r="199" spans="2:16">
      <c r="B199" s="260"/>
      <c r="C199" s="260"/>
      <c r="D199" s="301"/>
      <c r="E199" s="301"/>
      <c r="F199" s="301"/>
      <c r="G199" s="301"/>
      <c r="H199" s="301"/>
      <c r="I199" s="301"/>
      <c r="K199" s="749"/>
      <c r="L199" s="749"/>
      <c r="M199" s="749"/>
      <c r="N199" s="749"/>
      <c r="O199" s="749"/>
      <c r="P199" s="749"/>
    </row>
    <row r="200" spans="2:16" ht="18.5" hidden="1" customHeight="1">
      <c r="B200" s="4" t="s">
        <v>85</v>
      </c>
      <c r="C200" s="260"/>
      <c r="D200" s="301"/>
      <c r="E200" s="301"/>
      <c r="F200" s="301"/>
      <c r="G200" s="301"/>
      <c r="H200" s="301"/>
      <c r="I200" s="301"/>
      <c r="K200" s="749"/>
      <c r="L200" s="749"/>
      <c r="M200" s="749"/>
      <c r="N200" s="749"/>
      <c r="O200" s="749"/>
      <c r="P200" s="749"/>
    </row>
    <row r="201" spans="2:16" ht="18.5" hidden="1" customHeight="1">
      <c r="B201" s="260" t="s">
        <v>86</v>
      </c>
      <c r="C201" s="260"/>
      <c r="D201" s="301">
        <f>D187-D153</f>
        <v>-4698.4520246316706</v>
      </c>
      <c r="E201" s="301">
        <f>E187-E153</f>
        <v>-9896.2496820019078</v>
      </c>
      <c r="F201" s="301">
        <f>F187-F153</f>
        <v>-12245.389552447712</v>
      </c>
      <c r="G201" s="301">
        <f>G187-G153</f>
        <v>-11365.713394912509</v>
      </c>
      <c r="H201" s="301"/>
      <c r="I201" s="301"/>
      <c r="K201" s="749"/>
      <c r="L201" s="749"/>
      <c r="M201" s="749"/>
      <c r="N201" s="749"/>
      <c r="O201" s="749"/>
      <c r="P201" s="749"/>
    </row>
    <row r="202" spans="2:16" ht="18.5" hidden="1" customHeight="1">
      <c r="B202" s="260" t="s">
        <v>87</v>
      </c>
      <c r="C202" s="260"/>
      <c r="D202" s="301" t="e">
        <f>Assumption_Sheet!#REF!</f>
        <v>#REF!</v>
      </c>
      <c r="E202" s="301" t="e">
        <f>Assumption_Sheet!#REF!</f>
        <v>#REF!</v>
      </c>
      <c r="F202" s="301" t="e">
        <f>Assumption_Sheet!#REF!</f>
        <v>#REF!</v>
      </c>
      <c r="G202" s="301" t="e">
        <f>Assumption_Sheet!#REF!</f>
        <v>#REF!</v>
      </c>
      <c r="H202" s="301"/>
      <c r="I202" s="302" t="e">
        <f>SUM(D202:G202)</f>
        <v>#REF!</v>
      </c>
      <c r="K202" s="749"/>
      <c r="L202" s="749"/>
      <c r="M202" s="749"/>
      <c r="N202" s="749"/>
      <c r="O202" s="749"/>
      <c r="P202" s="749"/>
    </row>
    <row r="203" spans="2:16" ht="18.5" hidden="1" customHeight="1">
      <c r="B203" s="260" t="s">
        <v>88</v>
      </c>
      <c r="C203" s="260"/>
      <c r="D203" s="301" t="e">
        <f>-D202*D201</f>
        <v>#REF!</v>
      </c>
      <c r="E203" s="301" t="e">
        <f>-E202*E201</f>
        <v>#REF!</v>
      </c>
      <c r="F203" s="301" t="e">
        <f>-F202*F201</f>
        <v>#REF!</v>
      </c>
      <c r="G203" s="301" t="e">
        <f>-G202*G201</f>
        <v>#REF!</v>
      </c>
      <c r="H203" s="301"/>
      <c r="I203" s="302" t="e">
        <f>SUM(D203:G203)</f>
        <v>#REF!</v>
      </c>
      <c r="K203" s="749"/>
      <c r="L203" s="749"/>
      <c r="M203" s="749"/>
      <c r="N203" s="749"/>
      <c r="O203" s="749"/>
      <c r="P203" s="749"/>
    </row>
    <row r="204" spans="2:16" ht="18.5" hidden="1" customHeight="1">
      <c r="B204" s="260" t="s">
        <v>89</v>
      </c>
      <c r="C204" s="260"/>
      <c r="D204" s="301" t="e">
        <f>Assumption_Sheet!#REF!</f>
        <v>#REF!</v>
      </c>
      <c r="E204" s="301" t="e">
        <f>Assumption_Sheet!#REF!</f>
        <v>#REF!</v>
      </c>
      <c r="F204" s="301" t="e">
        <f>Assumption_Sheet!#REF!</f>
        <v>#REF!</v>
      </c>
      <c r="G204" s="301" t="e">
        <f>Assumption_Sheet!#REF!</f>
        <v>#REF!</v>
      </c>
      <c r="H204" s="301"/>
      <c r="I204" s="302" t="e">
        <f>G204</f>
        <v>#REF!</v>
      </c>
      <c r="K204" s="749"/>
      <c r="L204" s="749"/>
      <c r="M204" s="749"/>
      <c r="N204" s="749"/>
      <c r="O204" s="749"/>
      <c r="P204" s="749"/>
    </row>
    <row r="205" spans="2:16" ht="18.5" hidden="1" customHeight="1">
      <c r="B205" s="260" t="s">
        <v>90</v>
      </c>
      <c r="C205" s="260"/>
      <c r="D205" s="301" t="e">
        <f>D204-D203</f>
        <v>#REF!</v>
      </c>
      <c r="E205" s="301" t="e">
        <f>E204-E203</f>
        <v>#REF!</v>
      </c>
      <c r="F205" s="301" t="e">
        <f>F204-F203</f>
        <v>#REF!</v>
      </c>
      <c r="G205" s="301" t="e">
        <f>G204-G203</f>
        <v>#REF!</v>
      </c>
      <c r="H205" s="301"/>
      <c r="I205" s="302" t="e">
        <f>I204-I203</f>
        <v>#REF!</v>
      </c>
      <c r="K205" s="749"/>
      <c r="L205" s="749"/>
      <c r="M205" s="749"/>
      <c r="N205" s="749"/>
      <c r="O205" s="749"/>
      <c r="P205" s="749"/>
    </row>
    <row r="206" spans="2:16" ht="18.5" hidden="1" customHeight="1">
      <c r="B206" s="260" t="s">
        <v>91</v>
      </c>
      <c r="C206" s="260"/>
      <c r="D206" s="301"/>
      <c r="E206" s="301"/>
      <c r="F206" s="301"/>
      <c r="G206" s="301"/>
      <c r="H206" s="301"/>
      <c r="I206" s="30" t="e">
        <f>I205/I202</f>
        <v>#REF!</v>
      </c>
      <c r="K206" s="749"/>
      <c r="L206" s="749"/>
      <c r="M206" s="749"/>
      <c r="N206" s="749"/>
      <c r="O206" s="749"/>
      <c r="P206" s="749"/>
    </row>
    <row r="207" spans="2:16">
      <c r="B207" s="260"/>
      <c r="C207" s="260"/>
      <c r="D207" s="301"/>
      <c r="E207" s="301"/>
      <c r="F207" s="301"/>
      <c r="G207" s="301"/>
      <c r="H207" s="301"/>
      <c r="I207" s="301"/>
      <c r="K207" s="749"/>
      <c r="L207" s="749"/>
      <c r="M207" s="749"/>
      <c r="N207" s="749"/>
      <c r="O207" s="749"/>
      <c r="P207" s="749"/>
    </row>
    <row r="208" spans="2:16">
      <c r="B208" s="260"/>
      <c r="C208" s="260"/>
      <c r="D208" s="301"/>
      <c r="E208" s="301"/>
      <c r="F208" s="301"/>
      <c r="G208" s="301"/>
      <c r="H208" s="301"/>
      <c r="I208" s="301"/>
      <c r="K208" s="749"/>
      <c r="L208" s="749"/>
      <c r="M208" s="749"/>
      <c r="N208" s="749"/>
      <c r="O208" s="749"/>
      <c r="P208" s="749"/>
    </row>
    <row r="209" spans="2:16">
      <c r="B209" s="260"/>
      <c r="C209" s="260"/>
      <c r="D209" s="301"/>
      <c r="E209" s="301"/>
      <c r="F209" s="301"/>
      <c r="G209" s="301"/>
      <c r="H209" s="301"/>
      <c r="I209" s="301"/>
      <c r="K209" s="749"/>
      <c r="L209" s="749"/>
      <c r="M209" s="749"/>
      <c r="N209" s="749"/>
      <c r="O209" s="749"/>
      <c r="P209" s="749"/>
    </row>
    <row r="210" spans="2:16">
      <c r="K210" s="749"/>
      <c r="L210" s="749"/>
      <c r="M210" s="749"/>
      <c r="N210" s="749"/>
      <c r="O210" s="749"/>
      <c r="P210" s="749"/>
    </row>
    <row r="211" spans="2:16">
      <c r="K211" s="749"/>
      <c r="L211" s="749"/>
      <c r="M211" s="749"/>
      <c r="N211" s="749"/>
      <c r="O211" s="749"/>
      <c r="P211" s="749"/>
    </row>
    <row r="212" spans="2:16">
      <c r="K212" s="749"/>
      <c r="L212" s="749"/>
      <c r="M212" s="749"/>
      <c r="N212" s="749"/>
      <c r="O212" s="749"/>
      <c r="P212" s="749"/>
    </row>
    <row r="213" spans="2:16">
      <c r="K213" s="749"/>
      <c r="L213" s="749"/>
      <c r="M213" s="749"/>
      <c r="N213" s="749"/>
      <c r="O213" s="749"/>
      <c r="P213" s="749"/>
    </row>
    <row r="214" spans="2:16">
      <c r="K214" s="749"/>
      <c r="L214" s="749"/>
      <c r="M214" s="749"/>
      <c r="N214" s="749"/>
      <c r="O214" s="749"/>
      <c r="P214" s="749"/>
    </row>
    <row r="215" spans="2:16">
      <c r="K215" s="749"/>
      <c r="L215" s="749"/>
      <c r="M215" s="749"/>
      <c r="N215" s="749"/>
      <c r="O215" s="749"/>
      <c r="P215" s="749"/>
    </row>
    <row r="216" spans="2:16">
      <c r="K216" s="749"/>
      <c r="L216" s="749"/>
      <c r="M216" s="749"/>
      <c r="N216" s="749"/>
      <c r="O216" s="749"/>
      <c r="P216" s="749"/>
    </row>
    <row r="217" spans="2:16">
      <c r="K217" s="749"/>
      <c r="L217" s="749"/>
      <c r="M217" s="749"/>
      <c r="N217" s="749"/>
      <c r="O217" s="749"/>
      <c r="P217" s="749"/>
    </row>
    <row r="218" spans="2:16">
      <c r="K218" s="749"/>
      <c r="L218" s="749"/>
      <c r="M218" s="749"/>
      <c r="N218" s="749"/>
      <c r="O218" s="749"/>
      <c r="P218" s="749"/>
    </row>
    <row r="219" spans="2:16">
      <c r="K219" s="749"/>
      <c r="L219" s="749"/>
      <c r="M219" s="749"/>
      <c r="N219" s="749"/>
      <c r="O219" s="749"/>
      <c r="P219" s="749"/>
    </row>
    <row r="220" spans="2:16">
      <c r="K220" s="749"/>
      <c r="L220" s="749"/>
      <c r="M220" s="749"/>
      <c r="N220" s="749"/>
      <c r="O220" s="749"/>
      <c r="P220" s="749"/>
    </row>
    <row r="221" spans="2:16">
      <c r="K221" s="749"/>
      <c r="L221" s="749"/>
      <c r="M221" s="749"/>
      <c r="N221" s="749"/>
      <c r="O221" s="749"/>
      <c r="P221" s="749"/>
    </row>
    <row r="222" spans="2:16">
      <c r="K222" s="749"/>
      <c r="L222" s="749"/>
      <c r="M222" s="749"/>
      <c r="N222" s="749"/>
      <c r="O222" s="749"/>
      <c r="P222" s="749"/>
    </row>
    <row r="223" spans="2:16">
      <c r="D223" s="301"/>
      <c r="E223" s="301"/>
      <c r="F223" s="301"/>
      <c r="G223" s="301"/>
      <c r="H223" s="301"/>
      <c r="I223" s="301"/>
      <c r="K223" s="749"/>
      <c r="L223" s="749"/>
      <c r="M223" s="749"/>
      <c r="N223" s="749"/>
      <c r="O223" s="749"/>
      <c r="P223" s="749"/>
    </row>
    <row r="224" spans="2:16">
      <c r="D224" s="301"/>
      <c r="E224" s="301"/>
      <c r="F224" s="301"/>
      <c r="G224" s="301"/>
      <c r="H224" s="301"/>
      <c r="I224" s="301"/>
      <c r="K224" s="749"/>
      <c r="L224" s="749"/>
      <c r="M224" s="749"/>
      <c r="N224" s="749"/>
      <c r="O224" s="749"/>
      <c r="P224" s="749"/>
    </row>
    <row r="225" spans="4:16">
      <c r="D225" s="301"/>
      <c r="E225" s="301"/>
      <c r="F225" s="301"/>
      <c r="G225" s="301"/>
      <c r="H225" s="301"/>
      <c r="I225" s="301"/>
      <c r="K225" s="749"/>
      <c r="L225" s="749"/>
      <c r="M225" s="749"/>
      <c r="N225" s="749"/>
      <c r="O225" s="749"/>
      <c r="P225" s="749"/>
    </row>
    <row r="226" spans="4:16">
      <c r="D226" s="301"/>
      <c r="E226" s="301"/>
      <c r="F226" s="301"/>
      <c r="G226" s="301"/>
      <c r="H226" s="301"/>
      <c r="I226" s="301"/>
      <c r="K226" s="749"/>
      <c r="L226" s="749"/>
      <c r="M226" s="749"/>
      <c r="N226" s="749"/>
      <c r="O226" s="749"/>
      <c r="P226" s="749"/>
    </row>
    <row r="227" spans="4:16">
      <c r="D227" s="301"/>
      <c r="E227" s="301"/>
      <c r="F227" s="301"/>
      <c r="G227" s="301"/>
      <c r="H227" s="301"/>
      <c r="I227" s="301"/>
      <c r="K227" s="749"/>
      <c r="L227" s="749"/>
      <c r="M227" s="749"/>
      <c r="N227" s="749"/>
      <c r="O227" s="749"/>
      <c r="P227" s="749"/>
    </row>
    <row r="228" spans="4:16">
      <c r="D228" s="301"/>
      <c r="E228" s="301"/>
      <c r="F228" s="301"/>
      <c r="G228" s="301"/>
      <c r="H228" s="301"/>
      <c r="I228" s="301"/>
      <c r="K228" s="749"/>
      <c r="L228" s="749"/>
      <c r="M228" s="749"/>
      <c r="N228" s="749"/>
      <c r="O228" s="749"/>
      <c r="P228" s="749"/>
    </row>
    <row r="229" spans="4:16">
      <c r="D229" s="301"/>
      <c r="E229" s="301"/>
      <c r="F229" s="301"/>
      <c r="G229" s="301"/>
      <c r="H229" s="301"/>
      <c r="I229" s="301"/>
      <c r="K229" s="749"/>
      <c r="L229" s="749"/>
      <c r="M229" s="749"/>
      <c r="N229" s="749"/>
      <c r="O229" s="749"/>
      <c r="P229" s="749"/>
    </row>
    <row r="230" spans="4:16">
      <c r="D230" s="301"/>
      <c r="E230" s="301"/>
      <c r="F230" s="301"/>
      <c r="G230" s="301"/>
      <c r="H230" s="301"/>
      <c r="I230" s="301"/>
      <c r="K230" s="749"/>
      <c r="L230" s="749"/>
      <c r="M230" s="749"/>
      <c r="N230" s="749"/>
      <c r="O230" s="749"/>
      <c r="P230" s="749"/>
    </row>
    <row r="231" spans="4:16">
      <c r="D231" s="301"/>
      <c r="E231" s="301"/>
      <c r="F231" s="301"/>
      <c r="G231" s="301"/>
      <c r="H231" s="301"/>
      <c r="I231" s="301"/>
      <c r="K231" s="749"/>
      <c r="L231" s="749"/>
      <c r="M231" s="749"/>
      <c r="N231" s="749"/>
      <c r="O231" s="749"/>
      <c r="P231" s="749"/>
    </row>
    <row r="232" spans="4:16">
      <c r="D232" s="301"/>
      <c r="E232" s="301"/>
      <c r="F232" s="301"/>
      <c r="G232" s="301"/>
      <c r="H232" s="301"/>
      <c r="I232" s="301"/>
      <c r="K232" s="749"/>
      <c r="L232" s="749"/>
      <c r="M232" s="749"/>
      <c r="N232" s="749"/>
      <c r="O232" s="749"/>
      <c r="P232" s="749"/>
    </row>
    <row r="233" spans="4:16">
      <c r="D233" s="301"/>
      <c r="E233" s="301"/>
      <c r="F233" s="301"/>
      <c r="G233" s="301"/>
      <c r="H233" s="301"/>
      <c r="I233" s="301"/>
      <c r="K233" s="749"/>
      <c r="L233" s="749"/>
      <c r="M233" s="749"/>
      <c r="N233" s="749"/>
      <c r="O233" s="749"/>
      <c r="P233" s="749"/>
    </row>
    <row r="234" spans="4:16">
      <c r="D234" s="301"/>
      <c r="E234" s="301"/>
      <c r="F234" s="301"/>
      <c r="G234" s="301"/>
      <c r="H234" s="301"/>
      <c r="I234" s="301"/>
      <c r="K234" s="749"/>
      <c r="L234" s="749"/>
      <c r="M234" s="749"/>
      <c r="N234" s="749"/>
      <c r="O234" s="749"/>
      <c r="P234" s="749"/>
    </row>
    <row r="235" spans="4:16">
      <c r="D235" s="301"/>
      <c r="E235" s="301"/>
      <c r="F235" s="301"/>
      <c r="G235" s="301"/>
      <c r="H235" s="301"/>
      <c r="I235" s="301"/>
      <c r="K235" s="749"/>
      <c r="L235" s="749"/>
      <c r="M235" s="749"/>
      <c r="N235" s="749"/>
      <c r="O235" s="749"/>
      <c r="P235" s="749"/>
    </row>
    <row r="236" spans="4:16">
      <c r="D236" s="301"/>
      <c r="E236" s="301"/>
      <c r="F236" s="301"/>
      <c r="G236" s="301"/>
      <c r="H236" s="301"/>
      <c r="I236" s="301"/>
      <c r="K236" s="749"/>
      <c r="L236" s="749"/>
      <c r="M236" s="749"/>
      <c r="N236" s="749"/>
      <c r="O236" s="749"/>
      <c r="P236" s="749"/>
    </row>
    <row r="237" spans="4:16">
      <c r="D237" s="301"/>
      <c r="E237" s="301"/>
      <c r="F237" s="301"/>
      <c r="G237" s="301"/>
      <c r="H237" s="301"/>
      <c r="I237" s="301"/>
      <c r="K237" s="749"/>
      <c r="L237" s="749"/>
      <c r="M237" s="749"/>
      <c r="N237" s="749"/>
      <c r="O237" s="749"/>
      <c r="P237" s="749"/>
    </row>
    <row r="238" spans="4:16">
      <c r="D238" s="301"/>
      <c r="E238" s="301"/>
      <c r="F238" s="301"/>
      <c r="G238" s="301"/>
      <c r="H238" s="301"/>
      <c r="I238" s="301"/>
      <c r="K238" s="749"/>
      <c r="L238" s="749"/>
      <c r="M238" s="749"/>
      <c r="N238" s="749"/>
      <c r="O238" s="749"/>
      <c r="P238" s="749"/>
    </row>
    <row r="239" spans="4:16">
      <c r="D239" s="301"/>
      <c r="E239" s="301"/>
      <c r="F239" s="301"/>
      <c r="G239" s="301"/>
      <c r="H239" s="301"/>
      <c r="I239" s="301"/>
      <c r="K239" s="749"/>
      <c r="L239" s="749"/>
      <c r="M239" s="749"/>
      <c r="N239" s="749"/>
      <c r="O239" s="749"/>
      <c r="P239" s="749"/>
    </row>
    <row r="240" spans="4:16">
      <c r="D240" s="301"/>
      <c r="E240" s="301"/>
      <c r="F240" s="301"/>
      <c r="G240" s="301"/>
      <c r="H240" s="301"/>
      <c r="I240" s="301"/>
      <c r="K240" s="749"/>
      <c r="L240" s="749"/>
      <c r="M240" s="749"/>
      <c r="N240" s="749"/>
      <c r="O240" s="749"/>
      <c r="P240" s="749"/>
    </row>
    <row r="241" spans="1:16">
      <c r="D241" s="301"/>
      <c r="E241" s="301"/>
      <c r="F241" s="301"/>
      <c r="G241" s="301"/>
      <c r="H241" s="301"/>
      <c r="I241" s="301"/>
      <c r="K241" s="749"/>
      <c r="L241" s="749"/>
      <c r="M241" s="749"/>
      <c r="N241" s="749"/>
      <c r="O241" s="749"/>
      <c r="P241" s="749"/>
    </row>
    <row r="242" spans="1:16">
      <c r="D242" s="301"/>
      <c r="E242" s="301"/>
      <c r="F242" s="301"/>
      <c r="G242" s="301"/>
      <c r="H242" s="301"/>
      <c r="I242" s="301"/>
      <c r="K242" s="749"/>
      <c r="L242" s="749"/>
      <c r="M242" s="749"/>
      <c r="N242" s="749"/>
      <c r="O242" s="749"/>
      <c r="P242" s="749"/>
    </row>
    <row r="243" spans="1:16">
      <c r="D243" s="301"/>
      <c r="E243" s="301"/>
      <c r="F243" s="301"/>
      <c r="G243" s="301"/>
      <c r="H243" s="301"/>
      <c r="I243" s="301"/>
      <c r="K243" s="749"/>
      <c r="L243" s="749"/>
      <c r="M243" s="749"/>
      <c r="N243" s="749"/>
      <c r="O243" s="749"/>
      <c r="P243" s="749"/>
    </row>
    <row r="244" spans="1:16">
      <c r="D244" s="301"/>
      <c r="E244" s="301"/>
      <c r="F244" s="301"/>
      <c r="G244" s="301"/>
      <c r="H244" s="301"/>
      <c r="I244" s="301"/>
      <c r="K244" s="749"/>
      <c r="L244" s="749"/>
      <c r="M244" s="749"/>
      <c r="N244" s="749"/>
      <c r="O244" s="749"/>
      <c r="P244" s="749"/>
    </row>
    <row r="245" spans="1:16">
      <c r="D245" s="301"/>
      <c r="E245" s="301"/>
      <c r="F245" s="301"/>
      <c r="G245" s="301"/>
      <c r="H245" s="301"/>
      <c r="I245" s="301"/>
      <c r="K245" s="749"/>
      <c r="L245" s="749"/>
      <c r="M245" s="749"/>
      <c r="N245" s="749"/>
      <c r="O245" s="749"/>
      <c r="P245" s="749"/>
    </row>
    <row r="246" spans="1:16">
      <c r="A246" s="260"/>
      <c r="B246" s="260"/>
      <c r="C246" s="260"/>
      <c r="D246" s="301"/>
      <c r="E246" s="301"/>
      <c r="F246" s="301"/>
      <c r="G246" s="301"/>
      <c r="H246" s="301"/>
      <c r="I246" s="301"/>
      <c r="K246" s="749"/>
      <c r="L246" s="749"/>
      <c r="M246" s="749"/>
      <c r="N246" s="749"/>
      <c r="O246" s="749"/>
      <c r="P246" s="749"/>
    </row>
    <row r="247" spans="1:16">
      <c r="A247" s="260"/>
      <c r="B247" s="260"/>
      <c r="C247" s="260"/>
      <c r="D247" s="301"/>
      <c r="E247" s="301"/>
      <c r="F247" s="301"/>
      <c r="G247" s="301"/>
      <c r="H247" s="301"/>
      <c r="I247" s="301"/>
      <c r="K247" s="749"/>
      <c r="L247" s="749"/>
      <c r="M247" s="749"/>
      <c r="N247" s="749"/>
      <c r="O247" s="749"/>
      <c r="P247" s="749"/>
    </row>
    <row r="248" spans="1:16">
      <c r="A248" s="260"/>
      <c r="B248" s="260"/>
      <c r="C248" s="260"/>
      <c r="D248" s="301"/>
      <c r="E248" s="301"/>
      <c r="F248" s="301"/>
      <c r="G248" s="301"/>
      <c r="H248" s="301"/>
      <c r="I248" s="301"/>
      <c r="K248" s="749"/>
      <c r="L248" s="749"/>
      <c r="M248" s="749"/>
      <c r="N248" s="749"/>
      <c r="O248" s="749"/>
      <c r="P248" s="749"/>
    </row>
    <row r="249" spans="1:16">
      <c r="A249" s="260"/>
      <c r="B249" s="260"/>
      <c r="C249" s="260"/>
      <c r="D249" s="301"/>
      <c r="E249" s="301"/>
      <c r="F249" s="301"/>
      <c r="G249" s="301"/>
      <c r="H249" s="301"/>
      <c r="I249" s="301"/>
      <c r="K249" s="749"/>
      <c r="L249" s="749"/>
      <c r="M249" s="749"/>
      <c r="N249" s="749"/>
      <c r="O249" s="749"/>
      <c r="P249" s="749"/>
    </row>
    <row r="250" spans="1:16">
      <c r="A250" s="260"/>
      <c r="B250" s="260"/>
      <c r="C250" s="260"/>
      <c r="D250" s="301"/>
      <c r="E250" s="301"/>
      <c r="F250" s="301"/>
      <c r="G250" s="301"/>
      <c r="H250" s="301"/>
      <c r="I250" s="301"/>
      <c r="K250" s="749"/>
      <c r="L250" s="749"/>
      <c r="M250" s="749"/>
      <c r="N250" s="749"/>
      <c r="O250" s="749"/>
      <c r="P250" s="749"/>
    </row>
    <row r="251" spans="1:16">
      <c r="A251" s="260"/>
      <c r="B251" s="260"/>
      <c r="C251" s="260"/>
      <c r="D251" s="301"/>
      <c r="E251" s="301"/>
      <c r="F251" s="301"/>
      <c r="G251" s="301"/>
      <c r="H251" s="301"/>
      <c r="I251" s="301"/>
      <c r="K251" s="749"/>
      <c r="L251" s="749"/>
      <c r="M251" s="749"/>
      <c r="N251" s="749"/>
      <c r="O251" s="749"/>
      <c r="P251" s="749"/>
    </row>
    <row r="252" spans="1:16">
      <c r="A252" s="260"/>
      <c r="B252" s="260"/>
      <c r="C252" s="260"/>
      <c r="D252" s="301"/>
      <c r="E252" s="301"/>
      <c r="F252" s="301"/>
      <c r="G252" s="301"/>
      <c r="H252" s="301"/>
      <c r="I252" s="301"/>
      <c r="K252" s="749"/>
      <c r="L252" s="749"/>
      <c r="M252" s="749"/>
      <c r="N252" s="749"/>
      <c r="O252" s="749"/>
      <c r="P252" s="749"/>
    </row>
    <row r="253" spans="1:16">
      <c r="A253" s="260"/>
      <c r="B253" s="4" t="s">
        <v>92</v>
      </c>
      <c r="C253" s="260"/>
      <c r="D253" s="301"/>
      <c r="E253" s="301"/>
      <c r="F253" s="301"/>
      <c r="G253" s="301"/>
      <c r="H253" s="301"/>
      <c r="I253" s="301"/>
      <c r="K253" s="749"/>
      <c r="L253" s="749"/>
      <c r="M253" s="749"/>
      <c r="N253" s="749"/>
      <c r="O253" s="749"/>
      <c r="P253" s="749"/>
    </row>
    <row r="254" spans="1:16">
      <c r="A254" s="260"/>
      <c r="B254" s="260"/>
      <c r="C254" s="260"/>
      <c r="D254" s="301"/>
      <c r="E254" s="301"/>
      <c r="F254" s="301"/>
      <c r="G254" s="301"/>
      <c r="H254" s="301"/>
      <c r="I254" s="301"/>
      <c r="K254" s="749"/>
      <c r="L254" s="749"/>
      <c r="M254" s="749"/>
      <c r="N254" s="749"/>
      <c r="O254" s="749"/>
      <c r="P254" s="749"/>
    </row>
    <row r="255" spans="1:16" ht="18.5" hidden="1" customHeight="1">
      <c r="A255" s="2" t="s">
        <v>93</v>
      </c>
      <c r="B255" s="260"/>
      <c r="C255" s="260"/>
      <c r="D255" s="260"/>
      <c r="E255" s="260"/>
      <c r="F255" s="260"/>
      <c r="G255" s="260"/>
      <c r="H255" s="260"/>
      <c r="I255" s="260"/>
      <c r="K255" s="749"/>
      <c r="L255" s="749"/>
      <c r="M255" s="749"/>
      <c r="N255" s="749"/>
      <c r="O255" s="749"/>
      <c r="P255" s="749"/>
    </row>
    <row r="256" spans="1:16" ht="18.5" hidden="1" customHeight="1">
      <c r="A256" s="4" t="s">
        <v>94</v>
      </c>
      <c r="B256" s="260"/>
      <c r="C256" s="260"/>
      <c r="D256" s="260"/>
      <c r="E256" s="260"/>
      <c r="F256" s="260"/>
      <c r="G256" s="260"/>
      <c r="H256" s="260"/>
      <c r="I256" s="260"/>
      <c r="K256" s="749"/>
      <c r="L256" s="749"/>
      <c r="M256" s="749"/>
      <c r="N256" s="749"/>
      <c r="O256" s="749"/>
      <c r="P256" s="749"/>
    </row>
    <row r="257" spans="1:16" ht="18.5" hidden="1" customHeight="1">
      <c r="A257" s="303" t="s">
        <v>95</v>
      </c>
      <c r="B257" s="304">
        <v>0</v>
      </c>
      <c r="C257" s="304">
        <v>0</v>
      </c>
      <c r="D257" s="260"/>
      <c r="E257" s="260"/>
      <c r="F257" s="260"/>
      <c r="G257" s="260"/>
      <c r="H257" s="260"/>
      <c r="I257" s="260"/>
      <c r="K257" s="749"/>
      <c r="L257" s="749"/>
      <c r="M257" s="749"/>
      <c r="N257" s="749"/>
      <c r="O257" s="749"/>
      <c r="P257" s="749"/>
    </row>
    <row r="258" spans="1:16" ht="18.5" hidden="1" customHeight="1">
      <c r="A258" s="303" t="s">
        <v>95</v>
      </c>
      <c r="B258" s="304">
        <v>250000</v>
      </c>
      <c r="C258" s="304">
        <v>0</v>
      </c>
      <c r="D258" s="260"/>
      <c r="E258" s="260"/>
      <c r="F258" s="260"/>
      <c r="G258" s="260"/>
      <c r="H258" s="260"/>
      <c r="I258" s="260"/>
      <c r="K258" s="749"/>
      <c r="L258" s="749"/>
      <c r="M258" s="749"/>
      <c r="N258" s="749"/>
      <c r="O258" s="749"/>
      <c r="P258" s="749"/>
    </row>
    <row r="259" spans="1:16" ht="18.5" hidden="1" customHeight="1">
      <c r="A259" s="303"/>
      <c r="B259" s="304">
        <v>500000</v>
      </c>
      <c r="C259" s="304">
        <v>8000</v>
      </c>
      <c r="D259" s="260"/>
      <c r="E259" s="260"/>
      <c r="F259" s="260"/>
      <c r="G259" s="260"/>
      <c r="H259" s="260"/>
      <c r="I259" s="260"/>
      <c r="K259" s="749"/>
      <c r="L259" s="749"/>
      <c r="M259" s="749"/>
      <c r="N259" s="749"/>
      <c r="O259" s="749"/>
      <c r="P259" s="749"/>
    </row>
    <row r="260" spans="1:16" ht="18.5" hidden="1" customHeight="1">
      <c r="A260" s="303"/>
      <c r="B260" s="304">
        <v>1000000</v>
      </c>
      <c r="C260" s="304">
        <v>24000</v>
      </c>
      <c r="D260" s="260"/>
      <c r="E260" s="260"/>
      <c r="F260" s="260"/>
      <c r="G260" s="260"/>
      <c r="H260" s="260"/>
      <c r="I260" s="260"/>
      <c r="K260" s="749"/>
      <c r="L260" s="749"/>
      <c r="M260" s="749"/>
      <c r="N260" s="749"/>
      <c r="O260" s="749"/>
      <c r="P260" s="749"/>
    </row>
    <row r="261" spans="1:16" ht="18.5" hidden="1" customHeight="1">
      <c r="A261" s="303"/>
      <c r="B261" s="304">
        <v>2000000</v>
      </c>
      <c r="C261" s="304">
        <f>32000+C260</f>
        <v>56000</v>
      </c>
      <c r="D261" s="260"/>
      <c r="E261" s="260"/>
      <c r="F261" s="260"/>
      <c r="G261" s="260"/>
      <c r="H261" s="260"/>
      <c r="I261" s="260"/>
      <c r="K261" s="749"/>
      <c r="L261" s="749"/>
      <c r="M261" s="749"/>
      <c r="N261" s="749"/>
      <c r="O261" s="749"/>
      <c r="P261" s="749"/>
    </row>
    <row r="262" spans="1:16" ht="18.5" hidden="1" customHeight="1">
      <c r="A262" s="303"/>
      <c r="B262" s="304">
        <v>3000000</v>
      </c>
      <c r="C262" s="304">
        <f>C261+32000</f>
        <v>88000</v>
      </c>
      <c r="K262" s="749"/>
      <c r="L262" s="749"/>
      <c r="M262" s="749"/>
      <c r="N262" s="749"/>
      <c r="O262" s="749"/>
      <c r="P262" s="749"/>
    </row>
    <row r="263" spans="1:16" ht="18.5" hidden="1" customHeight="1">
      <c r="A263" s="303"/>
      <c r="B263" s="304">
        <v>4000000</v>
      </c>
      <c r="C263" s="304">
        <f t="shared" ref="C263:C269" si="49">C262+32000</f>
        <v>120000</v>
      </c>
      <c r="K263" s="749"/>
      <c r="L263" s="749"/>
      <c r="M263" s="749"/>
      <c r="N263" s="749"/>
      <c r="O263" s="749"/>
      <c r="P263" s="749"/>
    </row>
    <row r="264" spans="1:16" ht="18.5" hidden="1" customHeight="1">
      <c r="A264" s="303"/>
      <c r="B264" s="304">
        <v>5000000</v>
      </c>
      <c r="C264" s="304">
        <f t="shared" si="49"/>
        <v>152000</v>
      </c>
      <c r="K264" s="749"/>
      <c r="L264" s="749"/>
      <c r="M264" s="749"/>
      <c r="N264" s="749"/>
      <c r="O264" s="749"/>
      <c r="P264" s="749"/>
    </row>
    <row r="265" spans="1:16" ht="18.5" hidden="1" customHeight="1">
      <c r="A265" s="303"/>
      <c r="B265" s="304">
        <f>B264+1000000</f>
        <v>6000000</v>
      </c>
      <c r="C265" s="304">
        <f t="shared" si="49"/>
        <v>184000</v>
      </c>
      <c r="K265" s="749"/>
      <c r="L265" s="749"/>
      <c r="M265" s="749"/>
      <c r="N265" s="749"/>
      <c r="O265" s="749"/>
      <c r="P265" s="749"/>
    </row>
    <row r="266" spans="1:16" ht="18.5" hidden="1" customHeight="1">
      <c r="A266" s="303"/>
      <c r="B266" s="304">
        <f>B265+1000000</f>
        <v>7000000</v>
      </c>
      <c r="C266" s="304">
        <f t="shared" si="49"/>
        <v>216000</v>
      </c>
      <c r="K266" s="749"/>
      <c r="L266" s="749"/>
      <c r="M266" s="749"/>
      <c r="N266" s="749"/>
      <c r="O266" s="749"/>
      <c r="P266" s="749"/>
    </row>
    <row r="267" spans="1:16" ht="18.5" hidden="1" customHeight="1">
      <c r="A267" s="303"/>
      <c r="B267" s="304">
        <f>B266+1000000</f>
        <v>8000000</v>
      </c>
      <c r="C267" s="304">
        <f t="shared" si="49"/>
        <v>248000</v>
      </c>
      <c r="K267" s="749"/>
      <c r="L267" s="749"/>
      <c r="M267" s="749"/>
      <c r="N267" s="749"/>
      <c r="O267" s="749"/>
      <c r="P267" s="749"/>
    </row>
    <row r="268" spans="1:16" ht="18.5" hidden="1" customHeight="1">
      <c r="A268" s="303"/>
      <c r="B268" s="304">
        <f>B267+1000000</f>
        <v>9000000</v>
      </c>
      <c r="C268" s="304">
        <f t="shared" si="49"/>
        <v>280000</v>
      </c>
      <c r="K268" s="749"/>
      <c r="L268" s="749"/>
      <c r="M268" s="749"/>
      <c r="N268" s="749"/>
      <c r="O268" s="749"/>
      <c r="P268" s="749"/>
    </row>
    <row r="269" spans="1:16" ht="18.5" hidden="1" customHeight="1">
      <c r="A269" s="305"/>
      <c r="B269" s="306">
        <f>B268+1000000</f>
        <v>10000000</v>
      </c>
      <c r="C269" s="306">
        <f t="shared" si="49"/>
        <v>312000</v>
      </c>
      <c r="K269" s="749"/>
      <c r="L269" s="749"/>
      <c r="M269" s="749"/>
      <c r="N269" s="749"/>
      <c r="O269" s="749"/>
      <c r="P269" s="749"/>
    </row>
    <row r="270" spans="1:16" ht="18.5" hidden="1" customHeight="1">
      <c r="A270" s="303"/>
      <c r="B270" s="304">
        <v>0</v>
      </c>
      <c r="C270" s="304">
        <v>0</v>
      </c>
      <c r="K270" s="749"/>
      <c r="L270" s="749"/>
      <c r="M270" s="749"/>
      <c r="N270" s="749"/>
      <c r="O270" s="749"/>
      <c r="P270" s="749"/>
    </row>
    <row r="271" spans="1:16" ht="18.5" hidden="1" customHeight="1">
      <c r="A271" s="303" t="s">
        <v>96</v>
      </c>
      <c r="B271" s="304">
        <v>250000</v>
      </c>
      <c r="C271" s="304">
        <v>0</v>
      </c>
      <c r="K271" s="749"/>
      <c r="L271" s="749"/>
      <c r="M271" s="749"/>
      <c r="N271" s="749"/>
      <c r="O271" s="749"/>
      <c r="P271" s="749"/>
    </row>
    <row r="272" spans="1:16" ht="18.5" hidden="1" customHeight="1">
      <c r="A272" s="303"/>
      <c r="B272" s="304">
        <v>500000</v>
      </c>
      <c r="C272" s="304">
        <v>2000</v>
      </c>
      <c r="K272" s="749"/>
      <c r="L272" s="749"/>
      <c r="M272" s="749"/>
      <c r="N272" s="749"/>
      <c r="O272" s="749"/>
      <c r="P272" s="749"/>
    </row>
    <row r="273" spans="1:16" ht="18.5" hidden="1" customHeight="1">
      <c r="A273" s="260"/>
      <c r="B273" s="276">
        <v>1000000</v>
      </c>
      <c r="C273" s="276">
        <v>6000</v>
      </c>
      <c r="K273" s="749"/>
      <c r="L273" s="749"/>
      <c r="M273" s="749"/>
      <c r="N273" s="749"/>
      <c r="O273" s="749"/>
      <c r="P273" s="749"/>
    </row>
    <row r="274" spans="1:16" ht="18.5" hidden="1" customHeight="1">
      <c r="A274" s="260"/>
      <c r="B274" s="276">
        <v>2000000</v>
      </c>
      <c r="C274" s="276">
        <f>8000+C273</f>
        <v>14000</v>
      </c>
      <c r="K274" s="749"/>
      <c r="L274" s="749"/>
      <c r="M274" s="749"/>
      <c r="N274" s="749"/>
      <c r="O274" s="749"/>
      <c r="P274" s="749"/>
    </row>
    <row r="275" spans="1:16" ht="18.5" hidden="1" customHeight="1">
      <c r="A275" s="260"/>
      <c r="B275" s="276">
        <v>3000000</v>
      </c>
      <c r="C275" s="287">
        <f>8000+C274</f>
        <v>22000</v>
      </c>
      <c r="K275" s="749"/>
      <c r="L275" s="749"/>
      <c r="M275" s="749"/>
      <c r="N275" s="749"/>
      <c r="O275" s="749"/>
      <c r="P275" s="749"/>
    </row>
    <row r="276" spans="1:16" ht="18.5" hidden="1" customHeight="1">
      <c r="A276" s="260"/>
      <c r="B276" s="276">
        <v>4000000</v>
      </c>
      <c r="C276" s="287">
        <f t="shared" ref="C276:C282" si="50">8000+C275</f>
        <v>30000</v>
      </c>
      <c r="K276" s="749"/>
      <c r="L276" s="749"/>
      <c r="M276" s="749"/>
      <c r="N276" s="749"/>
      <c r="O276" s="749"/>
      <c r="P276" s="749"/>
    </row>
    <row r="277" spans="1:16" ht="18.5" hidden="1" customHeight="1">
      <c r="A277" s="260"/>
      <c r="B277" s="276">
        <v>5000000</v>
      </c>
      <c r="C277" s="287">
        <f t="shared" si="50"/>
        <v>38000</v>
      </c>
      <c r="K277" s="749"/>
      <c r="L277" s="749"/>
      <c r="M277" s="749"/>
      <c r="N277" s="749"/>
      <c r="O277" s="749"/>
      <c r="P277" s="749"/>
    </row>
    <row r="278" spans="1:16" ht="18.5" hidden="1" customHeight="1">
      <c r="B278" s="287">
        <f>B277+1000000</f>
        <v>6000000</v>
      </c>
      <c r="C278" s="287">
        <f t="shared" si="50"/>
        <v>46000</v>
      </c>
      <c r="K278" s="749"/>
      <c r="L278" s="749"/>
      <c r="M278" s="749"/>
      <c r="N278" s="749"/>
      <c r="O278" s="749"/>
      <c r="P278" s="749"/>
    </row>
    <row r="279" spans="1:16" ht="18.5" hidden="1" customHeight="1">
      <c r="B279" s="287">
        <f>B278+1000000</f>
        <v>7000000</v>
      </c>
      <c r="C279" s="287">
        <f t="shared" si="50"/>
        <v>54000</v>
      </c>
      <c r="K279" s="749"/>
      <c r="L279" s="749"/>
      <c r="M279" s="749"/>
      <c r="N279" s="749"/>
      <c r="O279" s="749"/>
      <c r="P279" s="749"/>
    </row>
    <row r="280" spans="1:16" ht="18.5" hidden="1" customHeight="1">
      <c r="B280" s="287">
        <f>B279+1000000</f>
        <v>8000000</v>
      </c>
      <c r="C280" s="287">
        <f t="shared" si="50"/>
        <v>62000</v>
      </c>
      <c r="K280" s="749"/>
      <c r="L280" s="749"/>
      <c r="M280" s="749"/>
      <c r="N280" s="749"/>
      <c r="O280" s="749"/>
      <c r="P280" s="749"/>
    </row>
    <row r="281" spans="1:16" ht="18.5" hidden="1" customHeight="1">
      <c r="B281" s="287">
        <f>B280+1000000</f>
        <v>9000000</v>
      </c>
      <c r="C281" s="287">
        <f t="shared" si="50"/>
        <v>70000</v>
      </c>
      <c r="K281" s="749"/>
      <c r="L281" s="749"/>
      <c r="M281" s="749"/>
      <c r="N281" s="749"/>
      <c r="O281" s="749"/>
      <c r="P281" s="749"/>
    </row>
    <row r="282" spans="1:16" ht="18.5" hidden="1" customHeight="1">
      <c r="B282" s="287">
        <f>B281+1000000</f>
        <v>10000000</v>
      </c>
      <c r="C282" s="287">
        <f t="shared" si="50"/>
        <v>78000</v>
      </c>
      <c r="K282" s="749"/>
      <c r="L282" s="749"/>
      <c r="M282" s="749"/>
      <c r="N282" s="749"/>
      <c r="O282" s="749"/>
      <c r="P282" s="749"/>
    </row>
    <row r="283" spans="1:16" ht="18.5" hidden="1" customHeight="1">
      <c r="B283" s="287"/>
      <c r="C283" s="287"/>
      <c r="K283" s="749"/>
      <c r="L283" s="749"/>
      <c r="M283" s="749"/>
      <c r="N283" s="749"/>
      <c r="O283" s="749"/>
      <c r="P283" s="749"/>
    </row>
    <row r="284" spans="1:16" ht="18.5" hidden="1" customHeight="1">
      <c r="B284" s="260"/>
      <c r="C284" s="260"/>
      <c r="K284" s="749"/>
      <c r="L284" s="749"/>
      <c r="M284" s="749"/>
      <c r="N284" s="749"/>
      <c r="O284" s="749"/>
      <c r="P284" s="749"/>
    </row>
    <row r="285" spans="1:16" ht="18.5" hidden="1" customHeight="1">
      <c r="B285" s="260"/>
      <c r="C285" s="260"/>
      <c r="K285" s="749"/>
      <c r="L285" s="749"/>
      <c r="M285" s="749"/>
      <c r="N285" s="749"/>
      <c r="O285" s="749"/>
      <c r="P285" s="749"/>
    </row>
    <row r="286" spans="1:16" ht="18.5" hidden="1" customHeight="1">
      <c r="B286" s="260"/>
      <c r="C286" s="260"/>
      <c r="K286" s="749"/>
      <c r="L286" s="749"/>
      <c r="M286" s="749"/>
      <c r="N286" s="749"/>
      <c r="O286" s="749"/>
      <c r="P286" s="749"/>
    </row>
    <row r="287" spans="1:16" ht="18.5" hidden="1" customHeight="1">
      <c r="B287" s="260"/>
      <c r="C287" s="260"/>
      <c r="K287" s="749"/>
      <c r="L287" s="749"/>
      <c r="M287" s="749"/>
      <c r="N287" s="749"/>
      <c r="O287" s="749"/>
      <c r="P287" s="749"/>
    </row>
    <row r="288" spans="1:16" ht="18.5" hidden="1" customHeight="1">
      <c r="B288" s="260"/>
      <c r="C288" s="260"/>
      <c r="K288" s="749"/>
      <c r="L288" s="749"/>
      <c r="M288" s="749"/>
      <c r="N288" s="749"/>
      <c r="O288" s="749"/>
      <c r="P288" s="749"/>
    </row>
    <row r="289" spans="2:16" ht="18.5" hidden="1" customHeight="1">
      <c r="B289" s="4" t="s">
        <v>97</v>
      </c>
      <c r="C289" s="260"/>
      <c r="K289" s="749"/>
      <c r="L289" s="749"/>
      <c r="M289" s="749"/>
      <c r="N289" s="749"/>
      <c r="O289" s="749"/>
      <c r="P289" s="749"/>
    </row>
    <row r="290" spans="2:16" ht="18.5" hidden="1" customHeight="1">
      <c r="B290" s="260" t="s">
        <v>98</v>
      </c>
      <c r="C290" s="260"/>
      <c r="K290" s="749"/>
      <c r="L290" s="749"/>
      <c r="M290" s="749"/>
      <c r="N290" s="749"/>
      <c r="O290" s="749"/>
      <c r="P290" s="749"/>
    </row>
    <row r="291" spans="2:16" ht="18.5" hidden="1" customHeight="1">
      <c r="B291" s="260" t="s">
        <v>99</v>
      </c>
      <c r="C291" s="260"/>
      <c r="K291" s="749"/>
      <c r="L291" s="749"/>
      <c r="M291" s="749"/>
      <c r="N291" s="749"/>
      <c r="O291" s="749"/>
      <c r="P291" s="749"/>
    </row>
    <row r="292" spans="2:16" ht="18.5" hidden="1" customHeight="1">
      <c r="B292" s="260" t="s">
        <v>100</v>
      </c>
      <c r="C292" s="260"/>
      <c r="K292" s="749"/>
      <c r="L292" s="749"/>
      <c r="M292" s="749"/>
      <c r="N292" s="749"/>
      <c r="O292" s="749"/>
      <c r="P292" s="749"/>
    </row>
    <row r="293" spans="2:16" ht="18.5" hidden="1" customHeight="1">
      <c r="B293" s="260" t="s">
        <v>101</v>
      </c>
      <c r="C293" s="276">
        <v>35000</v>
      </c>
      <c r="K293" s="749"/>
      <c r="L293" s="749"/>
      <c r="M293" s="749"/>
      <c r="N293" s="749"/>
      <c r="O293" s="749"/>
      <c r="P293" s="749"/>
    </row>
    <row r="294" spans="2:16" ht="18.5" hidden="1" customHeight="1">
      <c r="B294" s="260"/>
      <c r="K294" s="749"/>
      <c r="L294" s="749"/>
      <c r="M294" s="749"/>
      <c r="N294" s="749"/>
      <c r="O294" s="749"/>
      <c r="P294" s="749"/>
    </row>
    <row r="295" spans="2:16" ht="18.5" hidden="1" customHeight="1">
      <c r="B295" s="260"/>
      <c r="K295" s="749"/>
      <c r="L295" s="749"/>
      <c r="M295" s="749"/>
      <c r="N295" s="749"/>
      <c r="O295" s="749"/>
      <c r="P295" s="749"/>
    </row>
    <row r="296" spans="2:16" ht="18.5" hidden="1" customHeight="1">
      <c r="B296" s="4" t="s">
        <v>102</v>
      </c>
      <c r="K296" s="749"/>
      <c r="L296" s="749"/>
      <c r="M296" s="749"/>
      <c r="N296" s="749"/>
      <c r="O296" s="749"/>
      <c r="P296" s="749"/>
    </row>
    <row r="297" spans="2:16" ht="18.5" hidden="1" customHeight="1">
      <c r="B297" s="260" t="s">
        <v>67</v>
      </c>
      <c r="K297" s="749"/>
      <c r="L297" s="749"/>
      <c r="M297" s="749"/>
      <c r="N297" s="749"/>
      <c r="O297" s="749"/>
      <c r="P297" s="749"/>
    </row>
    <row r="298" spans="2:16" ht="18.5" hidden="1" customHeight="1">
      <c r="B298" s="260" t="s">
        <v>68</v>
      </c>
      <c r="K298" s="749"/>
      <c r="L298" s="749"/>
      <c r="M298" s="749"/>
      <c r="N298" s="749"/>
      <c r="O298" s="749"/>
      <c r="P298" s="749"/>
    </row>
    <row r="299" spans="2:16" ht="18.5" hidden="1" customHeight="1">
      <c r="B299" s="260" t="s">
        <v>103</v>
      </c>
      <c r="K299" s="749"/>
      <c r="L299" s="749"/>
      <c r="M299" s="749"/>
      <c r="N299" s="749"/>
      <c r="O299" s="749"/>
      <c r="P299" s="749"/>
    </row>
    <row r="300" spans="2:16" ht="18.5" hidden="1" customHeight="1">
      <c r="B300" s="260"/>
      <c r="K300" s="749"/>
      <c r="L300" s="749"/>
      <c r="M300" s="749"/>
      <c r="N300" s="749"/>
      <c r="O300" s="749"/>
      <c r="P300" s="749"/>
    </row>
    <row r="301" spans="2:16" ht="18.5" hidden="1" customHeight="1">
      <c r="B301" s="260"/>
      <c r="K301" s="749"/>
      <c r="L301" s="749"/>
      <c r="M301" s="749"/>
      <c r="N301" s="749"/>
      <c r="O301" s="749"/>
      <c r="P301" s="749"/>
    </row>
    <row r="302" spans="2:16" ht="18.5" hidden="1" customHeight="1">
      <c r="B302" s="260"/>
      <c r="K302" s="749"/>
      <c r="L302" s="749"/>
      <c r="M302" s="749"/>
      <c r="N302" s="749"/>
      <c r="O302" s="749"/>
      <c r="P302" s="749"/>
    </row>
    <row r="303" spans="2:16">
      <c r="B303" s="260"/>
      <c r="K303" s="749"/>
      <c r="L303" s="749"/>
      <c r="M303" s="749"/>
      <c r="N303" s="749"/>
      <c r="O303" s="749"/>
      <c r="P303" s="749"/>
    </row>
    <row r="304" spans="2:16">
      <c r="B304" s="260" t="s">
        <v>104</v>
      </c>
      <c r="K304" s="749"/>
      <c r="L304" s="749"/>
      <c r="M304" s="749"/>
      <c r="N304" s="749"/>
      <c r="O304" s="749"/>
      <c r="P304" s="749"/>
    </row>
    <row r="305" spans="2:16">
      <c r="K305" s="749"/>
      <c r="L305" s="749"/>
      <c r="M305" s="749"/>
      <c r="N305" s="749"/>
      <c r="O305" s="749"/>
      <c r="P305" s="749"/>
    </row>
    <row r="306" spans="2:16">
      <c r="B306" s="260" t="s">
        <v>105</v>
      </c>
      <c r="K306" s="749"/>
      <c r="L306" s="749"/>
      <c r="M306" s="749"/>
      <c r="N306" s="749"/>
      <c r="O306" s="749"/>
      <c r="P306" s="749"/>
    </row>
    <row r="307" spans="2:16">
      <c r="K307" s="749"/>
      <c r="L307" s="749"/>
      <c r="M307" s="749"/>
      <c r="N307" s="749"/>
      <c r="O307" s="749"/>
      <c r="P307" s="749"/>
    </row>
    <row r="308" spans="2:16">
      <c r="B308" s="260" t="s">
        <v>106</v>
      </c>
      <c r="K308" s="749"/>
      <c r="L308" s="749"/>
      <c r="M308" s="749"/>
      <c r="N308" s="749"/>
      <c r="O308" s="749"/>
      <c r="P308" s="749"/>
    </row>
    <row r="309" spans="2:16">
      <c r="K309" s="749"/>
      <c r="L309" s="749"/>
      <c r="M309" s="749"/>
      <c r="N309" s="749"/>
      <c r="O309" s="749"/>
      <c r="P309" s="749"/>
    </row>
    <row r="310" spans="2:16">
      <c r="B310" s="260" t="s">
        <v>107</v>
      </c>
      <c r="C310" s="276">
        <v>5168.7251661157843</v>
      </c>
      <c r="D310" s="260"/>
      <c r="E310" s="260"/>
      <c r="F310" s="260"/>
      <c r="K310" s="749"/>
      <c r="L310" s="749"/>
      <c r="M310" s="749"/>
      <c r="N310" s="749"/>
      <c r="O310" s="749"/>
      <c r="P310" s="749"/>
    </row>
    <row r="311" spans="2:16">
      <c r="B311" s="260"/>
      <c r="C311" s="276">
        <v>1926137650.6707556</v>
      </c>
      <c r="D311" s="260"/>
      <c r="E311" s="260"/>
      <c r="F311" s="260"/>
      <c r="K311" s="749"/>
      <c r="L311" s="749"/>
      <c r="M311" s="749"/>
      <c r="N311" s="749"/>
      <c r="O311" s="749"/>
      <c r="P311" s="749"/>
    </row>
    <row r="312" spans="2:16">
      <c r="B312" s="260" t="s">
        <v>108</v>
      </c>
      <c r="C312" s="260"/>
      <c r="D312" s="260"/>
      <c r="E312" s="260"/>
      <c r="F312" s="260"/>
      <c r="K312" s="749"/>
      <c r="L312" s="749"/>
      <c r="M312" s="749"/>
      <c r="N312" s="749"/>
      <c r="O312" s="749"/>
      <c r="P312" s="749"/>
    </row>
    <row r="313" spans="2:16">
      <c r="B313" s="260" t="s">
        <v>109</v>
      </c>
      <c r="C313" s="260"/>
      <c r="D313" s="260"/>
      <c r="E313" s="260"/>
      <c r="F313" s="260"/>
      <c r="K313" s="749"/>
      <c r="L313" s="749"/>
      <c r="M313" s="749"/>
      <c r="N313" s="749"/>
      <c r="O313" s="749"/>
      <c r="P313" s="749"/>
    </row>
    <row r="314" spans="2:16">
      <c r="B314" s="260" t="s">
        <v>110</v>
      </c>
      <c r="C314" s="260"/>
      <c r="D314" s="260"/>
      <c r="E314" s="276">
        <f>20000*341</f>
        <v>6820000</v>
      </c>
      <c r="F314" s="276">
        <f>20000*341</f>
        <v>6820000</v>
      </c>
      <c r="K314" s="749"/>
      <c r="L314" s="749"/>
      <c r="M314" s="749"/>
      <c r="N314" s="749"/>
      <c r="O314" s="749"/>
      <c r="P314" s="749"/>
    </row>
    <row r="315" spans="2:16">
      <c r="K315" s="749"/>
      <c r="L315" s="749"/>
      <c r="M315" s="749"/>
      <c r="N315" s="749"/>
      <c r="O315" s="749"/>
      <c r="P315" s="749"/>
    </row>
    <row r="316" spans="2:16">
      <c r="B316" s="14" t="s">
        <v>111</v>
      </c>
      <c r="C316" s="17"/>
      <c r="D316" s="260"/>
      <c r="E316" s="260"/>
      <c r="F316" s="260"/>
      <c r="K316" s="749"/>
      <c r="L316" s="749"/>
      <c r="M316" s="749"/>
      <c r="N316" s="749"/>
      <c r="O316" s="749"/>
      <c r="P316" s="749"/>
    </row>
    <row r="317" spans="2:16">
      <c r="B317" s="260"/>
      <c r="C317" s="18"/>
      <c r="D317" s="260"/>
      <c r="E317" s="260"/>
      <c r="F317" s="260"/>
      <c r="K317" s="749"/>
      <c r="L317" s="749"/>
      <c r="M317" s="749"/>
      <c r="N317" s="749"/>
      <c r="O317" s="749"/>
      <c r="P317" s="749"/>
    </row>
    <row r="318" spans="2:16">
      <c r="K318" s="749"/>
      <c r="L318" s="749"/>
      <c r="M318" s="749"/>
      <c r="N318" s="749"/>
      <c r="O318" s="749"/>
      <c r="P318" s="749"/>
    </row>
    <row r="319" spans="2:16">
      <c r="B319" s="260"/>
      <c r="C319" s="260"/>
      <c r="D319" s="287">
        <f>D187*2722</f>
        <v>-12789186.411047406</v>
      </c>
      <c r="E319" s="260"/>
      <c r="F319" s="260"/>
      <c r="K319" s="749"/>
      <c r="L319" s="749"/>
      <c r="M319" s="749"/>
      <c r="N319" s="749"/>
      <c r="O319" s="749"/>
      <c r="P319" s="749"/>
    </row>
    <row r="320" spans="2:16">
      <c r="B320" s="260"/>
      <c r="C320" s="260"/>
      <c r="D320" s="287">
        <f>D322+D319</f>
        <v>268716309.94856876</v>
      </c>
      <c r="E320" s="280">
        <f>D320/2722</f>
        <v>98720.172648261854</v>
      </c>
      <c r="F320" s="280">
        <f>E320/2722</f>
        <v>36.267513831102811</v>
      </c>
      <c r="K320" s="749"/>
      <c r="L320" s="749"/>
      <c r="M320" s="749"/>
      <c r="N320" s="749"/>
      <c r="O320" s="749"/>
      <c r="P320" s="749"/>
    </row>
    <row r="321" spans="2:16">
      <c r="B321" s="260" t="s">
        <v>112</v>
      </c>
      <c r="C321" s="260"/>
      <c r="D321" s="276">
        <f>(D187+D191)*(-2722)</f>
        <v>442009895.7354247</v>
      </c>
      <c r="E321" s="260"/>
      <c r="F321" s="260"/>
      <c r="K321" s="749"/>
      <c r="L321" s="749"/>
      <c r="M321" s="749"/>
      <c r="N321" s="749"/>
      <c r="O321" s="749"/>
      <c r="P321" s="749"/>
    </row>
    <row r="322" spans="2:16">
      <c r="B322" s="260" t="s">
        <v>113</v>
      </c>
      <c r="C322" s="260"/>
      <c r="D322" s="276">
        <v>281505496.35961616</v>
      </c>
      <c r="E322" s="260"/>
      <c r="F322" s="260"/>
      <c r="K322" s="749"/>
      <c r="L322" s="749"/>
      <c r="M322" s="749"/>
      <c r="N322" s="749"/>
      <c r="O322" s="749"/>
      <c r="P322" s="749"/>
    </row>
    <row r="323" spans="2:16">
      <c r="K323" s="749"/>
      <c r="L323" s="749"/>
      <c r="M323" s="749"/>
      <c r="N323" s="749"/>
      <c r="O323" s="749"/>
      <c r="P323" s="749"/>
    </row>
    <row r="324" spans="2:16">
      <c r="K324" s="749"/>
      <c r="L324" s="749"/>
      <c r="M324" s="749"/>
      <c r="N324" s="749"/>
      <c r="O324" s="749"/>
      <c r="P324" s="749"/>
    </row>
    <row r="325" spans="2:16">
      <c r="K325" s="749"/>
      <c r="L325" s="749"/>
      <c r="M325" s="749"/>
      <c r="N325" s="749"/>
      <c r="O325" s="749"/>
      <c r="P325" s="749"/>
    </row>
    <row r="326" spans="2:16">
      <c r="D326" s="276">
        <v>5842.054961732525</v>
      </c>
      <c r="K326" s="749"/>
      <c r="L326" s="749"/>
      <c r="M326" s="749"/>
      <c r="N326" s="749"/>
      <c r="O326" s="749"/>
      <c r="P326" s="749"/>
    </row>
    <row r="327" spans="2:16">
      <c r="K327" s="749"/>
      <c r="L327" s="749"/>
      <c r="M327" s="749"/>
      <c r="N327" s="749"/>
      <c r="O327" s="749"/>
      <c r="P327" s="749"/>
    </row>
    <row r="328" spans="2:16">
      <c r="D328" s="276">
        <f>D326*D187</f>
        <v>-27448614.962961677</v>
      </c>
      <c r="K328" s="749"/>
      <c r="L328" s="749"/>
      <c r="M328" s="749"/>
      <c r="N328" s="749"/>
      <c r="O328" s="749"/>
      <c r="P328" s="749"/>
    </row>
    <row r="329" spans="2:16">
      <c r="K329" s="749"/>
      <c r="L329" s="749"/>
      <c r="M329" s="749"/>
      <c r="N329" s="749"/>
      <c r="O329" s="749"/>
      <c r="P329" s="749"/>
    </row>
  </sheetData>
  <mergeCells count="337">
    <mergeCell ref="K328:P328"/>
    <mergeCell ref="K329:P329"/>
    <mergeCell ref="K323:P323"/>
    <mergeCell ref="K324:P324"/>
    <mergeCell ref="K325:P325"/>
    <mergeCell ref="K326:P326"/>
    <mergeCell ref="K327:P327"/>
    <mergeCell ref="K318:P318"/>
    <mergeCell ref="K319:P319"/>
    <mergeCell ref="K320:P320"/>
    <mergeCell ref="K321:P321"/>
    <mergeCell ref="K322:P322"/>
    <mergeCell ref="K313:P313"/>
    <mergeCell ref="K314:P314"/>
    <mergeCell ref="K315:P315"/>
    <mergeCell ref="K316:P316"/>
    <mergeCell ref="K317:P317"/>
    <mergeCell ref="K308:P308"/>
    <mergeCell ref="K309:P309"/>
    <mergeCell ref="K310:P310"/>
    <mergeCell ref="K311:P311"/>
    <mergeCell ref="K312:P312"/>
    <mergeCell ref="K303:P303"/>
    <mergeCell ref="K304:P304"/>
    <mergeCell ref="K305:P305"/>
    <mergeCell ref="K306:P306"/>
    <mergeCell ref="K307:P307"/>
    <mergeCell ref="K298:P298"/>
    <mergeCell ref="K299:P299"/>
    <mergeCell ref="K300:P300"/>
    <mergeCell ref="K301:P301"/>
    <mergeCell ref="K302:P302"/>
    <mergeCell ref="K293:P293"/>
    <mergeCell ref="K294:P294"/>
    <mergeCell ref="K295:P295"/>
    <mergeCell ref="K296:P296"/>
    <mergeCell ref="K297:P297"/>
    <mergeCell ref="K288:P288"/>
    <mergeCell ref="K289:P289"/>
    <mergeCell ref="K290:P290"/>
    <mergeCell ref="K291:P291"/>
    <mergeCell ref="K292:P292"/>
    <mergeCell ref="K283:P283"/>
    <mergeCell ref="K284:P284"/>
    <mergeCell ref="K285:P285"/>
    <mergeCell ref="K286:P286"/>
    <mergeCell ref="K287:P287"/>
    <mergeCell ref="K278:P278"/>
    <mergeCell ref="K279:P279"/>
    <mergeCell ref="K280:P280"/>
    <mergeCell ref="K281:P281"/>
    <mergeCell ref="K282:P282"/>
    <mergeCell ref="K273:P273"/>
    <mergeCell ref="K274:P274"/>
    <mergeCell ref="K275:P275"/>
    <mergeCell ref="K276:P276"/>
    <mergeCell ref="K277:P277"/>
    <mergeCell ref="K268:P268"/>
    <mergeCell ref="K269:P269"/>
    <mergeCell ref="K270:P270"/>
    <mergeCell ref="K271:P271"/>
    <mergeCell ref="K272:P272"/>
    <mergeCell ref="K263:P263"/>
    <mergeCell ref="K264:P264"/>
    <mergeCell ref="K265:P265"/>
    <mergeCell ref="K266:P266"/>
    <mergeCell ref="K267:P267"/>
    <mergeCell ref="K258:P258"/>
    <mergeCell ref="K259:P259"/>
    <mergeCell ref="K260:P260"/>
    <mergeCell ref="K261:P261"/>
    <mergeCell ref="K262:P262"/>
    <mergeCell ref="K253:P253"/>
    <mergeCell ref="K254:P254"/>
    <mergeCell ref="K255:P255"/>
    <mergeCell ref="K256:P256"/>
    <mergeCell ref="K257:P257"/>
    <mergeCell ref="K248:P248"/>
    <mergeCell ref="K249:P249"/>
    <mergeCell ref="K250:P250"/>
    <mergeCell ref="K251:P251"/>
    <mergeCell ref="K252:P252"/>
    <mergeCell ref="K243:P243"/>
    <mergeCell ref="K244:P244"/>
    <mergeCell ref="K245:P245"/>
    <mergeCell ref="K246:P246"/>
    <mergeCell ref="K247:P247"/>
    <mergeCell ref="K238:P238"/>
    <mergeCell ref="K239:P239"/>
    <mergeCell ref="K240:P240"/>
    <mergeCell ref="K241:P241"/>
    <mergeCell ref="K242:P242"/>
    <mergeCell ref="K233:P233"/>
    <mergeCell ref="K234:P234"/>
    <mergeCell ref="K235:P235"/>
    <mergeCell ref="K236:P236"/>
    <mergeCell ref="K237:P237"/>
    <mergeCell ref="K228:P228"/>
    <mergeCell ref="K229:P229"/>
    <mergeCell ref="K230:P230"/>
    <mergeCell ref="K231:P231"/>
    <mergeCell ref="K232:P232"/>
    <mergeCell ref="K223:P223"/>
    <mergeCell ref="K224:P224"/>
    <mergeCell ref="K225:P225"/>
    <mergeCell ref="K226:P226"/>
    <mergeCell ref="K227:P227"/>
    <mergeCell ref="K218:P218"/>
    <mergeCell ref="K219:P219"/>
    <mergeCell ref="K220:P220"/>
    <mergeCell ref="K221:P221"/>
    <mergeCell ref="K222:P222"/>
    <mergeCell ref="K213:P213"/>
    <mergeCell ref="K214:P214"/>
    <mergeCell ref="K215:P215"/>
    <mergeCell ref="K216:P216"/>
    <mergeCell ref="K217:P217"/>
    <mergeCell ref="K208:P208"/>
    <mergeCell ref="K209:P209"/>
    <mergeCell ref="K210:P210"/>
    <mergeCell ref="K211:P211"/>
    <mergeCell ref="K212:P212"/>
    <mergeCell ref="K204:P204"/>
    <mergeCell ref="K205:P205"/>
    <mergeCell ref="K206:P206"/>
    <mergeCell ref="K207:P207"/>
    <mergeCell ref="K198:P198"/>
    <mergeCell ref="K199:P199"/>
    <mergeCell ref="K200:P200"/>
    <mergeCell ref="K201:P201"/>
    <mergeCell ref="K202:P202"/>
    <mergeCell ref="K195:P195"/>
    <mergeCell ref="K196:P196"/>
    <mergeCell ref="K197:P197"/>
    <mergeCell ref="K188:P188"/>
    <mergeCell ref="K189:P189"/>
    <mergeCell ref="K190:P190"/>
    <mergeCell ref="K191:P191"/>
    <mergeCell ref="K192:P192"/>
    <mergeCell ref="K203:P203"/>
    <mergeCell ref="K185:P185"/>
    <mergeCell ref="K186:P186"/>
    <mergeCell ref="K187:P187"/>
    <mergeCell ref="K179:P179"/>
    <mergeCell ref="K180:P180"/>
    <mergeCell ref="K181:P181"/>
    <mergeCell ref="K182:P182"/>
    <mergeCell ref="K193:P193"/>
    <mergeCell ref="K194:P194"/>
    <mergeCell ref="K175:P175"/>
    <mergeCell ref="K176:P176"/>
    <mergeCell ref="K177:P177"/>
    <mergeCell ref="K178:P178"/>
    <mergeCell ref="K172:P172"/>
    <mergeCell ref="K173:P173"/>
    <mergeCell ref="K174:P174"/>
    <mergeCell ref="K183:P183"/>
    <mergeCell ref="K184:P184"/>
    <mergeCell ref="K163:P163"/>
    <mergeCell ref="K164:P164"/>
    <mergeCell ref="K165:P165"/>
    <mergeCell ref="K166:P166"/>
    <mergeCell ref="K162:P162"/>
    <mergeCell ref="K169:P169"/>
    <mergeCell ref="K170:P170"/>
    <mergeCell ref="K171:P171"/>
    <mergeCell ref="K167:P167"/>
    <mergeCell ref="K168:P168"/>
    <mergeCell ref="K157:P157"/>
    <mergeCell ref="K158:P158"/>
    <mergeCell ref="K159:P159"/>
    <mergeCell ref="K160:P160"/>
    <mergeCell ref="K161:P161"/>
    <mergeCell ref="K150:P150"/>
    <mergeCell ref="K151:P151"/>
    <mergeCell ref="K152:P152"/>
    <mergeCell ref="K153:P153"/>
    <mergeCell ref="K156:P156"/>
    <mergeCell ref="K145:P145"/>
    <mergeCell ref="K146:P146"/>
    <mergeCell ref="K147:P147"/>
    <mergeCell ref="K148:P148"/>
    <mergeCell ref="K149:P149"/>
    <mergeCell ref="K140:P140"/>
    <mergeCell ref="K141:P141"/>
    <mergeCell ref="K142:P142"/>
    <mergeCell ref="K143:P143"/>
    <mergeCell ref="K144:P144"/>
    <mergeCell ref="K135:P135"/>
    <mergeCell ref="K136:P136"/>
    <mergeCell ref="K137:P137"/>
    <mergeCell ref="K138:P138"/>
    <mergeCell ref="K139:P139"/>
    <mergeCell ref="K130:P130"/>
    <mergeCell ref="K131:P131"/>
    <mergeCell ref="K132:P132"/>
    <mergeCell ref="K133:P133"/>
    <mergeCell ref="K134:P134"/>
    <mergeCell ref="K125:P125"/>
    <mergeCell ref="K126:P126"/>
    <mergeCell ref="K127:P127"/>
    <mergeCell ref="K128:P128"/>
    <mergeCell ref="K129:P129"/>
    <mergeCell ref="K120:P120"/>
    <mergeCell ref="K121:P121"/>
    <mergeCell ref="K122:P122"/>
    <mergeCell ref="K123:P123"/>
    <mergeCell ref="K124:P124"/>
    <mergeCell ref="K115:P115"/>
    <mergeCell ref="K116:P116"/>
    <mergeCell ref="K117:P117"/>
    <mergeCell ref="K118:P118"/>
    <mergeCell ref="K119:P119"/>
    <mergeCell ref="K110:P110"/>
    <mergeCell ref="K111:P111"/>
    <mergeCell ref="K112:P112"/>
    <mergeCell ref="K113:P113"/>
    <mergeCell ref="K114:P114"/>
    <mergeCell ref="K105:P105"/>
    <mergeCell ref="K106:P106"/>
    <mergeCell ref="K107:P107"/>
    <mergeCell ref="K108:P108"/>
    <mergeCell ref="K109:P109"/>
    <mergeCell ref="K100:P100"/>
    <mergeCell ref="K101:P101"/>
    <mergeCell ref="K102:P102"/>
    <mergeCell ref="K103:P103"/>
    <mergeCell ref="K104:P104"/>
    <mergeCell ref="K95:P95"/>
    <mergeCell ref="K96:P96"/>
    <mergeCell ref="K97:P97"/>
    <mergeCell ref="K98:P98"/>
    <mergeCell ref="K99:P99"/>
    <mergeCell ref="K90:P90"/>
    <mergeCell ref="K91:P91"/>
    <mergeCell ref="K92:P92"/>
    <mergeCell ref="K93:P93"/>
    <mergeCell ref="K94:P94"/>
    <mergeCell ref="K85:P85"/>
    <mergeCell ref="K86:P86"/>
    <mergeCell ref="K87:P87"/>
    <mergeCell ref="K88:P88"/>
    <mergeCell ref="K89:P89"/>
    <mergeCell ref="K80:P80"/>
    <mergeCell ref="K81:P81"/>
    <mergeCell ref="K82:P82"/>
    <mergeCell ref="K83:P83"/>
    <mergeCell ref="K84:P84"/>
    <mergeCell ref="K75:P75"/>
    <mergeCell ref="K76:P76"/>
    <mergeCell ref="K77:P77"/>
    <mergeCell ref="K78:P78"/>
    <mergeCell ref="K79:P79"/>
    <mergeCell ref="K70:P70"/>
    <mergeCell ref="K71:P71"/>
    <mergeCell ref="K72:P72"/>
    <mergeCell ref="K73:P73"/>
    <mergeCell ref="K74:P74"/>
    <mergeCell ref="K65:P65"/>
    <mergeCell ref="K66:P66"/>
    <mergeCell ref="K67:P67"/>
    <mergeCell ref="K68:P68"/>
    <mergeCell ref="K69:P69"/>
    <mergeCell ref="K60:P60"/>
    <mergeCell ref="K61:P61"/>
    <mergeCell ref="K62:P62"/>
    <mergeCell ref="K63:P63"/>
    <mergeCell ref="K64:P64"/>
    <mergeCell ref="K55:P55"/>
    <mergeCell ref="K56:P56"/>
    <mergeCell ref="K57:P57"/>
    <mergeCell ref="K58:P58"/>
    <mergeCell ref="K59:P59"/>
    <mergeCell ref="K50:P50"/>
    <mergeCell ref="K51:P51"/>
    <mergeCell ref="K52:P52"/>
    <mergeCell ref="K53:P53"/>
    <mergeCell ref="K54:P54"/>
    <mergeCell ref="K45:P45"/>
    <mergeCell ref="K46:P46"/>
    <mergeCell ref="K47:P47"/>
    <mergeCell ref="K48:P48"/>
    <mergeCell ref="K49:P49"/>
    <mergeCell ref="K40:P40"/>
    <mergeCell ref="K41:P41"/>
    <mergeCell ref="K42:P42"/>
    <mergeCell ref="K43:P43"/>
    <mergeCell ref="K44:P44"/>
    <mergeCell ref="K35:P35"/>
    <mergeCell ref="K36:P36"/>
    <mergeCell ref="K37:P37"/>
    <mergeCell ref="K38:P38"/>
    <mergeCell ref="K39:P39"/>
    <mergeCell ref="K30:P30"/>
    <mergeCell ref="K31:P31"/>
    <mergeCell ref="K32:P32"/>
    <mergeCell ref="K33:P33"/>
    <mergeCell ref="K34:P34"/>
    <mergeCell ref="K25:P25"/>
    <mergeCell ref="K26:P26"/>
    <mergeCell ref="K27:P27"/>
    <mergeCell ref="K28:P28"/>
    <mergeCell ref="K29:P29"/>
    <mergeCell ref="K20:P20"/>
    <mergeCell ref="K21:P21"/>
    <mergeCell ref="K22:P22"/>
    <mergeCell ref="K23:P23"/>
    <mergeCell ref="K24:P24"/>
    <mergeCell ref="K15:P15"/>
    <mergeCell ref="K16:P16"/>
    <mergeCell ref="K17:P17"/>
    <mergeCell ref="K18:P18"/>
    <mergeCell ref="K19:P19"/>
    <mergeCell ref="D1:I1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I163:I165"/>
    <mergeCell ref="A127:A136"/>
    <mergeCell ref="A137:A144"/>
    <mergeCell ref="A23:A32"/>
    <mergeCell ref="A33:A40"/>
    <mergeCell ref="A45:A54"/>
    <mergeCell ref="A55:A62"/>
    <mergeCell ref="A104:A113"/>
    <mergeCell ref="A114:A12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BF46-04A2-4681-AC1B-E40BF36B30DC}">
  <dimension ref="A1:N29"/>
  <sheetViews>
    <sheetView topLeftCell="A4" zoomScale="80" zoomScaleNormal="80" workbookViewId="0">
      <selection activeCell="J21" sqref="J21"/>
    </sheetView>
  </sheetViews>
  <sheetFormatPr defaultRowHeight="13"/>
  <cols>
    <col min="1" max="1" width="22.25" style="476" bestFit="1" customWidth="1"/>
    <col min="2" max="2" width="9.33203125" style="476" bestFit="1" customWidth="1"/>
    <col min="3" max="3" width="17.5" style="476" bestFit="1" customWidth="1"/>
    <col min="4" max="4" width="11.33203125" style="476" bestFit="1" customWidth="1"/>
    <col min="5" max="5" width="9.25" style="476" bestFit="1" customWidth="1"/>
    <col min="6" max="6" width="8.6640625" style="476"/>
    <col min="7" max="7" width="26.83203125" style="476" customWidth="1"/>
    <col min="8" max="8" width="16.4140625" style="476" customWidth="1"/>
    <col min="9" max="9" width="16.33203125" style="476" customWidth="1"/>
    <col min="10" max="10" width="15.58203125" style="476" customWidth="1"/>
    <col min="11" max="11" width="13.6640625" style="476" bestFit="1" customWidth="1"/>
    <col min="12" max="12" width="14.33203125" style="476" bestFit="1" customWidth="1"/>
    <col min="13" max="13" width="8.6640625" style="476"/>
    <col min="14" max="14" width="13.4140625" style="476" bestFit="1" customWidth="1"/>
    <col min="15" max="16384" width="8.6640625" style="476"/>
  </cols>
  <sheetData>
    <row r="1" spans="1:14" ht="24">
      <c r="G1" s="696" t="s">
        <v>455</v>
      </c>
      <c r="H1" s="697" t="s">
        <v>416</v>
      </c>
      <c r="I1" s="698" t="s">
        <v>456</v>
      </c>
      <c r="J1" s="717" t="s">
        <v>506</v>
      </c>
      <c r="K1" s="698" t="s">
        <v>419</v>
      </c>
    </row>
    <row r="2" spans="1:14">
      <c r="C2" s="479"/>
      <c r="D2" s="479"/>
      <c r="E2" s="479"/>
      <c r="G2" s="699" t="s">
        <v>375</v>
      </c>
      <c r="H2" s="700"/>
      <c r="I2" s="701"/>
      <c r="J2" s="701"/>
      <c r="K2" s="701"/>
    </row>
    <row r="3" spans="1:14">
      <c r="A3" s="755" t="s">
        <v>451</v>
      </c>
      <c r="B3" s="755"/>
      <c r="C3" s="755"/>
      <c r="D3" s="755"/>
      <c r="E3" s="755"/>
      <c r="G3" s="702" t="s">
        <v>310</v>
      </c>
      <c r="H3" s="703">
        <v>791</v>
      </c>
      <c r="I3" s="704">
        <v>751086000</v>
      </c>
      <c r="J3" s="704" t="s">
        <v>523</v>
      </c>
      <c r="K3" s="704">
        <v>3645</v>
      </c>
    </row>
    <row r="4" spans="1:14" ht="33" customHeight="1">
      <c r="A4" s="527" t="s">
        <v>377</v>
      </c>
      <c r="B4" s="527" t="s">
        <v>415</v>
      </c>
      <c r="C4" s="527" t="s">
        <v>378</v>
      </c>
      <c r="D4" s="527" t="s">
        <v>415</v>
      </c>
      <c r="E4" s="527" t="s">
        <v>387</v>
      </c>
      <c r="G4" s="702" t="s">
        <v>184</v>
      </c>
      <c r="H4" s="703">
        <v>639</v>
      </c>
      <c r="I4" s="704">
        <v>1583716000</v>
      </c>
      <c r="J4" s="704" t="s">
        <v>523</v>
      </c>
      <c r="K4" s="704">
        <v>981</v>
      </c>
    </row>
    <row r="5" spans="1:14">
      <c r="A5" s="528" t="s">
        <v>439</v>
      </c>
      <c r="B5" s="529">
        <f>-'[1]By Product'!G184</f>
        <v>141081.62060223185</v>
      </c>
      <c r="C5" s="530">
        <f>B5/B8</f>
        <v>0.10236917974424822</v>
      </c>
      <c r="D5" s="531">
        <f>-'[1]By Product'!D184</f>
        <v>105600.85891341872</v>
      </c>
      <c r="E5" s="530">
        <f>D5/D8</f>
        <v>0.11318638399606715</v>
      </c>
      <c r="G5" s="702" t="s">
        <v>193</v>
      </c>
      <c r="H5" s="703">
        <v>96</v>
      </c>
      <c r="I5" s="704">
        <v>730775000</v>
      </c>
      <c r="J5" s="704" t="s">
        <v>523</v>
      </c>
      <c r="K5" s="704">
        <v>2293</v>
      </c>
    </row>
    <row r="6" spans="1:14">
      <c r="A6" s="528" t="s">
        <v>440</v>
      </c>
      <c r="B6" s="531">
        <f>C6*B8</f>
        <v>276370.79961931589</v>
      </c>
      <c r="C6" s="530">
        <f>H23</f>
        <v>0.20053534926464964</v>
      </c>
      <c r="D6" s="531">
        <f>D8*E6</f>
        <v>249461.16163684177</v>
      </c>
      <c r="E6" s="530">
        <f>H22</f>
        <v>0.2673804656861995</v>
      </c>
      <c r="G6" s="705" t="s">
        <v>417</v>
      </c>
      <c r="H6" s="706">
        <f>SUM(H3:H5)</f>
        <v>1526</v>
      </c>
      <c r="I6" s="706">
        <f>SUM(I3:I5)</f>
        <v>3065577000</v>
      </c>
      <c r="J6" s="706">
        <v>5443565000</v>
      </c>
      <c r="K6" s="719">
        <f t="shared" ref="K6" si="0">SUM(K3:K5)</f>
        <v>6919</v>
      </c>
      <c r="L6" s="509"/>
      <c r="M6" s="707"/>
      <c r="N6" s="476" t="s">
        <v>507</v>
      </c>
    </row>
    <row r="7" spans="1:14">
      <c r="A7" s="532" t="s">
        <v>186</v>
      </c>
      <c r="B7" s="533">
        <f>SUM(B5:B6)</f>
        <v>417452.42022154771</v>
      </c>
      <c r="C7" s="534">
        <f>SUM(C5:C6)</f>
        <v>0.30290452900889786</v>
      </c>
      <c r="D7" s="535">
        <f>SUM(D5:D6)</f>
        <v>355062.02055026049</v>
      </c>
      <c r="E7" s="534">
        <f>SUM(E5:E6)</f>
        <v>0.38056684968226662</v>
      </c>
      <c r="G7" s="699" t="s">
        <v>376</v>
      </c>
      <c r="H7" s="708"/>
      <c r="I7" s="709"/>
      <c r="J7" s="709"/>
      <c r="K7" s="720"/>
    </row>
    <row r="8" spans="1:14">
      <c r="A8" s="528" t="s">
        <v>441</v>
      </c>
      <c r="B8" s="529">
        <f>[1]Model_Summary!I516</f>
        <v>1378165</v>
      </c>
      <c r="C8" s="528"/>
      <c r="D8" s="529">
        <f>[1]Model_Summary!F516</f>
        <v>932982</v>
      </c>
      <c r="E8" s="528"/>
      <c r="G8" s="702" t="s">
        <v>310</v>
      </c>
      <c r="H8" s="703">
        <v>2147</v>
      </c>
      <c r="I8" s="704">
        <v>684217000</v>
      </c>
      <c r="J8" s="704" t="s">
        <v>523</v>
      </c>
      <c r="K8" s="704">
        <v>11056</v>
      </c>
    </row>
    <row r="9" spans="1:14">
      <c r="G9" s="702" t="s">
        <v>184</v>
      </c>
      <c r="H9" s="703">
        <v>3154</v>
      </c>
      <c r="I9" s="704">
        <v>705974000</v>
      </c>
      <c r="J9" s="704" t="s">
        <v>523</v>
      </c>
      <c r="K9" s="704">
        <v>7785</v>
      </c>
    </row>
    <row r="10" spans="1:14">
      <c r="G10" s="702" t="s">
        <v>193</v>
      </c>
      <c r="H10" s="703">
        <v>1889</v>
      </c>
      <c r="I10" s="704">
        <v>104550000</v>
      </c>
      <c r="J10" s="704" t="s">
        <v>523</v>
      </c>
      <c r="K10" s="704">
        <v>6316</v>
      </c>
    </row>
    <row r="11" spans="1:14">
      <c r="G11" s="705" t="s">
        <v>418</v>
      </c>
      <c r="H11" s="706">
        <f t="shared" ref="H11:I11" si="1">SUM(H8:H10)</f>
        <v>7190</v>
      </c>
      <c r="I11" s="706">
        <f t="shared" si="1"/>
        <v>1494741000</v>
      </c>
      <c r="J11" s="706">
        <v>12417032000</v>
      </c>
      <c r="K11" s="719">
        <f t="shared" ref="K11" si="2">SUM(K8:K10)</f>
        <v>25157</v>
      </c>
      <c r="L11" s="509"/>
    </row>
    <row r="12" spans="1:14">
      <c r="G12" s="710" t="s">
        <v>459</v>
      </c>
      <c r="H12" s="711">
        <f t="shared" ref="H12:I12" si="3">H11+H6</f>
        <v>8716</v>
      </c>
      <c r="I12" s="712">
        <f t="shared" si="3"/>
        <v>4560318000</v>
      </c>
      <c r="J12" s="712">
        <f>J6+J11</f>
        <v>17860597000</v>
      </c>
      <c r="K12" s="734">
        <f>K6+K11</f>
        <v>32076</v>
      </c>
    </row>
    <row r="13" spans="1:14">
      <c r="G13" s="702" t="s">
        <v>457</v>
      </c>
      <c r="H13" s="703"/>
      <c r="I13" s="704">
        <v>3180606000</v>
      </c>
      <c r="J13" s="704">
        <v>224542000</v>
      </c>
      <c r="K13" s="718" t="s">
        <v>524</v>
      </c>
      <c r="L13" s="509"/>
    </row>
    <row r="14" spans="1:14">
      <c r="G14" s="702" t="s">
        <v>458</v>
      </c>
      <c r="H14" s="703"/>
      <c r="I14" s="704">
        <v>39371000</v>
      </c>
      <c r="J14" s="704"/>
      <c r="K14" s="718"/>
      <c r="L14" s="509"/>
    </row>
    <row r="15" spans="1:14">
      <c r="G15" s="710" t="s">
        <v>460</v>
      </c>
      <c r="H15" s="713">
        <f>SUM(H12:H14)</f>
        <v>8716</v>
      </c>
      <c r="I15" s="713">
        <f>SUM(I12:I14)</f>
        <v>7780295000</v>
      </c>
      <c r="J15" s="713">
        <v>20000000000</v>
      </c>
      <c r="K15" s="713">
        <f>SUM(K12:K14)</f>
        <v>32076</v>
      </c>
      <c r="L15" s="509"/>
    </row>
    <row r="16" spans="1:14" ht="14.5">
      <c r="G16" s="511" t="s">
        <v>442</v>
      </c>
      <c r="H16" s="512">
        <f>(H15+K15)/2</f>
        <v>20396</v>
      </c>
      <c r="I16"/>
      <c r="J16"/>
      <c r="K16"/>
    </row>
    <row r="17" spans="1:12" ht="14.5">
      <c r="C17" s="730" t="s">
        <v>515</v>
      </c>
      <c r="D17" s="731">
        <f>H17+C25</f>
        <v>3716594107</v>
      </c>
      <c r="G17" s="721" t="s">
        <v>447</v>
      </c>
      <c r="H17" s="722">
        <f>[1]Assumption_Sheet!B192</f>
        <v>3713954107</v>
      </c>
    </row>
    <row r="18" spans="1:12" ht="14.5" hidden="1">
      <c r="G18" s="723" t="s">
        <v>444</v>
      </c>
      <c r="H18" s="724">
        <f>H17/H16</f>
        <v>182092.27824083154</v>
      </c>
      <c r="L18" s="714"/>
    </row>
    <row r="19" spans="1:12" ht="14.5">
      <c r="G19" s="511" t="s">
        <v>443</v>
      </c>
      <c r="H19" s="725">
        <f>(I15+J15)/2</f>
        <v>13890147500</v>
      </c>
      <c r="I19" s="636"/>
      <c r="K19" s="536"/>
      <c r="L19" s="536"/>
    </row>
    <row r="20" spans="1:12">
      <c r="G20" s="549" t="s">
        <v>445</v>
      </c>
      <c r="H20" s="550">
        <f>H17/H19</f>
        <v>0.2673804656861995</v>
      </c>
      <c r="K20" s="538"/>
      <c r="L20" s="536"/>
    </row>
    <row r="21" spans="1:12">
      <c r="G21" s="560"/>
      <c r="H21" s="559"/>
    </row>
    <row r="22" spans="1:12">
      <c r="A22" s="477" t="s">
        <v>508</v>
      </c>
      <c r="B22" s="478" t="s">
        <v>509</v>
      </c>
      <c r="C22" s="478" t="s">
        <v>510</v>
      </c>
      <c r="G22" s="560" t="s">
        <v>462</v>
      </c>
      <c r="H22" s="559">
        <f>H20</f>
        <v>0.2673804656861995</v>
      </c>
      <c r="L22" s="715"/>
    </row>
    <row r="23" spans="1:12">
      <c r="A23" s="478" t="s">
        <v>511</v>
      </c>
      <c r="B23" s="510">
        <v>120000</v>
      </c>
      <c r="C23" s="727">
        <f>B23*12</f>
        <v>1440000</v>
      </c>
      <c r="G23" s="560" t="s">
        <v>463</v>
      </c>
      <c r="H23" s="561">
        <f>(H20*9)/12</f>
        <v>0.20053534926464964</v>
      </c>
      <c r="L23" s="716"/>
    </row>
    <row r="24" spans="1:12">
      <c r="A24" s="478" t="s">
        <v>512</v>
      </c>
      <c r="B24" s="510">
        <v>100000</v>
      </c>
      <c r="C24" s="510">
        <f>B24*12</f>
        <v>1200000</v>
      </c>
    </row>
    <row r="25" spans="1:12">
      <c r="A25" s="478"/>
      <c r="B25" s="478"/>
      <c r="C25" s="728">
        <f>SUM(C23:C24)</f>
        <v>2640000</v>
      </c>
      <c r="G25" s="477"/>
      <c r="H25" s="477" t="s">
        <v>375</v>
      </c>
      <c r="I25" s="477" t="s">
        <v>376</v>
      </c>
    </row>
    <row r="26" spans="1:12" ht="14.5">
      <c r="A26" s="563" t="s">
        <v>513</v>
      </c>
      <c r="B26" s="563"/>
      <c r="C26" s="729">
        <f>C25*H22/D17</f>
        <v>1.8992776964319894E-4</v>
      </c>
      <c r="G26" s="478" t="s">
        <v>448</v>
      </c>
      <c r="H26" s="510">
        <v>887956</v>
      </c>
      <c r="I26" s="510">
        <v>821015</v>
      </c>
    </row>
    <row r="27" spans="1:12">
      <c r="C27" s="726"/>
      <c r="G27" s="478" t="s">
        <v>449</v>
      </c>
      <c r="H27" s="510">
        <v>1378165</v>
      </c>
      <c r="I27" s="510">
        <v>932982</v>
      </c>
      <c r="J27" s="542" t="s">
        <v>450</v>
      </c>
    </row>
    <row r="28" spans="1:12">
      <c r="H28" s="539"/>
      <c r="I28" s="539"/>
    </row>
    <row r="29" spans="1:12">
      <c r="G29" s="540" t="s">
        <v>446</v>
      </c>
      <c r="H29" s="541">
        <v>1378165</v>
      </c>
      <c r="I29" s="541">
        <v>932982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58EC-C803-4F53-B28D-390204D48512}">
  <dimension ref="A1:N353"/>
  <sheetViews>
    <sheetView showGridLines="0" zoomScale="58" zoomScaleNormal="58" workbookViewId="0">
      <pane xSplit="3" ySplit="14" topLeftCell="D177" activePane="bottomRight" state="frozen"/>
      <selection pane="topRight" activeCell="C171" sqref="C171:C175"/>
      <selection pane="bottomLeft" activeCell="C171" sqref="C171:C175"/>
      <selection pane="bottomRight" activeCell="E205" sqref="E205"/>
    </sheetView>
  </sheetViews>
  <sheetFormatPr defaultColWidth="8.58203125" defaultRowHeight="14.5" outlineLevelRow="1"/>
  <cols>
    <col min="1" max="1" width="7.83203125" style="60" customWidth="1"/>
    <col min="2" max="2" width="30.58203125" style="60" customWidth="1"/>
    <col min="3" max="3" width="13.33203125" style="60" bestFit="1" customWidth="1"/>
    <col min="4" max="4" width="11.75" style="60" bestFit="1" customWidth="1"/>
    <col min="5" max="5" width="13.33203125" style="60" customWidth="1"/>
    <col min="6" max="6" width="14.08203125" style="60" hidden="1" customWidth="1"/>
    <col min="7" max="7" width="13" style="60" hidden="1" customWidth="1"/>
    <col min="8" max="8" width="11.1640625" style="60" hidden="1" customWidth="1"/>
    <col min="9" max="9" width="10" style="60" hidden="1" customWidth="1"/>
    <col min="10" max="16384" width="8.58203125" style="60"/>
  </cols>
  <sheetData>
    <row r="1" spans="2:11" s="62" customFormat="1" ht="18.5">
      <c r="B1" s="15" t="s">
        <v>0</v>
      </c>
      <c r="C1" s="15"/>
      <c r="D1" s="47"/>
      <c r="E1" s="47"/>
      <c r="F1" s="34" t="s">
        <v>114</v>
      </c>
      <c r="G1" s="47"/>
      <c r="H1" s="47"/>
      <c r="I1" s="273"/>
    </row>
    <row r="2" spans="2:11" s="64" customFormat="1">
      <c r="B2" s="24" t="s">
        <v>1</v>
      </c>
      <c r="C2" s="63"/>
      <c r="D2" s="590" t="s">
        <v>528</v>
      </c>
      <c r="E2" s="590" t="s">
        <v>516</v>
      </c>
      <c r="F2" s="48" t="s">
        <v>117</v>
      </c>
      <c r="G2" s="48" t="s">
        <v>118</v>
      </c>
      <c r="H2" s="48" t="s">
        <v>119</v>
      </c>
      <c r="I2" s="48" t="s">
        <v>120</v>
      </c>
    </row>
    <row r="3" spans="2:11" s="64" customFormat="1">
      <c r="B3" s="24"/>
      <c r="C3" s="63"/>
      <c r="D3" s="48"/>
      <c r="E3" s="48"/>
      <c r="F3" s="48"/>
      <c r="G3" s="48"/>
      <c r="H3" s="48"/>
      <c r="I3" s="48"/>
    </row>
    <row r="4" spans="2:11" ht="6.75" customHeight="1">
      <c r="B4" s="260"/>
      <c r="C4" s="260"/>
      <c r="D4" s="260"/>
      <c r="E4" s="260"/>
      <c r="F4" s="260"/>
      <c r="G4" s="260"/>
      <c r="H4" s="260"/>
      <c r="I4" s="260"/>
    </row>
    <row r="5" spans="2:11">
      <c r="B5" s="260" t="s">
        <v>8</v>
      </c>
      <c r="C5" s="4"/>
      <c r="D5" s="17">
        <f>Model_Summary!F$85</f>
        <v>0.29999999999999971</v>
      </c>
      <c r="E5" s="17">
        <f>Model_Summary!G$85</f>
        <v>0.29999999999999971</v>
      </c>
      <c r="F5" s="17">
        <f>Model_Summary!H$85</f>
        <v>8.8123555729852698E-2</v>
      </c>
      <c r="G5" s="17">
        <f>Model_Summary!I$85</f>
        <v>8.5259380039840502E-2</v>
      </c>
      <c r="H5" s="17">
        <f>Model_Summary!J$85</f>
        <v>6.6153226409019689E-2</v>
      </c>
      <c r="I5" s="17">
        <f>Model_Summary!K$85</f>
        <v>6.3131644929473762E-2</v>
      </c>
      <c r="K5" s="473"/>
    </row>
    <row r="6" spans="2:11" ht="15" customHeight="1">
      <c r="B6" s="260" t="s">
        <v>9</v>
      </c>
      <c r="C6" s="4"/>
      <c r="D6" s="17">
        <f>Model_Summary!F86</f>
        <v>0.3</v>
      </c>
      <c r="E6" s="17">
        <f>Model_Summary!G86</f>
        <v>0.3</v>
      </c>
      <c r="F6" s="17">
        <f>Model_Summary!H86</f>
        <v>5.5E-2</v>
      </c>
      <c r="G6" s="17">
        <f>Model_Summary!I86</f>
        <v>5.2999999999999999E-2</v>
      </c>
      <c r="H6" s="17">
        <f>Model_Summary!J86</f>
        <v>0.04</v>
      </c>
      <c r="I6" s="17">
        <f>Model_Summary!K86</f>
        <v>3.7999999999999999E-2</v>
      </c>
      <c r="K6" s="473"/>
    </row>
    <row r="7" spans="2:11" ht="15" customHeight="1">
      <c r="B7" s="260" t="s">
        <v>10</v>
      </c>
      <c r="C7" s="4"/>
      <c r="D7" s="18">
        <f>Model_Summary!F$89</f>
        <v>1</v>
      </c>
      <c r="E7" s="18">
        <f>Model_Summary!G$89</f>
        <v>1</v>
      </c>
      <c r="F7" s="18">
        <f>Model_Summary!H$89</f>
        <v>12</v>
      </c>
      <c r="G7" s="18">
        <f>Model_Summary!I$89</f>
        <v>12</v>
      </c>
      <c r="H7" s="18">
        <f>Model_Summary!J89</f>
        <v>12</v>
      </c>
      <c r="I7" s="18">
        <f>Model_Summary!K$89</f>
        <v>12</v>
      </c>
    </row>
    <row r="8" spans="2:11" ht="15" customHeight="1">
      <c r="B8" s="260" t="s">
        <v>11</v>
      </c>
      <c r="C8" s="4"/>
      <c r="D8" s="17">
        <f>Model_Summary!F$90</f>
        <v>0.13500000000000001</v>
      </c>
      <c r="E8" s="17">
        <f>Model_Summary!G$90</f>
        <v>0.13500000000000001</v>
      </c>
      <c r="F8" s="17">
        <f>Model_Summary!H$90</f>
        <v>0.13500000000000001</v>
      </c>
      <c r="G8" s="17">
        <f>Model_Summary!I$90</f>
        <v>0.13500000000000001</v>
      </c>
      <c r="H8" s="17">
        <f>Model_Summary!J$90</f>
        <v>0.13500000000000001</v>
      </c>
      <c r="I8" s="17">
        <f>Model_Summary!K$90</f>
        <v>0.13500000000000001</v>
      </c>
    </row>
    <row r="9" spans="2:11">
      <c r="B9" s="274" t="s">
        <v>12</v>
      </c>
      <c r="C9" s="274"/>
      <c r="D9" s="27">
        <f>Model_Summary!F$91</f>
        <v>0.15210000000000001</v>
      </c>
      <c r="E9" s="27">
        <f>Model_Summary!G$91</f>
        <v>0.15210000000000001</v>
      </c>
      <c r="F9" s="27">
        <f>Model_Summary!H$91</f>
        <v>6.0450000000000004E-2</v>
      </c>
      <c r="G9" s="27">
        <f>Model_Summary!I$91</f>
        <v>5.5899999999999998E-2</v>
      </c>
      <c r="H9" s="27">
        <f>Model_Summary!J$91</f>
        <v>3.5750000000000004E-2</v>
      </c>
      <c r="I9" s="27">
        <f>Model_Summary!K$91</f>
        <v>3.2500000000000001E-2</v>
      </c>
    </row>
    <row r="10" spans="2:11" ht="3" customHeight="1">
      <c r="B10" s="260"/>
      <c r="C10" s="260"/>
      <c r="D10" s="2"/>
      <c r="E10" s="2"/>
      <c r="F10" s="2"/>
      <c r="G10" s="2"/>
      <c r="H10" s="2"/>
      <c r="I10" s="2"/>
    </row>
    <row r="11" spans="2:11">
      <c r="B11" s="260" t="s">
        <v>13</v>
      </c>
      <c r="C11" s="260"/>
      <c r="D11" s="18">
        <f>Model_Summary!F$82</f>
        <v>1</v>
      </c>
      <c r="E11" s="18">
        <f>Model_Summary!G$82</f>
        <v>1</v>
      </c>
      <c r="F11" s="18">
        <f>Model_Summary!H$82</f>
        <v>1</v>
      </c>
      <c r="G11" s="18">
        <f>Model_Summary!I$82</f>
        <v>1</v>
      </c>
      <c r="H11" s="18">
        <f>Model_Summary!J$82</f>
        <v>1</v>
      </c>
      <c r="I11" s="18">
        <f>Model_Summary!K$82</f>
        <v>1</v>
      </c>
    </row>
    <row r="12" spans="2:11">
      <c r="B12" s="260" t="s">
        <v>14</v>
      </c>
      <c r="C12" s="276"/>
      <c r="D12" s="18">
        <f>Model_Summary!F$81</f>
        <v>6000</v>
      </c>
      <c r="E12" s="18">
        <f>Model_Summary!G$81</f>
        <v>20000</v>
      </c>
      <c r="F12" s="18">
        <f>Model_Summary!H$81</f>
        <v>273000</v>
      </c>
      <c r="G12" s="18">
        <f>Model_Summary!I$81</f>
        <v>463269.23958276917</v>
      </c>
      <c r="H12" s="18">
        <f>Model_Summary!J$81</f>
        <v>1500000</v>
      </c>
      <c r="I12" s="18">
        <f>Model_Summary!K$81</f>
        <v>3000000</v>
      </c>
      <c r="K12" s="474"/>
    </row>
    <row r="13" spans="2:11" ht="3" customHeight="1">
      <c r="B13" s="260"/>
      <c r="C13" s="276"/>
      <c r="D13" s="276"/>
      <c r="E13" s="276"/>
      <c r="F13" s="276"/>
      <c r="G13" s="276"/>
      <c r="H13" s="276"/>
      <c r="I13" s="276"/>
    </row>
    <row r="14" spans="2:11" ht="15" thickBot="1">
      <c r="B14" s="2" t="s">
        <v>15</v>
      </c>
      <c r="C14" s="260"/>
      <c r="D14" s="19">
        <f t="shared" ref="D14:I14" si="0">D11*D12</f>
        <v>6000</v>
      </c>
      <c r="E14" s="19">
        <f t="shared" si="0"/>
        <v>20000</v>
      </c>
      <c r="F14" s="19">
        <f t="shared" si="0"/>
        <v>273000</v>
      </c>
      <c r="G14" s="19">
        <f t="shared" si="0"/>
        <v>463269.23958276917</v>
      </c>
      <c r="H14" s="19">
        <f t="shared" si="0"/>
        <v>1500000</v>
      </c>
      <c r="I14" s="19">
        <f t="shared" si="0"/>
        <v>3000000</v>
      </c>
    </row>
    <row r="15" spans="2:11" ht="15" thickTop="1">
      <c r="B15" s="260" t="s">
        <v>16</v>
      </c>
      <c r="C15" s="260"/>
      <c r="D15" s="68">
        <f>Model_Summary!F83</f>
        <v>0.5</v>
      </c>
      <c r="E15" s="68">
        <f>Model_Summary!G83</f>
        <v>0.5</v>
      </c>
      <c r="F15" s="68">
        <f>Model_Summary!H83</f>
        <v>0.12</v>
      </c>
      <c r="G15" s="68">
        <f>Model_Summary!I83</f>
        <v>0.19</v>
      </c>
      <c r="H15" s="68">
        <f>Model_Summary!J83</f>
        <v>0.32</v>
      </c>
      <c r="I15" s="68">
        <f>Model_Summary!K83</f>
        <v>0.25675675675675674</v>
      </c>
    </row>
    <row r="16" spans="2:11">
      <c r="B16" s="260" t="s">
        <v>17</v>
      </c>
      <c r="C16" s="260"/>
      <c r="D16" s="277">
        <f>(D11/D15)</f>
        <v>2</v>
      </c>
      <c r="E16" s="277">
        <f t="shared" ref="E16:I16" si="1">(E11/E15)</f>
        <v>2</v>
      </c>
      <c r="F16" s="277">
        <f t="shared" si="1"/>
        <v>8.3333333333333339</v>
      </c>
      <c r="G16" s="277">
        <f t="shared" si="1"/>
        <v>5.2631578947368425</v>
      </c>
      <c r="H16" s="277">
        <f t="shared" si="1"/>
        <v>3.125</v>
      </c>
      <c r="I16" s="277">
        <f t="shared" si="1"/>
        <v>3.8947368421052633</v>
      </c>
    </row>
    <row r="17" spans="1:9">
      <c r="A17" s="260"/>
      <c r="B17" s="2" t="s">
        <v>18</v>
      </c>
      <c r="C17" s="260"/>
      <c r="D17" s="17"/>
      <c r="E17" s="17"/>
      <c r="F17" s="17"/>
      <c r="G17" s="17"/>
      <c r="H17" s="17"/>
      <c r="I17" s="17"/>
    </row>
    <row r="18" spans="1:9">
      <c r="A18" s="260"/>
      <c r="B18" s="2" t="s">
        <v>19</v>
      </c>
      <c r="C18" s="260"/>
      <c r="D18" s="277">
        <f t="shared" ref="D18:I18" si="2">D$17*D14</f>
        <v>0</v>
      </c>
      <c r="E18" s="277">
        <f t="shared" si="2"/>
        <v>0</v>
      </c>
      <c r="F18" s="277">
        <f t="shared" si="2"/>
        <v>0</v>
      </c>
      <c r="G18" s="277">
        <f t="shared" si="2"/>
        <v>0</v>
      </c>
      <c r="H18" s="277">
        <f t="shared" si="2"/>
        <v>0</v>
      </c>
      <c r="I18" s="277">
        <f t="shared" si="2"/>
        <v>0</v>
      </c>
    </row>
    <row r="19" spans="1:9" s="62" customFormat="1" ht="14.5" customHeight="1">
      <c r="A19" s="273"/>
      <c r="B19" s="26"/>
      <c r="C19" s="260"/>
      <c r="D19" s="260"/>
      <c r="E19" s="260"/>
      <c r="F19" s="260"/>
      <c r="G19" s="260"/>
      <c r="H19" s="260"/>
      <c r="I19" s="260"/>
    </row>
    <row r="20" spans="1:9">
      <c r="A20" s="260"/>
      <c r="B20" s="2" t="s">
        <v>11</v>
      </c>
      <c r="C20" s="260"/>
      <c r="D20" s="278">
        <f t="shared" ref="D20:I20" si="3">D8</f>
        <v>0.13500000000000001</v>
      </c>
      <c r="E20" s="278">
        <f t="shared" si="3"/>
        <v>0.13500000000000001</v>
      </c>
      <c r="F20" s="278">
        <f t="shared" si="3"/>
        <v>0.13500000000000001</v>
      </c>
      <c r="G20" s="278">
        <f t="shared" si="3"/>
        <v>0.13500000000000001</v>
      </c>
      <c r="H20" s="278">
        <f t="shared" si="3"/>
        <v>0.13500000000000001</v>
      </c>
      <c r="I20" s="278">
        <f t="shared" si="3"/>
        <v>0.13500000000000001</v>
      </c>
    </row>
    <row r="21" spans="1:9" ht="4" customHeight="1">
      <c r="A21" s="260"/>
      <c r="B21" s="260"/>
      <c r="C21" s="260"/>
      <c r="D21" s="260"/>
      <c r="E21" s="260"/>
      <c r="F21" s="260"/>
      <c r="G21" s="260"/>
      <c r="H21" s="260"/>
      <c r="I21" s="260"/>
    </row>
    <row r="22" spans="1:9" ht="15" hidden="1" customHeight="1" outlineLevel="1">
      <c r="A22" s="260"/>
      <c r="B22" s="6" t="s">
        <v>20</v>
      </c>
      <c r="C22" s="2"/>
      <c r="D22" s="260"/>
      <c r="E22" s="260"/>
      <c r="F22" s="260"/>
      <c r="G22" s="260"/>
      <c r="H22" s="260"/>
      <c r="I22" s="260"/>
    </row>
    <row r="23" spans="1:9" ht="15" hidden="1" customHeight="1" outlineLevel="1">
      <c r="A23" s="753" t="s">
        <v>21</v>
      </c>
      <c r="B23" s="7" t="s">
        <v>22</v>
      </c>
      <c r="C23" s="260">
        <v>1</v>
      </c>
      <c r="D23" s="279">
        <f>IFERROR(PPMT($D$5,C23,$D$7,$D$12),0)</f>
        <v>-6000</v>
      </c>
      <c r="E23" s="279">
        <f>IFERROR(PPMT($E$5,C23,$E$7,$E$12),0)</f>
        <v>-20000</v>
      </c>
      <c r="F23" s="279">
        <f>IFERROR(PPMT($F$5,C23,$F$7,$F$12),0)</f>
        <v>-13707.269285750315</v>
      </c>
      <c r="G23" s="279">
        <f>IFERROR(PPMT($G$5,C23,$G$7,$G$12),0)</f>
        <v>-23660.991504764694</v>
      </c>
      <c r="H23" s="279">
        <f>IFERROR(PPMT($H$5,C23,$H$7,$H$12),0)</f>
        <v>-85770.160386471398</v>
      </c>
      <c r="I23" s="279">
        <f>IFERROR(PPMT($I$5,C23,$I$7,$I$12),0)</f>
        <v>-174605.06521158814</v>
      </c>
    </row>
    <row r="24" spans="1:9" ht="15" hidden="1" customHeight="1" outlineLevel="1">
      <c r="A24" s="753"/>
      <c r="B24" s="7" t="s">
        <v>23</v>
      </c>
      <c r="C24" s="260">
        <v>2</v>
      </c>
      <c r="D24" s="279">
        <f t="shared" ref="D24:D46" si="4">IFERROR(PPMT($D$5,C24,$D$7,$D$12),0)</f>
        <v>0</v>
      </c>
      <c r="E24" s="279">
        <f t="shared" ref="E24:E46" si="5">IFERROR(PPMT($E$5,C24,$E$7,$E$12),0)</f>
        <v>0</v>
      </c>
      <c r="F24" s="279">
        <f t="shared" ref="F24:F46" si="6">IFERROR(PPMT($F$5,C24,$F$7,$F$12),0)</f>
        <v>-14915.202594557228</v>
      </c>
      <c r="G24" s="279">
        <f t="shared" ref="G24:G46" si="7">IFERROR(PPMT($G$5,C24,$G$7,$G$12),0)</f>
        <v>-25678.312971588872</v>
      </c>
      <c r="H24" s="279">
        <f t="shared" ref="H24:H46" si="8">IFERROR(PPMT($H$5,C24,$H$7,$H$12),0)</f>
        <v>-91444.133225655562</v>
      </c>
      <c r="I24" s="279">
        <f t="shared" ref="I24:I46" si="9">IFERROR(PPMT($I$5,C24,$I$7,$I$12),0)</f>
        <v>-185628.17019141369</v>
      </c>
    </row>
    <row r="25" spans="1:9" ht="15" hidden="1" customHeight="1" outlineLevel="1">
      <c r="A25" s="753"/>
      <c r="B25" s="7" t="s">
        <v>24</v>
      </c>
      <c r="C25" s="260">
        <v>3</v>
      </c>
      <c r="D25" s="279">
        <f t="shared" si="4"/>
        <v>0</v>
      </c>
      <c r="E25" s="279">
        <f t="shared" si="5"/>
        <v>0</v>
      </c>
      <c r="F25" s="279">
        <f t="shared" si="6"/>
        <v>-16229.583281620735</v>
      </c>
      <c r="G25" s="279">
        <f t="shared" si="7"/>
        <v>-27867.630016015526</v>
      </c>
      <c r="H25" s="279">
        <f t="shared" si="8"/>
        <v>-97493.457674708945</v>
      </c>
      <c r="I25" s="279">
        <f t="shared" si="9"/>
        <v>-197347.18192084596</v>
      </c>
    </row>
    <row r="26" spans="1:9" ht="15" hidden="1" customHeight="1" outlineLevel="1">
      <c r="A26" s="753"/>
      <c r="B26" s="7" t="s">
        <v>25</v>
      </c>
      <c r="C26" s="260">
        <v>4</v>
      </c>
      <c r="D26" s="279">
        <f t="shared" si="4"/>
        <v>0</v>
      </c>
      <c r="E26" s="279">
        <f t="shared" si="5"/>
        <v>0</v>
      </c>
      <c r="F26" s="279">
        <f t="shared" si="6"/>
        <v>-17659.791868410925</v>
      </c>
      <c r="G26" s="279">
        <f t="shared" si="7"/>
        <v>-30243.606874360663</v>
      </c>
      <c r="H26" s="279">
        <f t="shared" si="8"/>
        <v>-103942.96445366212</v>
      </c>
      <c r="I26" s="279">
        <f t="shared" si="9"/>
        <v>-209806.03413770511</v>
      </c>
    </row>
    <row r="27" spans="1:9" ht="15" hidden="1" customHeight="1" outlineLevel="1">
      <c r="A27" s="753"/>
      <c r="B27" s="7" t="s">
        <v>26</v>
      </c>
      <c r="C27" s="260">
        <v>5</v>
      </c>
      <c r="D27" s="279">
        <f t="shared" si="4"/>
        <v>0</v>
      </c>
      <c r="E27" s="279">
        <f t="shared" si="5"/>
        <v>0</v>
      </c>
      <c r="F27" s="279">
        <f t="shared" si="6"/>
        <v>-19216.035521304435</v>
      </c>
      <c r="G27" s="279">
        <f t="shared" si="7"/>
        <v>-32822.158046637313</v>
      </c>
      <c r="H27" s="279">
        <f t="shared" si="8"/>
        <v>-110819.12691478991</v>
      </c>
      <c r="I27" s="279">
        <f t="shared" si="9"/>
        <v>-223051.43418894769</v>
      </c>
    </row>
    <row r="28" spans="1:9" ht="15" hidden="1" customHeight="1" outlineLevel="1">
      <c r="A28" s="753"/>
      <c r="B28" s="7" t="s">
        <v>27</v>
      </c>
      <c r="C28" s="260">
        <v>6</v>
      </c>
      <c r="D28" s="279">
        <f t="shared" si="4"/>
        <v>0</v>
      </c>
      <c r="E28" s="279">
        <f t="shared" si="5"/>
        <v>0</v>
      </c>
      <c r="F28" s="279">
        <f t="shared" si="6"/>
        <v>-20909.420898472941</v>
      </c>
      <c r="G28" s="279">
        <f t="shared" si="7"/>
        <v>-35620.554893263274</v>
      </c>
      <c r="H28" s="279">
        <f t="shared" si="8"/>
        <v>-118150.16970803389</v>
      </c>
      <c r="I28" s="279">
        <f t="shared" si="9"/>
        <v>-237133.03813317424</v>
      </c>
    </row>
    <row r="29" spans="1:9" ht="15" hidden="1" customHeight="1" outlineLevel="1">
      <c r="A29" s="753"/>
      <c r="B29" s="7" t="s">
        <v>28</v>
      </c>
      <c r="C29" s="260">
        <v>7</v>
      </c>
      <c r="D29" s="279">
        <f t="shared" si="4"/>
        <v>0</v>
      </c>
      <c r="E29" s="279">
        <f t="shared" si="5"/>
        <v>0</v>
      </c>
      <c r="F29" s="279">
        <f t="shared" si="6"/>
        <v>-22752.033416298462</v>
      </c>
      <c r="G29" s="279">
        <f t="shared" si="7"/>
        <v>-38657.541320138</v>
      </c>
      <c r="H29" s="279">
        <f t="shared" si="8"/>
        <v>-125966.18463499358</v>
      </c>
      <c r="I29" s="279">
        <f t="shared" si="9"/>
        <v>-252103.63689764519</v>
      </c>
    </row>
    <row r="30" spans="1:9" ht="15" hidden="1" customHeight="1" outlineLevel="1">
      <c r="A30" s="753"/>
      <c r="B30" s="7" t="s">
        <v>29</v>
      </c>
      <c r="C30" s="260">
        <v>8</v>
      </c>
      <c r="D30" s="279">
        <f t="shared" si="4"/>
        <v>0</v>
      </c>
      <c r="E30" s="279">
        <f t="shared" si="5"/>
        <v>0</v>
      </c>
      <c r="F30" s="279">
        <f t="shared" si="6"/>
        <v>-24757.023501027114</v>
      </c>
      <c r="G30" s="279">
        <f t="shared" si="7"/>
        <v>-41953.459326957491</v>
      </c>
      <c r="H30" s="279">
        <f t="shared" si="8"/>
        <v>-134299.25416703269</v>
      </c>
      <c r="I30" s="279">
        <f t="shared" si="9"/>
        <v>-268019.3541876963</v>
      </c>
    </row>
    <row r="31" spans="1:9" ht="15" hidden="1" customHeight="1" outlineLevel="1">
      <c r="A31" s="753"/>
      <c r="B31" s="7" t="s">
        <v>30</v>
      </c>
      <c r="C31" s="260">
        <v>9</v>
      </c>
      <c r="D31" s="279">
        <f t="shared" si="4"/>
        <v>0</v>
      </c>
      <c r="E31" s="279">
        <f t="shared" si="5"/>
        <v>0</v>
      </c>
      <c r="F31" s="279">
        <f t="shared" si="6"/>
        <v>-26938.700441225148</v>
      </c>
      <c r="G31" s="279">
        <f t="shared" si="7"/>
        <v>-45530.385259700553</v>
      </c>
      <c r="H31" s="279">
        <f t="shared" si="8"/>
        <v>-143183.58313450686</v>
      </c>
      <c r="I31" s="279">
        <f t="shared" si="9"/>
        <v>-284939.85689050081</v>
      </c>
    </row>
    <row r="32" spans="1:9" ht="15" hidden="1" customHeight="1" outlineLevel="1">
      <c r="A32" s="753"/>
      <c r="B32" s="7" t="s">
        <v>31</v>
      </c>
      <c r="C32" s="260">
        <v>10</v>
      </c>
      <c r="D32" s="279">
        <f t="shared" si="4"/>
        <v>0</v>
      </c>
      <c r="E32" s="279">
        <f t="shared" si="5"/>
        <v>0</v>
      </c>
      <c r="F32" s="279">
        <f t="shared" si="6"/>
        <v>-29312.63451084726</v>
      </c>
      <c r="G32" s="279">
        <f t="shared" si="7"/>
        <v>-49412.277679917708</v>
      </c>
      <c r="H32" s="279">
        <f t="shared" si="8"/>
        <v>-152655.63912765859</v>
      </c>
      <c r="I32" s="279">
        <f t="shared" si="9"/>
        <v>-302928.57876196696</v>
      </c>
    </row>
    <row r="33" spans="1:9" ht="15" hidden="1" customHeight="1" outlineLevel="1">
      <c r="A33" s="753" t="s">
        <v>32</v>
      </c>
      <c r="B33" s="7" t="s">
        <v>33</v>
      </c>
      <c r="C33" s="260">
        <v>11</v>
      </c>
      <c r="D33" s="279">
        <f t="shared" si="4"/>
        <v>0</v>
      </c>
      <c r="E33" s="279">
        <f t="shared" si="5"/>
        <v>0</v>
      </c>
      <c r="F33" s="279">
        <f t="shared" si="6"/>
        <v>-31895.768091752714</v>
      </c>
      <c r="G33" s="279">
        <f t="shared" si="7"/>
        <v>-53625.137841263939</v>
      </c>
      <c r="H33" s="279">
        <f t="shared" si="8"/>
        <v>-162754.30218548421</v>
      </c>
      <c r="I33" s="279">
        <f t="shared" si="9"/>
        <v>-322052.9582353576</v>
      </c>
    </row>
    <row r="34" spans="1:9" ht="15" hidden="1" customHeight="1" outlineLevel="1">
      <c r="A34" s="753"/>
      <c r="B34" s="7" t="s">
        <v>34</v>
      </c>
      <c r="C34" s="260">
        <v>12</v>
      </c>
      <c r="D34" s="279">
        <f t="shared" si="4"/>
        <v>0</v>
      </c>
      <c r="E34" s="279">
        <f t="shared" si="5"/>
        <v>0</v>
      </c>
      <c r="F34" s="279">
        <f t="shared" si="6"/>
        <v>-34706.536588732743</v>
      </c>
      <c r="G34" s="279">
        <f t="shared" si="7"/>
        <v>-58197.18384816109</v>
      </c>
      <c r="H34" s="279">
        <f t="shared" si="8"/>
        <v>-173521.02438700254</v>
      </c>
      <c r="I34" s="279">
        <f t="shared" si="9"/>
        <v>-342384.69124315883</v>
      </c>
    </row>
    <row r="35" spans="1:9" ht="15" hidden="1" customHeight="1" outlineLevel="1">
      <c r="A35" s="753"/>
      <c r="B35" s="7" t="s">
        <v>22</v>
      </c>
      <c r="C35" s="260">
        <v>13</v>
      </c>
      <c r="D35" s="279">
        <f t="shared" si="4"/>
        <v>0</v>
      </c>
      <c r="E35" s="279">
        <f t="shared" si="5"/>
        <v>0</v>
      </c>
      <c r="F35" s="279">
        <f t="shared" si="6"/>
        <v>0</v>
      </c>
      <c r="G35" s="279">
        <f t="shared" si="7"/>
        <v>0</v>
      </c>
      <c r="H35" s="279">
        <f t="shared" si="8"/>
        <v>0</v>
      </c>
      <c r="I35" s="279">
        <f t="shared" si="9"/>
        <v>0</v>
      </c>
    </row>
    <row r="36" spans="1:9" ht="15" hidden="1" customHeight="1" outlineLevel="1">
      <c r="A36" s="753"/>
      <c r="B36" s="7" t="s">
        <v>23</v>
      </c>
      <c r="C36" s="260">
        <v>14</v>
      </c>
      <c r="D36" s="279">
        <f t="shared" si="4"/>
        <v>0</v>
      </c>
      <c r="E36" s="279">
        <f t="shared" si="5"/>
        <v>0</v>
      </c>
      <c r="F36" s="279">
        <f t="shared" si="6"/>
        <v>0</v>
      </c>
      <c r="G36" s="279">
        <f t="shared" si="7"/>
        <v>0</v>
      </c>
      <c r="H36" s="279">
        <f t="shared" si="8"/>
        <v>0</v>
      </c>
      <c r="I36" s="279">
        <f t="shared" si="9"/>
        <v>0</v>
      </c>
    </row>
    <row r="37" spans="1:9" ht="15" hidden="1" customHeight="1" outlineLevel="1">
      <c r="A37" s="753"/>
      <c r="B37" s="7" t="s">
        <v>24</v>
      </c>
      <c r="C37" s="260">
        <v>15</v>
      </c>
      <c r="D37" s="279">
        <f t="shared" si="4"/>
        <v>0</v>
      </c>
      <c r="E37" s="279">
        <f t="shared" si="5"/>
        <v>0</v>
      </c>
      <c r="F37" s="279">
        <f t="shared" si="6"/>
        <v>0</v>
      </c>
      <c r="G37" s="279">
        <f t="shared" si="7"/>
        <v>0</v>
      </c>
      <c r="H37" s="279">
        <f t="shared" si="8"/>
        <v>0</v>
      </c>
      <c r="I37" s="279">
        <f t="shared" si="9"/>
        <v>0</v>
      </c>
    </row>
    <row r="38" spans="1:9" ht="15" hidden="1" customHeight="1" outlineLevel="1">
      <c r="A38" s="753"/>
      <c r="B38" s="7" t="s">
        <v>25</v>
      </c>
      <c r="C38" s="260">
        <v>16</v>
      </c>
      <c r="D38" s="279">
        <f t="shared" si="4"/>
        <v>0</v>
      </c>
      <c r="E38" s="279">
        <f t="shared" si="5"/>
        <v>0</v>
      </c>
      <c r="F38" s="279">
        <f t="shared" si="6"/>
        <v>0</v>
      </c>
      <c r="G38" s="279">
        <f t="shared" si="7"/>
        <v>0</v>
      </c>
      <c r="H38" s="279">
        <f t="shared" si="8"/>
        <v>0</v>
      </c>
      <c r="I38" s="279">
        <f t="shared" si="9"/>
        <v>0</v>
      </c>
    </row>
    <row r="39" spans="1:9" ht="15" hidden="1" customHeight="1" outlineLevel="1">
      <c r="A39" s="753"/>
      <c r="B39" s="7" t="s">
        <v>26</v>
      </c>
      <c r="C39" s="260">
        <v>17</v>
      </c>
      <c r="D39" s="279">
        <f t="shared" si="4"/>
        <v>0</v>
      </c>
      <c r="E39" s="279">
        <f t="shared" si="5"/>
        <v>0</v>
      </c>
      <c r="F39" s="279">
        <f t="shared" si="6"/>
        <v>0</v>
      </c>
      <c r="G39" s="279">
        <f t="shared" si="7"/>
        <v>0</v>
      </c>
      <c r="H39" s="279">
        <f t="shared" si="8"/>
        <v>0</v>
      </c>
      <c r="I39" s="279">
        <f t="shared" si="9"/>
        <v>0</v>
      </c>
    </row>
    <row r="40" spans="1:9" ht="15" hidden="1" customHeight="1" outlineLevel="1">
      <c r="A40" s="753"/>
      <c r="B40" s="7" t="s">
        <v>27</v>
      </c>
      <c r="C40" s="260">
        <v>18</v>
      </c>
      <c r="D40" s="279">
        <f t="shared" si="4"/>
        <v>0</v>
      </c>
      <c r="E40" s="279">
        <f t="shared" si="5"/>
        <v>0</v>
      </c>
      <c r="F40" s="279">
        <f t="shared" si="6"/>
        <v>0</v>
      </c>
      <c r="G40" s="279">
        <f t="shared" si="7"/>
        <v>0</v>
      </c>
      <c r="H40" s="279">
        <f t="shared" si="8"/>
        <v>0</v>
      </c>
      <c r="I40" s="279">
        <f t="shared" si="9"/>
        <v>0</v>
      </c>
    </row>
    <row r="41" spans="1:9" ht="15" hidden="1" customHeight="1" outlineLevel="1">
      <c r="A41" s="637"/>
      <c r="B41" s="566" t="s">
        <v>28</v>
      </c>
      <c r="C41" s="260">
        <v>19</v>
      </c>
      <c r="D41" s="279">
        <f t="shared" si="4"/>
        <v>0</v>
      </c>
      <c r="E41" s="279">
        <f t="shared" si="5"/>
        <v>0</v>
      </c>
      <c r="F41" s="279">
        <f t="shared" si="6"/>
        <v>0</v>
      </c>
      <c r="G41" s="279">
        <f t="shared" si="7"/>
        <v>0</v>
      </c>
      <c r="H41" s="279">
        <f t="shared" si="8"/>
        <v>0</v>
      </c>
      <c r="I41" s="279">
        <f t="shared" si="9"/>
        <v>0</v>
      </c>
    </row>
    <row r="42" spans="1:9" ht="15" hidden="1" customHeight="1" outlineLevel="1">
      <c r="A42" s="637"/>
      <c r="B42" s="566" t="s">
        <v>29</v>
      </c>
      <c r="C42" s="260">
        <v>20</v>
      </c>
      <c r="D42" s="279">
        <f t="shared" si="4"/>
        <v>0</v>
      </c>
      <c r="E42" s="279">
        <f t="shared" si="5"/>
        <v>0</v>
      </c>
      <c r="F42" s="279">
        <f t="shared" si="6"/>
        <v>0</v>
      </c>
      <c r="G42" s="279">
        <f t="shared" si="7"/>
        <v>0</v>
      </c>
      <c r="H42" s="279">
        <f t="shared" si="8"/>
        <v>0</v>
      </c>
      <c r="I42" s="279">
        <f t="shared" si="9"/>
        <v>0</v>
      </c>
    </row>
    <row r="43" spans="1:9" ht="15" hidden="1" customHeight="1" outlineLevel="1">
      <c r="A43" s="637"/>
      <c r="B43" s="566" t="s">
        <v>30</v>
      </c>
      <c r="C43" s="260">
        <v>21</v>
      </c>
      <c r="D43" s="279">
        <f t="shared" si="4"/>
        <v>0</v>
      </c>
      <c r="E43" s="279">
        <f t="shared" si="5"/>
        <v>0</v>
      </c>
      <c r="F43" s="279">
        <f t="shared" si="6"/>
        <v>0</v>
      </c>
      <c r="G43" s="279">
        <f t="shared" si="7"/>
        <v>0</v>
      </c>
      <c r="H43" s="279">
        <f t="shared" si="8"/>
        <v>0</v>
      </c>
      <c r="I43" s="279">
        <f t="shared" si="9"/>
        <v>0</v>
      </c>
    </row>
    <row r="44" spans="1:9" ht="15" hidden="1" customHeight="1" outlineLevel="1">
      <c r="A44" s="637"/>
      <c r="B44" s="566" t="s">
        <v>31</v>
      </c>
      <c r="C44" s="260">
        <v>22</v>
      </c>
      <c r="D44" s="279">
        <f t="shared" si="4"/>
        <v>0</v>
      </c>
      <c r="E44" s="279">
        <f t="shared" si="5"/>
        <v>0</v>
      </c>
      <c r="F44" s="279">
        <f t="shared" si="6"/>
        <v>0</v>
      </c>
      <c r="G44" s="279">
        <f t="shared" si="7"/>
        <v>0</v>
      </c>
      <c r="H44" s="279">
        <f t="shared" si="8"/>
        <v>0</v>
      </c>
      <c r="I44" s="279">
        <f t="shared" si="9"/>
        <v>0</v>
      </c>
    </row>
    <row r="45" spans="1:9" ht="15" hidden="1" customHeight="1" outlineLevel="1">
      <c r="A45" s="637"/>
      <c r="B45" s="566" t="s">
        <v>33</v>
      </c>
      <c r="C45" s="260">
        <v>23</v>
      </c>
      <c r="D45" s="279">
        <f t="shared" si="4"/>
        <v>0</v>
      </c>
      <c r="E45" s="279">
        <f t="shared" si="5"/>
        <v>0</v>
      </c>
      <c r="F45" s="279">
        <f t="shared" si="6"/>
        <v>0</v>
      </c>
      <c r="G45" s="279">
        <f t="shared" si="7"/>
        <v>0</v>
      </c>
      <c r="H45" s="279">
        <f t="shared" si="8"/>
        <v>0</v>
      </c>
      <c r="I45" s="279">
        <f t="shared" si="9"/>
        <v>0</v>
      </c>
    </row>
    <row r="46" spans="1:9" ht="15" hidden="1" customHeight="1" outlineLevel="1">
      <c r="A46" s="637"/>
      <c r="B46" s="566" t="s">
        <v>34</v>
      </c>
      <c r="C46" s="260">
        <v>24</v>
      </c>
      <c r="D46" s="279">
        <f t="shared" si="4"/>
        <v>0</v>
      </c>
      <c r="E46" s="279">
        <f t="shared" si="5"/>
        <v>0</v>
      </c>
      <c r="F46" s="279">
        <f t="shared" si="6"/>
        <v>0</v>
      </c>
      <c r="G46" s="279">
        <f t="shared" si="7"/>
        <v>0</v>
      </c>
      <c r="H46" s="279">
        <f t="shared" si="8"/>
        <v>0</v>
      </c>
      <c r="I46" s="279">
        <f t="shared" si="9"/>
        <v>0</v>
      </c>
    </row>
    <row r="47" spans="1:9" ht="15" hidden="1" customHeight="1" outlineLevel="1">
      <c r="A47" s="260"/>
      <c r="B47" s="6"/>
      <c r="C47" s="2"/>
      <c r="D47" s="260"/>
      <c r="E47" s="260"/>
      <c r="F47" s="260"/>
      <c r="G47" s="260"/>
      <c r="H47" s="260"/>
      <c r="I47" s="260"/>
    </row>
    <row r="48" spans="1:9" ht="15" hidden="1" customHeight="1" outlineLevel="1">
      <c r="A48" s="260"/>
      <c r="B48" s="6"/>
      <c r="C48" s="2"/>
      <c r="D48" s="260"/>
      <c r="E48" s="260"/>
      <c r="F48" s="260"/>
      <c r="G48" s="260"/>
      <c r="H48" s="260"/>
      <c r="I48" s="260"/>
    </row>
    <row r="49" spans="1:9" ht="15" hidden="1" customHeight="1" outlineLevel="1">
      <c r="A49" s="260"/>
      <c r="B49" s="6"/>
      <c r="C49" s="2"/>
      <c r="D49" s="280"/>
      <c r="E49" s="260"/>
      <c r="F49" s="260"/>
      <c r="G49" s="260"/>
      <c r="H49" s="260"/>
      <c r="I49" s="260"/>
    </row>
    <row r="50" spans="1:9" ht="15" hidden="1" customHeight="1" outlineLevel="1">
      <c r="A50" s="260"/>
      <c r="B50" s="9" t="s">
        <v>35</v>
      </c>
      <c r="C50" s="2"/>
      <c r="D50" s="260"/>
      <c r="E50" s="260"/>
      <c r="F50" s="260"/>
      <c r="G50" s="260"/>
      <c r="H50" s="260"/>
      <c r="I50" s="260"/>
    </row>
    <row r="51" spans="1:9" ht="15" hidden="1" customHeight="1" outlineLevel="1">
      <c r="A51" s="753" t="s">
        <v>21</v>
      </c>
      <c r="B51" s="7" t="s">
        <v>22</v>
      </c>
      <c r="C51" s="260">
        <v>1</v>
      </c>
      <c r="D51" s="279">
        <f t="shared" ref="D51:H51" si="10">D23+D124</f>
        <v>-7799.9999999999982</v>
      </c>
      <c r="E51" s="279">
        <f t="shared" si="10"/>
        <v>-25999.999999999993</v>
      </c>
      <c r="F51" s="279">
        <f t="shared" si="10"/>
        <v>-37765.000000000102</v>
      </c>
      <c r="G51" s="279">
        <f t="shared" si="10"/>
        <v>-63159.039663119933</v>
      </c>
      <c r="H51" s="279">
        <f t="shared" si="10"/>
        <v>-185000.00000000093</v>
      </c>
      <c r="I51" s="279">
        <f>I23+I124</f>
        <v>-364000.00000000943</v>
      </c>
    </row>
    <row r="52" spans="1:9" ht="15" hidden="1" customHeight="1" outlineLevel="1">
      <c r="A52" s="753"/>
      <c r="B52" s="7" t="s">
        <v>23</v>
      </c>
      <c r="C52" s="260">
        <v>2</v>
      </c>
      <c r="D52" s="279">
        <f t="shared" ref="D52" si="11">D24+D125</f>
        <v>0</v>
      </c>
      <c r="E52" s="279">
        <f t="shared" ref="E52" si="12">E24+E125</f>
        <v>0</v>
      </c>
      <c r="F52" s="279">
        <f t="shared" ref="F52" si="13">F24+F125</f>
        <v>-37765.000000000102</v>
      </c>
      <c r="G52" s="279">
        <f t="shared" ref="G52" si="14">G24+G125</f>
        <v>-63159.03966311994</v>
      </c>
      <c r="H52" s="279">
        <f t="shared" ref="H52" si="15">H24+H125</f>
        <v>-185000.00000000093</v>
      </c>
      <c r="I52" s="279">
        <f>I24+I125</f>
        <v>-364000.00000000943</v>
      </c>
    </row>
    <row r="53" spans="1:9" ht="15" hidden="1" customHeight="1" outlineLevel="1">
      <c r="A53" s="753"/>
      <c r="B53" s="7" t="s">
        <v>24</v>
      </c>
      <c r="C53" s="260">
        <v>3</v>
      </c>
      <c r="D53" s="279">
        <f t="shared" ref="D53" si="16">D25+D126</f>
        <v>0</v>
      </c>
      <c r="E53" s="279">
        <f t="shared" ref="E53" si="17">E25+E126</f>
        <v>0</v>
      </c>
      <c r="F53" s="279">
        <f t="shared" ref="F53" si="18">F25+F126</f>
        <v>-37765.000000000102</v>
      </c>
      <c r="G53" s="279">
        <f t="shared" ref="G53" si="19">G25+G126</f>
        <v>-63159.039663119926</v>
      </c>
      <c r="H53" s="279">
        <f t="shared" ref="H53" si="20">H25+H126</f>
        <v>-185000.00000000096</v>
      </c>
      <c r="I53" s="279">
        <f t="shared" ref="I53:I74" si="21">I25+I126</f>
        <v>-364000.00000000943</v>
      </c>
    </row>
    <row r="54" spans="1:9" ht="15" hidden="1" customHeight="1" outlineLevel="1">
      <c r="A54" s="753"/>
      <c r="B54" s="7" t="s">
        <v>25</v>
      </c>
      <c r="C54" s="260">
        <v>4</v>
      </c>
      <c r="D54" s="279">
        <f t="shared" ref="D54" si="22">D26+D127</f>
        <v>0</v>
      </c>
      <c r="E54" s="279">
        <f t="shared" ref="E54" si="23">E26+E127</f>
        <v>0</v>
      </c>
      <c r="F54" s="279">
        <f t="shared" ref="F54" si="24">F26+F127</f>
        <v>-37765.000000000102</v>
      </c>
      <c r="G54" s="279">
        <f t="shared" ref="G54" si="25">G26+G127</f>
        <v>-63159.039663119926</v>
      </c>
      <c r="H54" s="279">
        <f t="shared" ref="H54" si="26">H26+H127</f>
        <v>-185000.00000000093</v>
      </c>
      <c r="I54" s="279">
        <f t="shared" si="21"/>
        <v>-364000.00000000943</v>
      </c>
    </row>
    <row r="55" spans="1:9" ht="15" hidden="1" customHeight="1" outlineLevel="1">
      <c r="A55" s="753"/>
      <c r="B55" s="7" t="s">
        <v>26</v>
      </c>
      <c r="C55" s="260">
        <v>5</v>
      </c>
      <c r="D55" s="279">
        <f t="shared" ref="D55" si="27">D27+D128</f>
        <v>0</v>
      </c>
      <c r="E55" s="279">
        <f t="shared" ref="E55" si="28">E27+E128</f>
        <v>0</v>
      </c>
      <c r="F55" s="279">
        <f t="shared" ref="F55" si="29">F27+F128</f>
        <v>-37765.000000000102</v>
      </c>
      <c r="G55" s="279">
        <f t="shared" ref="G55" si="30">G27+G128</f>
        <v>-63159.03966311994</v>
      </c>
      <c r="H55" s="279">
        <f t="shared" ref="H55" si="31">H27+H128</f>
        <v>-185000.00000000093</v>
      </c>
      <c r="I55" s="279">
        <f t="shared" si="21"/>
        <v>-364000.00000000943</v>
      </c>
    </row>
    <row r="56" spans="1:9" ht="15" hidden="1" customHeight="1" outlineLevel="1">
      <c r="A56" s="753"/>
      <c r="B56" s="7" t="s">
        <v>27</v>
      </c>
      <c r="C56" s="260">
        <v>6</v>
      </c>
      <c r="D56" s="279">
        <f t="shared" ref="D56" si="32">D28+D129</f>
        <v>0</v>
      </c>
      <c r="E56" s="279">
        <f t="shared" ref="E56" si="33">E28+E129</f>
        <v>0</v>
      </c>
      <c r="F56" s="279">
        <f t="shared" ref="F56" si="34">F28+F129</f>
        <v>-37765.000000000109</v>
      </c>
      <c r="G56" s="279">
        <f t="shared" ref="G56" si="35">G28+G129</f>
        <v>-63159.03966311994</v>
      </c>
      <c r="H56" s="279">
        <f t="shared" ref="H56" si="36">H28+H129</f>
        <v>-185000.00000000093</v>
      </c>
      <c r="I56" s="279">
        <f t="shared" si="21"/>
        <v>-364000.00000000943</v>
      </c>
    </row>
    <row r="57" spans="1:9" ht="15" hidden="1" customHeight="1" outlineLevel="1">
      <c r="A57" s="753"/>
      <c r="B57" s="7" t="s">
        <v>28</v>
      </c>
      <c r="C57" s="260">
        <v>7</v>
      </c>
      <c r="D57" s="279">
        <f t="shared" ref="D57" si="37">D29+D130</f>
        <v>0</v>
      </c>
      <c r="E57" s="279">
        <f t="shared" ref="E57" si="38">E29+E130</f>
        <v>0</v>
      </c>
      <c r="F57" s="279">
        <f t="shared" ref="F57" si="39">F29+F130</f>
        <v>-37765.000000000102</v>
      </c>
      <c r="G57" s="279">
        <f t="shared" ref="G57" si="40">G29+G130</f>
        <v>-63159.039663119926</v>
      </c>
      <c r="H57" s="279">
        <f t="shared" ref="H57" si="41">H29+H130</f>
        <v>-185000.00000000096</v>
      </c>
      <c r="I57" s="279">
        <f t="shared" si="21"/>
        <v>-364000.00000000943</v>
      </c>
    </row>
    <row r="58" spans="1:9" ht="15" hidden="1" customHeight="1" outlineLevel="1">
      <c r="A58" s="753"/>
      <c r="B58" s="7" t="s">
        <v>29</v>
      </c>
      <c r="C58" s="260">
        <v>8</v>
      </c>
      <c r="D58" s="279">
        <f t="shared" ref="D58" si="42">D30+D131</f>
        <v>0</v>
      </c>
      <c r="E58" s="279">
        <f t="shared" ref="E58" si="43">E30+E131</f>
        <v>0</v>
      </c>
      <c r="F58" s="279">
        <f t="shared" ref="F58" si="44">F30+F131</f>
        <v>-37765.000000000102</v>
      </c>
      <c r="G58" s="279">
        <f t="shared" ref="G58" si="45">G30+G131</f>
        <v>-63159.039663119933</v>
      </c>
      <c r="H58" s="279">
        <f t="shared" ref="H58" si="46">H30+H131</f>
        <v>-185000.00000000096</v>
      </c>
      <c r="I58" s="279">
        <f t="shared" si="21"/>
        <v>-364000.00000000943</v>
      </c>
    </row>
    <row r="59" spans="1:9" ht="15" hidden="1" customHeight="1" outlineLevel="1">
      <c r="A59" s="753"/>
      <c r="B59" s="7" t="s">
        <v>30</v>
      </c>
      <c r="C59" s="260">
        <v>9</v>
      </c>
      <c r="D59" s="279">
        <f t="shared" ref="D59" si="47">D31+D132</f>
        <v>0</v>
      </c>
      <c r="E59" s="279">
        <f t="shared" ref="E59" si="48">E31+E132</f>
        <v>0</v>
      </c>
      <c r="F59" s="279">
        <f t="shared" ref="F59" si="49">F31+F132</f>
        <v>-37765.000000000102</v>
      </c>
      <c r="G59" s="279">
        <f t="shared" ref="G59" si="50">G31+G132</f>
        <v>-63159.03966311994</v>
      </c>
      <c r="H59" s="279">
        <f t="shared" ref="H59" si="51">H31+H132</f>
        <v>-185000.00000000093</v>
      </c>
      <c r="I59" s="279">
        <f t="shared" si="21"/>
        <v>-364000.00000000943</v>
      </c>
    </row>
    <row r="60" spans="1:9" ht="15" hidden="1" customHeight="1" outlineLevel="1">
      <c r="A60" s="753"/>
      <c r="B60" s="7" t="s">
        <v>31</v>
      </c>
      <c r="C60" s="260">
        <v>10</v>
      </c>
      <c r="D60" s="279">
        <f t="shared" ref="D60" si="52">D32+D133</f>
        <v>0</v>
      </c>
      <c r="E60" s="279">
        <f t="shared" ref="E60" si="53">E32+E133</f>
        <v>0</v>
      </c>
      <c r="F60" s="279">
        <f t="shared" ref="F60" si="54">F32+F133</f>
        <v>-37765.000000000102</v>
      </c>
      <c r="G60" s="279">
        <f t="shared" ref="G60" si="55">G32+G133</f>
        <v>-63159.039663119933</v>
      </c>
      <c r="H60" s="279">
        <f t="shared" ref="H60" si="56">H32+H133</f>
        <v>-185000.00000000093</v>
      </c>
      <c r="I60" s="279">
        <f t="shared" si="21"/>
        <v>-364000.00000000943</v>
      </c>
    </row>
    <row r="61" spans="1:9" ht="15" hidden="1" customHeight="1" outlineLevel="1">
      <c r="A61" s="753" t="s">
        <v>32</v>
      </c>
      <c r="B61" s="7" t="s">
        <v>33</v>
      </c>
      <c r="C61" s="260">
        <v>11</v>
      </c>
      <c r="D61" s="279">
        <f t="shared" ref="D61" si="57">D33+D134</f>
        <v>0</v>
      </c>
      <c r="E61" s="279">
        <f t="shared" ref="E61" si="58">E33+E134</f>
        <v>0</v>
      </c>
      <c r="F61" s="279">
        <f t="shared" ref="F61" si="59">F33+F134</f>
        <v>-37765.000000000102</v>
      </c>
      <c r="G61" s="279">
        <f t="shared" ref="G61" si="60">G33+G134</f>
        <v>-63159.039663119926</v>
      </c>
      <c r="H61" s="279">
        <f t="shared" ref="H61" si="61">H33+H134</f>
        <v>-185000.00000000096</v>
      </c>
      <c r="I61" s="279">
        <f t="shared" si="21"/>
        <v>-364000.00000000943</v>
      </c>
    </row>
    <row r="62" spans="1:9" ht="15" hidden="1" customHeight="1" outlineLevel="1">
      <c r="A62" s="753"/>
      <c r="B62" s="7" t="s">
        <v>34</v>
      </c>
      <c r="C62" s="260">
        <v>12</v>
      </c>
      <c r="D62" s="279">
        <f t="shared" ref="D62" si="62">D34+D135</f>
        <v>0</v>
      </c>
      <c r="E62" s="279">
        <f t="shared" ref="E62" si="63">E34+E135</f>
        <v>0</v>
      </c>
      <c r="F62" s="279">
        <f t="shared" ref="F62" si="64">F34+F135</f>
        <v>-37765.000000000102</v>
      </c>
      <c r="G62" s="279">
        <f t="shared" ref="G62" si="65">G34+G135</f>
        <v>-63159.039663119926</v>
      </c>
      <c r="H62" s="279">
        <f t="shared" ref="H62" si="66">H34+H135</f>
        <v>-185000.00000000096</v>
      </c>
      <c r="I62" s="279">
        <f t="shared" si="21"/>
        <v>-364000.00000000943</v>
      </c>
    </row>
    <row r="63" spans="1:9" ht="15" hidden="1" customHeight="1" outlineLevel="1">
      <c r="A63" s="753"/>
      <c r="B63" s="7" t="s">
        <v>22</v>
      </c>
      <c r="C63" s="260">
        <v>13</v>
      </c>
      <c r="D63" s="279">
        <f t="shared" ref="D63" si="67">D35+D136</f>
        <v>0</v>
      </c>
      <c r="E63" s="279">
        <f t="shared" ref="E63" si="68">E35+E136</f>
        <v>0</v>
      </c>
      <c r="F63" s="279">
        <f t="shared" ref="F63" si="69">F35+F136</f>
        <v>0</v>
      </c>
      <c r="G63" s="279">
        <f t="shared" ref="G63" si="70">G35+G136</f>
        <v>0</v>
      </c>
      <c r="H63" s="279">
        <f t="shared" ref="H63" si="71">H35+H136</f>
        <v>0</v>
      </c>
      <c r="I63" s="279">
        <f t="shared" si="21"/>
        <v>0</v>
      </c>
    </row>
    <row r="64" spans="1:9" ht="15" hidden="1" customHeight="1" outlineLevel="1">
      <c r="A64" s="753"/>
      <c r="B64" s="7" t="s">
        <v>23</v>
      </c>
      <c r="C64" s="260">
        <v>14</v>
      </c>
      <c r="D64" s="279">
        <f t="shared" ref="D64" si="72">D36+D137</f>
        <v>0</v>
      </c>
      <c r="E64" s="279">
        <f t="shared" ref="E64" si="73">E36+E137</f>
        <v>0</v>
      </c>
      <c r="F64" s="279">
        <f t="shared" ref="F64" si="74">F36+F137</f>
        <v>0</v>
      </c>
      <c r="G64" s="279">
        <f t="shared" ref="G64" si="75">G36+G137</f>
        <v>0</v>
      </c>
      <c r="H64" s="279">
        <f t="shared" ref="H64" si="76">H36+H137</f>
        <v>0</v>
      </c>
      <c r="I64" s="279">
        <f t="shared" si="21"/>
        <v>0</v>
      </c>
    </row>
    <row r="65" spans="1:9" ht="15" hidden="1" customHeight="1" outlineLevel="1">
      <c r="A65" s="753"/>
      <c r="B65" s="7" t="s">
        <v>24</v>
      </c>
      <c r="C65" s="260">
        <v>15</v>
      </c>
      <c r="D65" s="279">
        <f t="shared" ref="D65" si="77">D37+D138</f>
        <v>0</v>
      </c>
      <c r="E65" s="279">
        <f t="shared" ref="E65" si="78">E37+E138</f>
        <v>0</v>
      </c>
      <c r="F65" s="279">
        <f t="shared" ref="F65" si="79">F37+F138</f>
        <v>0</v>
      </c>
      <c r="G65" s="279">
        <f t="shared" ref="G65" si="80">G37+G138</f>
        <v>0</v>
      </c>
      <c r="H65" s="279">
        <f t="shared" ref="H65" si="81">H37+H138</f>
        <v>0</v>
      </c>
      <c r="I65" s="279">
        <f t="shared" si="21"/>
        <v>0</v>
      </c>
    </row>
    <row r="66" spans="1:9" ht="15" hidden="1" customHeight="1" outlineLevel="1">
      <c r="A66" s="753"/>
      <c r="B66" s="7" t="s">
        <v>25</v>
      </c>
      <c r="C66" s="260">
        <v>16</v>
      </c>
      <c r="D66" s="279">
        <f t="shared" ref="D66" si="82">D38+D139</f>
        <v>0</v>
      </c>
      <c r="E66" s="279">
        <f t="shared" ref="E66" si="83">E38+E139</f>
        <v>0</v>
      </c>
      <c r="F66" s="279">
        <f t="shared" ref="F66" si="84">F38+F139</f>
        <v>0</v>
      </c>
      <c r="G66" s="279">
        <f t="shared" ref="G66" si="85">G38+G139</f>
        <v>0</v>
      </c>
      <c r="H66" s="279">
        <f t="shared" ref="H66" si="86">H38+H139</f>
        <v>0</v>
      </c>
      <c r="I66" s="279">
        <f t="shared" si="21"/>
        <v>0</v>
      </c>
    </row>
    <row r="67" spans="1:9" ht="15" hidden="1" customHeight="1" outlineLevel="1">
      <c r="A67" s="753"/>
      <c r="B67" s="7" t="s">
        <v>26</v>
      </c>
      <c r="C67" s="260">
        <v>17</v>
      </c>
      <c r="D67" s="279">
        <f t="shared" ref="D67" si="87">D39+D140</f>
        <v>0</v>
      </c>
      <c r="E67" s="279">
        <f t="shared" ref="E67" si="88">E39+E140</f>
        <v>0</v>
      </c>
      <c r="F67" s="279">
        <f t="shared" ref="F67" si="89">F39+F140</f>
        <v>0</v>
      </c>
      <c r="G67" s="279">
        <f t="shared" ref="G67" si="90">G39+G140</f>
        <v>0</v>
      </c>
      <c r="H67" s="279">
        <f t="shared" ref="H67" si="91">H39+H140</f>
        <v>0</v>
      </c>
      <c r="I67" s="279">
        <f t="shared" si="21"/>
        <v>0</v>
      </c>
    </row>
    <row r="68" spans="1:9" ht="15" hidden="1" customHeight="1" outlineLevel="1">
      <c r="A68" s="753"/>
      <c r="B68" s="7" t="s">
        <v>27</v>
      </c>
      <c r="C68" s="260">
        <v>18</v>
      </c>
      <c r="D68" s="279">
        <f t="shared" ref="D68" si="92">D40+D141</f>
        <v>0</v>
      </c>
      <c r="E68" s="279">
        <f t="shared" ref="E68" si="93">E40+E141</f>
        <v>0</v>
      </c>
      <c r="F68" s="279">
        <f t="shared" ref="F68" si="94">F40+F141</f>
        <v>0</v>
      </c>
      <c r="G68" s="279">
        <f t="shared" ref="G68" si="95">G40+G141</f>
        <v>0</v>
      </c>
      <c r="H68" s="279">
        <f t="shared" ref="H68" si="96">H40+H141</f>
        <v>0</v>
      </c>
      <c r="I68" s="279">
        <f t="shared" si="21"/>
        <v>0</v>
      </c>
    </row>
    <row r="69" spans="1:9" ht="15" hidden="1" customHeight="1" outlineLevel="1">
      <c r="A69" s="637"/>
      <c r="B69" s="566" t="s">
        <v>28</v>
      </c>
      <c r="C69" s="260">
        <v>19</v>
      </c>
      <c r="D69" s="279">
        <f t="shared" ref="D69" si="97">D41+D142</f>
        <v>0</v>
      </c>
      <c r="E69" s="279">
        <f t="shared" ref="E69" si="98">E41+E142</f>
        <v>0</v>
      </c>
      <c r="F69" s="279">
        <f t="shared" ref="F69" si="99">F41+F142</f>
        <v>0</v>
      </c>
      <c r="G69" s="279">
        <f t="shared" ref="G69" si="100">G41+G142</f>
        <v>0</v>
      </c>
      <c r="H69" s="279">
        <f t="shared" ref="H69" si="101">H41+H142</f>
        <v>0</v>
      </c>
      <c r="I69" s="279">
        <f t="shared" si="21"/>
        <v>0</v>
      </c>
    </row>
    <row r="70" spans="1:9" ht="15" hidden="1" customHeight="1" outlineLevel="1">
      <c r="A70" s="637"/>
      <c r="B70" s="566" t="s">
        <v>29</v>
      </c>
      <c r="C70" s="260">
        <v>20</v>
      </c>
      <c r="D70" s="279">
        <f t="shared" ref="D70" si="102">D42+D143</f>
        <v>0</v>
      </c>
      <c r="E70" s="279">
        <f t="shared" ref="E70" si="103">E42+E143</f>
        <v>0</v>
      </c>
      <c r="F70" s="279">
        <f t="shared" ref="F70" si="104">F42+F143</f>
        <v>0</v>
      </c>
      <c r="G70" s="279">
        <f t="shared" ref="G70" si="105">G42+G143</f>
        <v>0</v>
      </c>
      <c r="H70" s="279">
        <f t="shared" ref="H70" si="106">H42+H143</f>
        <v>0</v>
      </c>
      <c r="I70" s="279">
        <f t="shared" si="21"/>
        <v>0</v>
      </c>
    </row>
    <row r="71" spans="1:9" ht="15" hidden="1" customHeight="1" outlineLevel="1">
      <c r="A71" s="637"/>
      <c r="B71" s="566" t="s">
        <v>30</v>
      </c>
      <c r="C71" s="260">
        <v>21</v>
      </c>
      <c r="D71" s="279">
        <f t="shared" ref="D71" si="107">D43+D144</f>
        <v>0</v>
      </c>
      <c r="E71" s="279">
        <f t="shared" ref="E71" si="108">E43+E144</f>
        <v>0</v>
      </c>
      <c r="F71" s="279">
        <f t="shared" ref="F71" si="109">F43+F144</f>
        <v>0</v>
      </c>
      <c r="G71" s="279">
        <f t="shared" ref="G71" si="110">G43+G144</f>
        <v>0</v>
      </c>
      <c r="H71" s="279">
        <f t="shared" ref="H71" si="111">H43+H144</f>
        <v>0</v>
      </c>
      <c r="I71" s="279">
        <f t="shared" si="21"/>
        <v>0</v>
      </c>
    </row>
    <row r="72" spans="1:9" ht="15" hidden="1" customHeight="1" outlineLevel="1">
      <c r="A72" s="637"/>
      <c r="B72" s="566" t="s">
        <v>31</v>
      </c>
      <c r="C72" s="260">
        <v>22</v>
      </c>
      <c r="D72" s="279">
        <f t="shared" ref="D72" si="112">D44+D145</f>
        <v>0</v>
      </c>
      <c r="E72" s="279">
        <f t="shared" ref="E72" si="113">E44+E145</f>
        <v>0</v>
      </c>
      <c r="F72" s="279">
        <f t="shared" ref="F72" si="114">F44+F145</f>
        <v>0</v>
      </c>
      <c r="G72" s="279">
        <f t="shared" ref="G72" si="115">G44+G145</f>
        <v>0</v>
      </c>
      <c r="H72" s="279">
        <f t="shared" ref="H72" si="116">H44+H145</f>
        <v>0</v>
      </c>
      <c r="I72" s="279">
        <f t="shared" si="21"/>
        <v>0</v>
      </c>
    </row>
    <row r="73" spans="1:9" ht="15" hidden="1" customHeight="1" outlineLevel="1">
      <c r="A73" s="637"/>
      <c r="B73" s="566" t="s">
        <v>33</v>
      </c>
      <c r="C73" s="260">
        <v>23</v>
      </c>
      <c r="D73" s="279">
        <f t="shared" ref="D73" si="117">D45+D146</f>
        <v>0</v>
      </c>
      <c r="E73" s="279">
        <f t="shared" ref="E73" si="118">E45+E146</f>
        <v>0</v>
      </c>
      <c r="F73" s="279">
        <f t="shared" ref="F73" si="119">F45+F146</f>
        <v>0</v>
      </c>
      <c r="G73" s="279">
        <f t="shared" ref="G73" si="120">G45+G146</f>
        <v>0</v>
      </c>
      <c r="H73" s="279">
        <f t="shared" ref="H73" si="121">H45+H146</f>
        <v>0</v>
      </c>
      <c r="I73" s="279">
        <f t="shared" si="21"/>
        <v>0</v>
      </c>
    </row>
    <row r="74" spans="1:9" ht="15" hidden="1" customHeight="1" outlineLevel="1">
      <c r="A74" s="637"/>
      <c r="B74" s="566" t="s">
        <v>34</v>
      </c>
      <c r="C74" s="260">
        <v>24</v>
      </c>
      <c r="D74" s="279">
        <f t="shared" ref="D74" si="122">D46+D147</f>
        <v>0</v>
      </c>
      <c r="E74" s="279">
        <f t="shared" ref="E74" si="123">E46+E147</f>
        <v>0</v>
      </c>
      <c r="F74" s="279">
        <f t="shared" ref="F74" si="124">F46+F147</f>
        <v>0</v>
      </c>
      <c r="G74" s="279">
        <f t="shared" ref="G74" si="125">G46+G147</f>
        <v>0</v>
      </c>
      <c r="H74" s="279">
        <f t="shared" ref="H74" si="126">H46+H147</f>
        <v>0</v>
      </c>
      <c r="I74" s="279">
        <f t="shared" si="21"/>
        <v>0</v>
      </c>
    </row>
    <row r="75" spans="1:9" ht="15" hidden="1" customHeight="1" outlineLevel="1">
      <c r="A75" s="260"/>
      <c r="B75" s="260"/>
      <c r="C75" s="260"/>
      <c r="D75" s="260"/>
      <c r="E75" s="260"/>
      <c r="F75" s="260"/>
      <c r="G75" s="260"/>
      <c r="H75" s="260"/>
      <c r="I75" s="260"/>
    </row>
    <row r="76" spans="1:9" ht="15" hidden="1" customHeight="1" outlineLevel="1">
      <c r="A76" s="260"/>
      <c r="B76" s="260"/>
      <c r="C76" s="260"/>
      <c r="D76" s="260"/>
      <c r="E76" s="260"/>
      <c r="F76" s="260"/>
      <c r="G76" s="260"/>
      <c r="H76" s="260"/>
      <c r="I76" s="260"/>
    </row>
    <row r="77" spans="1:9" ht="15" hidden="1" customHeight="1" outlineLevel="1">
      <c r="B77" s="2" t="s">
        <v>36</v>
      </c>
      <c r="C77" s="260"/>
      <c r="D77" s="260"/>
      <c r="E77" s="260"/>
      <c r="F77" s="260"/>
      <c r="G77" s="260"/>
      <c r="H77" s="260"/>
      <c r="I77" s="260"/>
    </row>
    <row r="78" spans="1:9" ht="15" hidden="1" customHeight="1" outlineLevel="1">
      <c r="B78" s="260"/>
      <c r="C78" s="260"/>
      <c r="D78" s="281">
        <f t="shared" ref="D78:I78" si="127">D123</f>
        <v>6000</v>
      </c>
      <c r="E78" s="281">
        <f t="shared" si="127"/>
        <v>20000</v>
      </c>
      <c r="F78" s="281">
        <f t="shared" si="127"/>
        <v>273000</v>
      </c>
      <c r="G78" s="281">
        <f t="shared" si="127"/>
        <v>463269.23958276917</v>
      </c>
      <c r="H78" s="281">
        <f t="shared" si="127"/>
        <v>1500000</v>
      </c>
      <c r="I78" s="281">
        <f t="shared" si="127"/>
        <v>3000000</v>
      </c>
    </row>
    <row r="79" spans="1:9" ht="15" hidden="1" customHeight="1" outlineLevel="1">
      <c r="B79" s="260"/>
      <c r="C79" s="260"/>
      <c r="D79" s="281">
        <f t="shared" ref="D79:D101" si="128">IF((D78+D23)&lt;0,0,D78+D23)</f>
        <v>0</v>
      </c>
      <c r="E79" s="281">
        <f t="shared" ref="E79:E101" si="129">IF((E78+E23)&lt;0,0,E78+E23)</f>
        <v>0</v>
      </c>
      <c r="F79" s="281">
        <f t="shared" ref="F79:F101" si="130">IF((F78+F23)&lt;0,0,F78+F23)</f>
        <v>259292.73071424969</v>
      </c>
      <c r="G79" s="281">
        <f t="shared" ref="G79:G101" si="131">IF((G78+G23)&lt;0,0,G78+G23)</f>
        <v>439608.24807800446</v>
      </c>
      <c r="H79" s="281">
        <f t="shared" ref="H79:H101" si="132">IF((H78+H23)&lt;0,0,H78+H23)</f>
        <v>1414229.8396135287</v>
      </c>
      <c r="I79" s="281">
        <f t="shared" ref="I79:I101" si="133">IF((I78+I23)&lt;0,0,I78+I23)</f>
        <v>2825394.9347884119</v>
      </c>
    </row>
    <row r="80" spans="1:9" ht="15" hidden="1" customHeight="1" outlineLevel="1">
      <c r="B80" s="260"/>
      <c r="C80" s="260"/>
      <c r="D80" s="281">
        <f t="shared" si="128"/>
        <v>0</v>
      </c>
      <c r="E80" s="281">
        <f t="shared" si="129"/>
        <v>0</v>
      </c>
      <c r="F80" s="281">
        <f t="shared" si="130"/>
        <v>244377.52811969246</v>
      </c>
      <c r="G80" s="281">
        <f t="shared" si="131"/>
        <v>413929.93510641559</v>
      </c>
      <c r="H80" s="281">
        <f t="shared" si="132"/>
        <v>1322785.706387873</v>
      </c>
      <c r="I80" s="281">
        <f t="shared" si="133"/>
        <v>2639766.7645969982</v>
      </c>
    </row>
    <row r="81" spans="2:9" ht="15" hidden="1" customHeight="1" outlineLevel="1">
      <c r="B81" s="260"/>
      <c r="C81" s="260"/>
      <c r="D81" s="281">
        <f t="shared" si="128"/>
        <v>0</v>
      </c>
      <c r="E81" s="281">
        <f t="shared" si="129"/>
        <v>0</v>
      </c>
      <c r="F81" s="281">
        <f t="shared" si="130"/>
        <v>228147.94483807174</v>
      </c>
      <c r="G81" s="281">
        <f t="shared" si="131"/>
        <v>386062.30509040004</v>
      </c>
      <c r="H81" s="281">
        <f t="shared" si="132"/>
        <v>1225292.2487131641</v>
      </c>
      <c r="I81" s="281">
        <f t="shared" si="133"/>
        <v>2442419.5826761522</v>
      </c>
    </row>
    <row r="82" spans="2:9" ht="15" hidden="1" customHeight="1" outlineLevel="1">
      <c r="B82" s="260"/>
      <c r="C82" s="260"/>
      <c r="D82" s="281">
        <f t="shared" si="128"/>
        <v>0</v>
      </c>
      <c r="E82" s="281">
        <f t="shared" si="129"/>
        <v>0</v>
      </c>
      <c r="F82" s="281">
        <f t="shared" si="130"/>
        <v>210488.15296966082</v>
      </c>
      <c r="G82" s="281">
        <f t="shared" si="131"/>
        <v>355818.6982160394</v>
      </c>
      <c r="H82" s="281">
        <f t="shared" si="132"/>
        <v>1121349.2842595021</v>
      </c>
      <c r="I82" s="281">
        <f t="shared" si="133"/>
        <v>2232613.5485384474</v>
      </c>
    </row>
    <row r="83" spans="2:9" ht="15" hidden="1" customHeight="1" outlineLevel="1">
      <c r="B83" s="260"/>
      <c r="C83" s="260"/>
      <c r="D83" s="281">
        <f t="shared" si="128"/>
        <v>0</v>
      </c>
      <c r="E83" s="281">
        <f t="shared" si="129"/>
        <v>0</v>
      </c>
      <c r="F83" s="281">
        <f t="shared" si="130"/>
        <v>191272.11744835638</v>
      </c>
      <c r="G83" s="281">
        <f t="shared" si="131"/>
        <v>322996.54016940208</v>
      </c>
      <c r="H83" s="281">
        <f t="shared" si="132"/>
        <v>1010530.1573447122</v>
      </c>
      <c r="I83" s="281">
        <f t="shared" si="133"/>
        <v>2009562.1143494996</v>
      </c>
    </row>
    <row r="84" spans="2:9" ht="15" hidden="1" customHeight="1" outlineLevel="1">
      <c r="B84" s="260"/>
      <c r="C84" s="260"/>
      <c r="D84" s="281">
        <f t="shared" si="128"/>
        <v>0</v>
      </c>
      <c r="E84" s="281">
        <f t="shared" si="129"/>
        <v>0</v>
      </c>
      <c r="F84" s="281">
        <f t="shared" si="130"/>
        <v>170362.69654988343</v>
      </c>
      <c r="G84" s="281">
        <f t="shared" si="131"/>
        <v>287375.98527613882</v>
      </c>
      <c r="H84" s="281">
        <f t="shared" si="132"/>
        <v>892379.98763667827</v>
      </c>
      <c r="I84" s="281">
        <f t="shared" si="133"/>
        <v>1772429.0762163254</v>
      </c>
    </row>
    <row r="85" spans="2:9" ht="15" hidden="1" customHeight="1" outlineLevel="1">
      <c r="B85" s="260"/>
      <c r="C85" s="260"/>
      <c r="D85" s="281">
        <f t="shared" si="128"/>
        <v>0</v>
      </c>
      <c r="E85" s="281">
        <f t="shared" si="129"/>
        <v>0</v>
      </c>
      <c r="F85" s="281">
        <f t="shared" si="130"/>
        <v>147610.66313358498</v>
      </c>
      <c r="G85" s="281">
        <f t="shared" si="131"/>
        <v>248718.44395600082</v>
      </c>
      <c r="H85" s="281">
        <f t="shared" si="132"/>
        <v>766413.80300168472</v>
      </c>
      <c r="I85" s="281">
        <f t="shared" si="133"/>
        <v>1520325.4393186802</v>
      </c>
    </row>
    <row r="86" spans="2:9" ht="15" hidden="1" customHeight="1" outlineLevel="1">
      <c r="B86" s="260"/>
      <c r="C86" s="260"/>
      <c r="D86" s="281">
        <f t="shared" si="128"/>
        <v>0</v>
      </c>
      <c r="E86" s="281">
        <f t="shared" si="129"/>
        <v>0</v>
      </c>
      <c r="F86" s="281">
        <f t="shared" si="130"/>
        <v>122853.63963255787</v>
      </c>
      <c r="G86" s="281">
        <f t="shared" si="131"/>
        <v>206764.98462904332</v>
      </c>
      <c r="H86" s="281">
        <f t="shared" si="132"/>
        <v>632114.54883465206</v>
      </c>
      <c r="I86" s="281">
        <f t="shared" si="133"/>
        <v>1252306.085130984</v>
      </c>
    </row>
    <row r="87" spans="2:9" ht="15" hidden="1" customHeight="1" outlineLevel="1">
      <c r="B87" s="260"/>
      <c r="C87" s="260"/>
      <c r="D87" s="281">
        <f t="shared" si="128"/>
        <v>0</v>
      </c>
      <c r="E87" s="281">
        <f t="shared" si="129"/>
        <v>0</v>
      </c>
      <c r="F87" s="281">
        <f t="shared" si="130"/>
        <v>95914.939191332727</v>
      </c>
      <c r="G87" s="281">
        <f t="shared" si="131"/>
        <v>161234.59936934276</v>
      </c>
      <c r="H87" s="281">
        <f t="shared" si="132"/>
        <v>488930.96570014523</v>
      </c>
      <c r="I87" s="281">
        <f t="shared" si="133"/>
        <v>967366.22824048321</v>
      </c>
    </row>
    <row r="88" spans="2:9" ht="15" hidden="1" customHeight="1" outlineLevel="1">
      <c r="B88" s="260"/>
      <c r="C88" s="260"/>
      <c r="D88" s="281">
        <f t="shared" si="128"/>
        <v>0</v>
      </c>
      <c r="E88" s="281">
        <f t="shared" si="129"/>
        <v>0</v>
      </c>
      <c r="F88" s="281">
        <f t="shared" si="130"/>
        <v>66602.304680485468</v>
      </c>
      <c r="G88" s="281">
        <f t="shared" si="131"/>
        <v>111822.32168942505</v>
      </c>
      <c r="H88" s="281">
        <f t="shared" si="132"/>
        <v>336275.32657248667</v>
      </c>
      <c r="I88" s="281">
        <f t="shared" si="133"/>
        <v>664437.64947851631</v>
      </c>
    </row>
    <row r="89" spans="2:9" ht="15" hidden="1" customHeight="1" outlineLevel="1">
      <c r="B89" s="260"/>
      <c r="C89" s="260"/>
      <c r="D89" s="281">
        <f t="shared" si="128"/>
        <v>0</v>
      </c>
      <c r="E89" s="281">
        <f t="shared" si="129"/>
        <v>0</v>
      </c>
      <c r="F89" s="281">
        <f t="shared" si="130"/>
        <v>34706.53658873275</v>
      </c>
      <c r="G89" s="281">
        <f t="shared" si="131"/>
        <v>58197.183848161112</v>
      </c>
      <c r="H89" s="281">
        <f t="shared" si="132"/>
        <v>173521.02438700246</v>
      </c>
      <c r="I89" s="281">
        <f t="shared" si="133"/>
        <v>342384.69124315871</v>
      </c>
    </row>
    <row r="90" spans="2:9" ht="15" hidden="1" customHeight="1" outlineLevel="1">
      <c r="B90" s="260"/>
      <c r="C90" s="260"/>
      <c r="D90" s="281">
        <f t="shared" si="128"/>
        <v>0</v>
      </c>
      <c r="E90" s="281">
        <f t="shared" si="129"/>
        <v>0</v>
      </c>
      <c r="F90" s="281">
        <f t="shared" si="130"/>
        <v>7.2759576141834259E-12</v>
      </c>
      <c r="G90" s="281">
        <f t="shared" si="131"/>
        <v>2.1827872842550278E-11</v>
      </c>
      <c r="H90" s="281">
        <f t="shared" si="132"/>
        <v>0</v>
      </c>
      <c r="I90" s="281">
        <f t="shared" si="133"/>
        <v>0</v>
      </c>
    </row>
    <row r="91" spans="2:9" ht="15" hidden="1" customHeight="1" outlineLevel="1">
      <c r="B91" s="260"/>
      <c r="C91" s="260"/>
      <c r="D91" s="281">
        <f t="shared" si="128"/>
        <v>0</v>
      </c>
      <c r="E91" s="281">
        <f t="shared" si="129"/>
        <v>0</v>
      </c>
      <c r="F91" s="281">
        <f t="shared" si="130"/>
        <v>7.2759576141834259E-12</v>
      </c>
      <c r="G91" s="281">
        <f t="shared" si="131"/>
        <v>2.1827872842550278E-11</v>
      </c>
      <c r="H91" s="281">
        <f t="shared" si="132"/>
        <v>0</v>
      </c>
      <c r="I91" s="281">
        <f t="shared" si="133"/>
        <v>0</v>
      </c>
    </row>
    <row r="92" spans="2:9" ht="15" hidden="1" customHeight="1" outlineLevel="1">
      <c r="B92" s="260"/>
      <c r="C92" s="260"/>
      <c r="D92" s="281">
        <f t="shared" si="128"/>
        <v>0</v>
      </c>
      <c r="E92" s="281">
        <f t="shared" si="129"/>
        <v>0</v>
      </c>
      <c r="F92" s="281">
        <f t="shared" si="130"/>
        <v>7.2759576141834259E-12</v>
      </c>
      <c r="G92" s="281">
        <f t="shared" si="131"/>
        <v>2.1827872842550278E-11</v>
      </c>
      <c r="H92" s="281">
        <f t="shared" si="132"/>
        <v>0</v>
      </c>
      <c r="I92" s="281">
        <f t="shared" si="133"/>
        <v>0</v>
      </c>
    </row>
    <row r="93" spans="2:9" ht="15" hidden="1" customHeight="1" outlineLevel="1">
      <c r="B93" s="260"/>
      <c r="C93" s="260"/>
      <c r="D93" s="281">
        <f t="shared" si="128"/>
        <v>0</v>
      </c>
      <c r="E93" s="281">
        <f t="shared" si="129"/>
        <v>0</v>
      </c>
      <c r="F93" s="281">
        <f t="shared" si="130"/>
        <v>7.2759576141834259E-12</v>
      </c>
      <c r="G93" s="281">
        <f t="shared" si="131"/>
        <v>2.1827872842550278E-11</v>
      </c>
      <c r="H93" s="281">
        <f t="shared" si="132"/>
        <v>0</v>
      </c>
      <c r="I93" s="281">
        <f t="shared" si="133"/>
        <v>0</v>
      </c>
    </row>
    <row r="94" spans="2:9" ht="15" hidden="1" customHeight="1" outlineLevel="1">
      <c r="B94" s="260"/>
      <c r="C94" s="260"/>
      <c r="D94" s="281">
        <f t="shared" si="128"/>
        <v>0</v>
      </c>
      <c r="E94" s="281">
        <f t="shared" si="129"/>
        <v>0</v>
      </c>
      <c r="F94" s="281">
        <f t="shared" si="130"/>
        <v>7.2759576141834259E-12</v>
      </c>
      <c r="G94" s="281">
        <f t="shared" si="131"/>
        <v>2.1827872842550278E-11</v>
      </c>
      <c r="H94" s="281">
        <f t="shared" si="132"/>
        <v>0</v>
      </c>
      <c r="I94" s="281">
        <f t="shared" si="133"/>
        <v>0</v>
      </c>
    </row>
    <row r="95" spans="2:9" ht="15" hidden="1" customHeight="1" outlineLevel="1">
      <c r="B95" s="260"/>
      <c r="C95" s="260"/>
      <c r="D95" s="281">
        <f t="shared" si="128"/>
        <v>0</v>
      </c>
      <c r="E95" s="281">
        <f t="shared" si="129"/>
        <v>0</v>
      </c>
      <c r="F95" s="281">
        <f t="shared" si="130"/>
        <v>7.2759576141834259E-12</v>
      </c>
      <c r="G95" s="281">
        <f t="shared" si="131"/>
        <v>2.1827872842550278E-11</v>
      </c>
      <c r="H95" s="281">
        <f t="shared" si="132"/>
        <v>0</v>
      </c>
      <c r="I95" s="281">
        <f t="shared" si="133"/>
        <v>0</v>
      </c>
    </row>
    <row r="96" spans="2:9" ht="15" hidden="1" customHeight="1" outlineLevel="1">
      <c r="B96" s="260"/>
      <c r="C96" s="260"/>
      <c r="D96" s="281">
        <f t="shared" si="128"/>
        <v>0</v>
      </c>
      <c r="E96" s="281">
        <f t="shared" si="129"/>
        <v>0</v>
      </c>
      <c r="F96" s="281">
        <f t="shared" si="130"/>
        <v>7.2759576141834259E-12</v>
      </c>
      <c r="G96" s="281">
        <f t="shared" si="131"/>
        <v>2.1827872842550278E-11</v>
      </c>
      <c r="H96" s="281">
        <f t="shared" si="132"/>
        <v>0</v>
      </c>
      <c r="I96" s="281">
        <f t="shared" si="133"/>
        <v>0</v>
      </c>
    </row>
    <row r="97" spans="2:9" ht="15" hidden="1" customHeight="1" outlineLevel="1">
      <c r="B97" s="260"/>
      <c r="C97" s="260"/>
      <c r="D97" s="281">
        <f t="shared" si="128"/>
        <v>0</v>
      </c>
      <c r="E97" s="281">
        <f t="shared" si="129"/>
        <v>0</v>
      </c>
      <c r="F97" s="281">
        <f t="shared" si="130"/>
        <v>7.2759576141834259E-12</v>
      </c>
      <c r="G97" s="281">
        <f t="shared" si="131"/>
        <v>2.1827872842550278E-11</v>
      </c>
      <c r="H97" s="281">
        <f t="shared" si="132"/>
        <v>0</v>
      </c>
      <c r="I97" s="281">
        <f t="shared" si="133"/>
        <v>0</v>
      </c>
    </row>
    <row r="98" spans="2:9" ht="15" hidden="1" customHeight="1" outlineLevel="1">
      <c r="B98" s="260"/>
      <c r="C98" s="260"/>
      <c r="D98" s="281">
        <f t="shared" si="128"/>
        <v>0</v>
      </c>
      <c r="E98" s="281">
        <f t="shared" si="129"/>
        <v>0</v>
      </c>
      <c r="F98" s="281">
        <f t="shared" si="130"/>
        <v>7.2759576141834259E-12</v>
      </c>
      <c r="G98" s="281">
        <f t="shared" si="131"/>
        <v>2.1827872842550278E-11</v>
      </c>
      <c r="H98" s="281">
        <f t="shared" si="132"/>
        <v>0</v>
      </c>
      <c r="I98" s="281">
        <f t="shared" si="133"/>
        <v>0</v>
      </c>
    </row>
    <row r="99" spans="2:9" ht="15" hidden="1" customHeight="1" outlineLevel="1">
      <c r="B99" s="260"/>
      <c r="C99" s="260"/>
      <c r="D99" s="281">
        <f t="shared" si="128"/>
        <v>0</v>
      </c>
      <c r="E99" s="281">
        <f t="shared" si="129"/>
        <v>0</v>
      </c>
      <c r="F99" s="281">
        <f t="shared" si="130"/>
        <v>7.2759576141834259E-12</v>
      </c>
      <c r="G99" s="281">
        <f t="shared" si="131"/>
        <v>2.1827872842550278E-11</v>
      </c>
      <c r="H99" s="281">
        <f t="shared" si="132"/>
        <v>0</v>
      </c>
      <c r="I99" s="281">
        <f t="shared" si="133"/>
        <v>0</v>
      </c>
    </row>
    <row r="100" spans="2:9" ht="15" hidden="1" customHeight="1" outlineLevel="1">
      <c r="B100" s="260"/>
      <c r="C100" s="260"/>
      <c r="D100" s="281">
        <f t="shared" si="128"/>
        <v>0</v>
      </c>
      <c r="E100" s="281">
        <f t="shared" si="129"/>
        <v>0</v>
      </c>
      <c r="F100" s="281">
        <f t="shared" si="130"/>
        <v>7.2759576141834259E-12</v>
      </c>
      <c r="G100" s="281">
        <f t="shared" si="131"/>
        <v>2.1827872842550278E-11</v>
      </c>
      <c r="H100" s="281">
        <f t="shared" si="132"/>
        <v>0</v>
      </c>
      <c r="I100" s="281">
        <f t="shared" si="133"/>
        <v>0</v>
      </c>
    </row>
    <row r="101" spans="2:9" ht="15" hidden="1" customHeight="1" outlineLevel="1">
      <c r="B101" s="260"/>
      <c r="C101" s="260"/>
      <c r="D101" s="281">
        <f t="shared" si="128"/>
        <v>0</v>
      </c>
      <c r="E101" s="281">
        <f t="shared" si="129"/>
        <v>0</v>
      </c>
      <c r="F101" s="281">
        <f t="shared" si="130"/>
        <v>7.2759576141834259E-12</v>
      </c>
      <c r="G101" s="281">
        <f t="shared" si="131"/>
        <v>2.1827872842550278E-11</v>
      </c>
      <c r="H101" s="281">
        <f t="shared" si="132"/>
        <v>0</v>
      </c>
      <c r="I101" s="281">
        <f t="shared" si="133"/>
        <v>0</v>
      </c>
    </row>
    <row r="102" spans="2:9" ht="15" hidden="1" customHeight="1" outlineLevel="1">
      <c r="B102" s="260"/>
      <c r="C102" s="260"/>
      <c r="D102" s="260"/>
      <c r="E102" s="260"/>
      <c r="F102" s="260"/>
      <c r="G102" s="260"/>
      <c r="H102" s="260"/>
      <c r="I102" s="260"/>
    </row>
    <row r="103" spans="2:9" ht="15" hidden="1" customHeight="1" outlineLevel="1">
      <c r="B103" s="2" t="s">
        <v>37</v>
      </c>
      <c r="C103" s="260"/>
      <c r="D103" s="260"/>
      <c r="E103" s="260"/>
      <c r="F103" s="260"/>
      <c r="G103" s="260"/>
      <c r="H103" s="260"/>
      <c r="I103" s="260"/>
    </row>
    <row r="104" spans="2:9" ht="15" hidden="1" customHeight="1" outlineLevel="1">
      <c r="B104" s="2" t="s">
        <v>38</v>
      </c>
      <c r="C104" s="260"/>
      <c r="D104" s="278">
        <f t="shared" ref="D104:I104" si="134">D20/12</f>
        <v>1.1250000000000001E-2</v>
      </c>
      <c r="E104" s="278">
        <f t="shared" si="134"/>
        <v>1.1250000000000001E-2</v>
      </c>
      <c r="F104" s="278">
        <f t="shared" si="134"/>
        <v>1.1250000000000001E-2</v>
      </c>
      <c r="G104" s="278">
        <f t="shared" si="134"/>
        <v>1.1250000000000001E-2</v>
      </c>
      <c r="H104" s="278">
        <f t="shared" si="134"/>
        <v>1.1250000000000001E-2</v>
      </c>
      <c r="I104" s="278">
        <f t="shared" si="134"/>
        <v>1.1250000000000001E-2</v>
      </c>
    </row>
    <row r="105" spans="2:9" ht="15" hidden="1" customHeight="1" outlineLevel="1">
      <c r="B105" s="260"/>
      <c r="C105" s="260"/>
      <c r="D105" s="282"/>
      <c r="E105" s="282"/>
      <c r="F105" s="282"/>
      <c r="G105" s="282"/>
      <c r="H105" s="282"/>
      <c r="I105" s="282"/>
    </row>
    <row r="106" spans="2:9" ht="15" hidden="1" customHeight="1" outlineLevel="1">
      <c r="B106" s="260"/>
      <c r="C106" s="260"/>
      <c r="D106" s="283">
        <f t="shared" ref="D106:I117" si="135">(D78*D$104)</f>
        <v>67.500000000000014</v>
      </c>
      <c r="E106" s="283">
        <f t="shared" si="135"/>
        <v>225.00000000000003</v>
      </c>
      <c r="F106" s="283">
        <f t="shared" si="135"/>
        <v>3071.2500000000005</v>
      </c>
      <c r="G106" s="283">
        <f t="shared" si="135"/>
        <v>5211.7789453061541</v>
      </c>
      <c r="H106" s="283">
        <f t="shared" si="135"/>
        <v>16875.000000000004</v>
      </c>
      <c r="I106" s="283">
        <f t="shared" si="135"/>
        <v>33750.000000000007</v>
      </c>
    </row>
    <row r="107" spans="2:9" ht="15" hidden="1" customHeight="1" outlineLevel="1">
      <c r="B107" s="260"/>
      <c r="C107" s="260"/>
      <c r="D107" s="283">
        <f t="shared" si="135"/>
        <v>0</v>
      </c>
      <c r="E107" s="283">
        <f t="shared" si="135"/>
        <v>0</v>
      </c>
      <c r="F107" s="283">
        <f t="shared" si="135"/>
        <v>2917.0432205353095</v>
      </c>
      <c r="G107" s="283">
        <f t="shared" si="135"/>
        <v>4945.5927908775511</v>
      </c>
      <c r="H107" s="283">
        <f t="shared" si="135"/>
        <v>15910.0856956522</v>
      </c>
      <c r="I107" s="283">
        <f t="shared" si="135"/>
        <v>31785.693016369638</v>
      </c>
    </row>
    <row r="108" spans="2:9" ht="15" hidden="1" customHeight="1" outlineLevel="1">
      <c r="B108" s="260"/>
      <c r="C108" s="260"/>
      <c r="D108" s="283">
        <f t="shared" si="135"/>
        <v>0</v>
      </c>
      <c r="E108" s="283">
        <f t="shared" si="135"/>
        <v>0</v>
      </c>
      <c r="F108" s="283">
        <f t="shared" si="135"/>
        <v>2749.2471913465406</v>
      </c>
      <c r="G108" s="283">
        <f t="shared" si="135"/>
        <v>4656.7117699471755</v>
      </c>
      <c r="H108" s="283">
        <f t="shared" si="135"/>
        <v>14881.339196863573</v>
      </c>
      <c r="I108" s="283">
        <f t="shared" si="135"/>
        <v>29697.376101716232</v>
      </c>
    </row>
    <row r="109" spans="2:9" ht="15" hidden="1" customHeight="1" outlineLevel="1">
      <c r="B109" s="260"/>
      <c r="C109" s="260"/>
      <c r="D109" s="283">
        <f t="shared" si="135"/>
        <v>0</v>
      </c>
      <c r="E109" s="283">
        <f t="shared" si="135"/>
        <v>0</v>
      </c>
      <c r="F109" s="283">
        <f t="shared" si="135"/>
        <v>2566.6643794283073</v>
      </c>
      <c r="G109" s="283">
        <f t="shared" si="135"/>
        <v>4343.200932267001</v>
      </c>
      <c r="H109" s="283">
        <f t="shared" si="135"/>
        <v>13784.537798023099</v>
      </c>
      <c r="I109" s="283">
        <f t="shared" si="135"/>
        <v>27477.220305106715</v>
      </c>
    </row>
    <row r="110" spans="2:9" ht="15" hidden="1" customHeight="1" outlineLevel="1">
      <c r="B110" s="260"/>
      <c r="C110" s="260"/>
      <c r="D110" s="283">
        <f t="shared" si="135"/>
        <v>0</v>
      </c>
      <c r="E110" s="283">
        <f t="shared" si="135"/>
        <v>0</v>
      </c>
      <c r="F110" s="283">
        <f t="shared" si="135"/>
        <v>2367.9917209086843</v>
      </c>
      <c r="G110" s="283">
        <f t="shared" si="135"/>
        <v>4002.9603549304438</v>
      </c>
      <c r="H110" s="283">
        <f t="shared" si="135"/>
        <v>12615.1794479194</v>
      </c>
      <c r="I110" s="283">
        <f t="shared" si="135"/>
        <v>25116.902421057537</v>
      </c>
    </row>
    <row r="111" spans="2:9" ht="15" hidden="1" customHeight="1" outlineLevel="1">
      <c r="B111" s="260"/>
      <c r="C111" s="260"/>
      <c r="D111" s="283">
        <f t="shared" si="135"/>
        <v>0</v>
      </c>
      <c r="E111" s="283">
        <f t="shared" si="135"/>
        <v>0</v>
      </c>
      <c r="F111" s="283">
        <f t="shared" si="135"/>
        <v>2151.8113212940098</v>
      </c>
      <c r="G111" s="283">
        <f t="shared" si="135"/>
        <v>3633.711076905774</v>
      </c>
      <c r="H111" s="283">
        <f t="shared" si="135"/>
        <v>11368.464270128014</v>
      </c>
      <c r="I111" s="283">
        <f t="shared" si="135"/>
        <v>22607.573786431873</v>
      </c>
    </row>
    <row r="112" spans="2:9" ht="15" hidden="1" customHeight="1" outlineLevel="1">
      <c r="B112" s="260"/>
      <c r="C112" s="260"/>
      <c r="D112" s="283">
        <f t="shared" si="135"/>
        <v>0</v>
      </c>
      <c r="E112" s="283">
        <f t="shared" si="135"/>
        <v>0</v>
      </c>
      <c r="F112" s="283">
        <f t="shared" si="135"/>
        <v>1916.5803361861888</v>
      </c>
      <c r="G112" s="283">
        <f t="shared" si="135"/>
        <v>3232.9798343565622</v>
      </c>
      <c r="H112" s="283">
        <f t="shared" si="135"/>
        <v>10039.274860912632</v>
      </c>
      <c r="I112" s="283">
        <f t="shared" si="135"/>
        <v>19939.827107433663</v>
      </c>
    </row>
    <row r="113" spans="1:10" ht="15" hidden="1" customHeight="1" outlineLevel="1">
      <c r="B113" s="260"/>
      <c r="C113" s="260"/>
      <c r="D113" s="283">
        <f t="shared" si="135"/>
        <v>0</v>
      </c>
      <c r="E113" s="283">
        <f t="shared" si="135"/>
        <v>0</v>
      </c>
      <c r="F113" s="283">
        <f t="shared" si="135"/>
        <v>1660.6199602528313</v>
      </c>
      <c r="G113" s="283">
        <f t="shared" si="135"/>
        <v>2798.0824945050094</v>
      </c>
      <c r="H113" s="283">
        <f t="shared" si="135"/>
        <v>8622.1552837689542</v>
      </c>
      <c r="I113" s="283">
        <f t="shared" si="135"/>
        <v>17103.661192335156</v>
      </c>
    </row>
    <row r="114" spans="1:10" ht="15" hidden="1" customHeight="1" outlineLevel="1">
      <c r="B114" s="260"/>
      <c r="C114" s="260"/>
      <c r="D114" s="283">
        <f t="shared" si="135"/>
        <v>0</v>
      </c>
      <c r="E114" s="283">
        <f t="shared" si="135"/>
        <v>0</v>
      </c>
      <c r="F114" s="283">
        <f t="shared" si="135"/>
        <v>1382.1034458662762</v>
      </c>
      <c r="G114" s="283">
        <f t="shared" si="135"/>
        <v>2326.1060770767376</v>
      </c>
      <c r="H114" s="283">
        <f t="shared" si="135"/>
        <v>7111.2886743898362</v>
      </c>
      <c r="I114" s="283">
        <f t="shared" si="135"/>
        <v>14088.443457723572</v>
      </c>
    </row>
    <row r="115" spans="1:10" ht="15" hidden="1" customHeight="1" outlineLevel="1">
      <c r="B115" s="260"/>
      <c r="C115" s="260"/>
      <c r="D115" s="283">
        <f t="shared" si="135"/>
        <v>0</v>
      </c>
      <c r="E115" s="283">
        <f t="shared" si="135"/>
        <v>0</v>
      </c>
      <c r="F115" s="283">
        <f t="shared" si="135"/>
        <v>1079.0430659024933</v>
      </c>
      <c r="G115" s="283">
        <f t="shared" si="135"/>
        <v>1813.8892429051064</v>
      </c>
      <c r="H115" s="283">
        <f t="shared" si="135"/>
        <v>5500.4733641266348</v>
      </c>
      <c r="I115" s="283">
        <f t="shared" si="135"/>
        <v>10882.870067705437</v>
      </c>
    </row>
    <row r="116" spans="1:10" ht="15" hidden="1" customHeight="1" outlineLevel="1">
      <c r="B116" s="260"/>
      <c r="C116" s="260"/>
      <c r="D116" s="283">
        <f t="shared" si="135"/>
        <v>0</v>
      </c>
      <c r="E116" s="283">
        <f t="shared" si="135"/>
        <v>0</v>
      </c>
      <c r="F116" s="283">
        <f t="shared" si="135"/>
        <v>749.2759276554616</v>
      </c>
      <c r="G116" s="283">
        <f t="shared" si="135"/>
        <v>1258.001119006032</v>
      </c>
      <c r="H116" s="283">
        <f t="shared" si="135"/>
        <v>3783.0974239404754</v>
      </c>
      <c r="I116" s="283">
        <f t="shared" si="135"/>
        <v>7474.9235566333091</v>
      </c>
    </row>
    <row r="117" spans="1:10" ht="15" hidden="1" customHeight="1" outlineLevel="1">
      <c r="A117" s="260"/>
      <c r="B117" s="260"/>
      <c r="C117" s="260"/>
      <c r="D117" s="283">
        <f t="shared" si="135"/>
        <v>0</v>
      </c>
      <c r="E117" s="283">
        <f t="shared" si="135"/>
        <v>0</v>
      </c>
      <c r="F117" s="283">
        <f t="shared" si="135"/>
        <v>390.44853662324346</v>
      </c>
      <c r="G117" s="283">
        <f t="shared" si="135"/>
        <v>654.71831829181258</v>
      </c>
      <c r="H117" s="283">
        <f t="shared" si="135"/>
        <v>1952.1115243537779</v>
      </c>
      <c r="I117" s="283">
        <f t="shared" si="135"/>
        <v>3851.8277764855361</v>
      </c>
    </row>
    <row r="118" spans="1:10" ht="15" hidden="1" customHeight="1" outlineLevel="1">
      <c r="A118" s="260"/>
      <c r="B118" s="260"/>
      <c r="C118" s="260"/>
      <c r="D118" s="260"/>
      <c r="E118" s="260"/>
      <c r="F118" s="260"/>
      <c r="G118" s="260"/>
      <c r="H118" s="260"/>
      <c r="I118" s="260"/>
    </row>
    <row r="119" spans="1:10" collapsed="1">
      <c r="A119" s="260"/>
      <c r="B119" s="2" t="s">
        <v>37</v>
      </c>
      <c r="C119" s="2"/>
      <c r="D119" s="25">
        <f t="shared" ref="D119:I119" si="136">SUM(D106:D118)</f>
        <v>67.500000000000014</v>
      </c>
      <c r="E119" s="25">
        <f t="shared" si="136"/>
        <v>225.00000000000003</v>
      </c>
      <c r="F119" s="25">
        <f t="shared" si="136"/>
        <v>23002.07910599935</v>
      </c>
      <c r="G119" s="25">
        <f t="shared" si="136"/>
        <v>38877.732956375359</v>
      </c>
      <c r="H119" s="25">
        <f t="shared" si="136"/>
        <v>122443.00754007859</v>
      </c>
      <c r="I119" s="25">
        <f t="shared" si="136"/>
        <v>243776.31878899867</v>
      </c>
      <c r="J119" s="507">
        <f>H119/H12</f>
        <v>8.1628671693385724E-2</v>
      </c>
    </row>
    <row r="120" spans="1:10">
      <c r="A120" s="260"/>
      <c r="B120" s="8"/>
      <c r="C120" s="273"/>
      <c r="D120" s="260"/>
      <c r="E120" s="260"/>
      <c r="F120" s="260"/>
      <c r="G120" s="260"/>
      <c r="H120" s="260"/>
      <c r="I120" s="260"/>
    </row>
    <row r="121" spans="1:10">
      <c r="A121" s="260"/>
      <c r="B121" s="8" t="s">
        <v>39</v>
      </c>
      <c r="C121" s="273"/>
      <c r="D121" s="278">
        <f t="shared" ref="D121:I121" si="137">D5</f>
        <v>0.29999999999999971</v>
      </c>
      <c r="E121" s="278">
        <f t="shared" si="137"/>
        <v>0.29999999999999971</v>
      </c>
      <c r="F121" s="278">
        <f t="shared" si="137"/>
        <v>8.8123555729852698E-2</v>
      </c>
      <c r="G121" s="278">
        <f t="shared" si="137"/>
        <v>8.5259380039840502E-2</v>
      </c>
      <c r="H121" s="278">
        <f t="shared" si="137"/>
        <v>6.6153226409019689E-2</v>
      </c>
      <c r="I121" s="278">
        <f t="shared" si="137"/>
        <v>6.3131644929473762E-2</v>
      </c>
    </row>
    <row r="122" spans="1:10">
      <c r="A122" s="260"/>
      <c r="B122" s="260" t="s">
        <v>40</v>
      </c>
      <c r="C122" s="273"/>
      <c r="D122" s="284">
        <f t="shared" ref="D122:I122" si="138">ROUND(D7,0)</f>
        <v>1</v>
      </c>
      <c r="E122" s="284">
        <f t="shared" si="138"/>
        <v>1</v>
      </c>
      <c r="F122" s="284">
        <f t="shared" si="138"/>
        <v>12</v>
      </c>
      <c r="G122" s="284">
        <f t="shared" si="138"/>
        <v>12</v>
      </c>
      <c r="H122" s="284">
        <f t="shared" si="138"/>
        <v>12</v>
      </c>
      <c r="I122" s="284">
        <f t="shared" si="138"/>
        <v>12</v>
      </c>
    </row>
    <row r="123" spans="1:10">
      <c r="A123" s="260"/>
      <c r="B123" s="260" t="s">
        <v>41</v>
      </c>
      <c r="C123" s="260"/>
      <c r="D123" s="285">
        <f t="shared" ref="D123:I123" si="139">D18+D14</f>
        <v>6000</v>
      </c>
      <c r="E123" s="285">
        <f t="shared" si="139"/>
        <v>20000</v>
      </c>
      <c r="F123" s="285">
        <f t="shared" si="139"/>
        <v>273000</v>
      </c>
      <c r="G123" s="285">
        <f t="shared" si="139"/>
        <v>463269.23958276917</v>
      </c>
      <c r="H123" s="285">
        <f t="shared" si="139"/>
        <v>1500000</v>
      </c>
      <c r="I123" s="285">
        <f t="shared" si="139"/>
        <v>3000000</v>
      </c>
    </row>
    <row r="124" spans="1:10" hidden="1" outlineLevel="1">
      <c r="A124" s="753" t="s">
        <v>21</v>
      </c>
      <c r="B124" s="7" t="s">
        <v>22</v>
      </c>
      <c r="C124" s="260">
        <v>1</v>
      </c>
      <c r="D124" s="286">
        <f>IFERROR(IPMT($D$5,C124,$D$7,$D$12),0)</f>
        <v>-1799.9999999999982</v>
      </c>
      <c r="E124" s="286">
        <f>IFERROR(IPMT($E$5,C124,$E$7,$E$12),0)</f>
        <v>-5999.9999999999945</v>
      </c>
      <c r="F124" s="286">
        <f>IFERROR(IPMT($F$5,C124,$F$7,$F$12),0)</f>
        <v>-24057.730714249788</v>
      </c>
      <c r="G124" s="286">
        <f>IFERROR(IPMT($G$5,C124,$G$7,$G$12),0)</f>
        <v>-39498.048158355239</v>
      </c>
      <c r="H124" s="286">
        <f>IFERROR(IPMT($H$5,C124,$H$7,$H$12),0)</f>
        <v>-99229.839613529533</v>
      </c>
      <c r="I124" s="286">
        <f>IFERROR(IPMT($I$5,C124,$I$7,$I$12),0)</f>
        <v>-189394.93478842129</v>
      </c>
    </row>
    <row r="125" spans="1:10" hidden="1" outlineLevel="1">
      <c r="A125" s="753"/>
      <c r="B125" s="7" t="s">
        <v>23</v>
      </c>
      <c r="C125" s="260">
        <v>2</v>
      </c>
      <c r="D125" s="286">
        <f t="shared" ref="D125:D147" si="140">IFERROR(IPMT($D$5,C125,$D$7,$D$12),0)</f>
        <v>0</v>
      </c>
      <c r="E125" s="286">
        <f t="shared" ref="E125:E147" si="141">IFERROR(IPMT($E$5,C125,$E$7,$E$12),0)</f>
        <v>0</v>
      </c>
      <c r="F125" s="286">
        <f t="shared" ref="F125:F147" si="142">IFERROR(IPMT($F$5,C125,$F$7,$F$12),0)</f>
        <v>-22849.797405442874</v>
      </c>
      <c r="G125" s="286">
        <f t="shared" ref="G125:G147" si="143">IFERROR(IPMT($G$5,C125,$G$7,$G$12),0)</f>
        <v>-37480.726691531068</v>
      </c>
      <c r="H125" s="286">
        <f t="shared" ref="H125:H147" si="144">IFERROR(IPMT($H$5,C125,$H$7,$H$12),0)</f>
        <v>-93555.86677434537</v>
      </c>
      <c r="I125" s="286">
        <f>IFERROR(IPMT($I$5,C125,$I$7,$I$12),0)</f>
        <v>-178371.82980859574</v>
      </c>
    </row>
    <row r="126" spans="1:10" hidden="1" outlineLevel="1">
      <c r="A126" s="753"/>
      <c r="B126" s="7" t="s">
        <v>24</v>
      </c>
      <c r="C126" s="260">
        <v>3</v>
      </c>
      <c r="D126" s="286">
        <f t="shared" si="140"/>
        <v>0</v>
      </c>
      <c r="E126" s="286">
        <f t="shared" si="141"/>
        <v>0</v>
      </c>
      <c r="F126" s="286">
        <f t="shared" si="142"/>
        <v>-21535.416718379369</v>
      </c>
      <c r="G126" s="286">
        <f t="shared" si="143"/>
        <v>-35291.409647104403</v>
      </c>
      <c r="H126" s="286">
        <f t="shared" si="144"/>
        <v>-87506.542325292015</v>
      </c>
      <c r="I126" s="286">
        <f t="shared" ref="I126:I147" si="145">IFERROR(IPMT($I$5,C126,$I$7,$I$12),0)</f>
        <v>-166652.81807916347</v>
      </c>
    </row>
    <row r="127" spans="1:10" hidden="1" outlineLevel="1">
      <c r="A127" s="753"/>
      <c r="B127" s="7" t="s">
        <v>25</v>
      </c>
      <c r="C127" s="260">
        <v>4</v>
      </c>
      <c r="D127" s="286">
        <f t="shared" si="140"/>
        <v>0</v>
      </c>
      <c r="E127" s="286">
        <f t="shared" si="141"/>
        <v>0</v>
      </c>
      <c r="F127" s="286">
        <f t="shared" si="142"/>
        <v>-20105.208131589174</v>
      </c>
      <c r="G127" s="286">
        <f t="shared" si="143"/>
        <v>-32915.432788759266</v>
      </c>
      <c r="H127" s="286">
        <f t="shared" si="144"/>
        <v>-81057.035546338826</v>
      </c>
      <c r="I127" s="286">
        <f t="shared" si="145"/>
        <v>-154193.96586230432</v>
      </c>
    </row>
    <row r="128" spans="1:10" hidden="1" outlineLevel="1">
      <c r="A128" s="753"/>
      <c r="B128" s="7" t="s">
        <v>26</v>
      </c>
      <c r="C128" s="260">
        <v>5</v>
      </c>
      <c r="D128" s="286">
        <f t="shared" si="140"/>
        <v>0</v>
      </c>
      <c r="E128" s="286">
        <f t="shared" si="141"/>
        <v>0</v>
      </c>
      <c r="F128" s="286">
        <f t="shared" si="142"/>
        <v>-18548.964478695663</v>
      </c>
      <c r="G128" s="286">
        <f t="shared" si="143"/>
        <v>-30336.881616482624</v>
      </c>
      <c r="H128" s="286">
        <f t="shared" si="144"/>
        <v>-74180.873085211017</v>
      </c>
      <c r="I128" s="286">
        <f t="shared" si="145"/>
        <v>-140948.56581106171</v>
      </c>
    </row>
    <row r="129" spans="1:9" hidden="1" outlineLevel="1">
      <c r="A129" s="753"/>
      <c r="B129" s="7" t="s">
        <v>27</v>
      </c>
      <c r="C129" s="260">
        <v>6</v>
      </c>
      <c r="D129" s="286">
        <f t="shared" si="140"/>
        <v>0</v>
      </c>
      <c r="E129" s="286">
        <f t="shared" si="141"/>
        <v>0</v>
      </c>
      <c r="F129" s="286">
        <f t="shared" si="142"/>
        <v>-16855.579101527168</v>
      </c>
      <c r="G129" s="286">
        <f t="shared" si="143"/>
        <v>-27538.484769856666</v>
      </c>
      <c r="H129" s="286">
        <f t="shared" si="144"/>
        <v>-66849.830291967039</v>
      </c>
      <c r="I129" s="286">
        <f t="shared" si="145"/>
        <v>-126866.96186683518</v>
      </c>
    </row>
    <row r="130" spans="1:9" hidden="1" outlineLevel="1">
      <c r="A130" s="753"/>
      <c r="B130" s="7" t="s">
        <v>28</v>
      </c>
      <c r="C130" s="260">
        <v>7</v>
      </c>
      <c r="D130" s="286">
        <f t="shared" si="140"/>
        <v>0</v>
      </c>
      <c r="E130" s="286">
        <f t="shared" si="141"/>
        <v>0</v>
      </c>
      <c r="F130" s="286">
        <f t="shared" si="142"/>
        <v>-15012.966583701636</v>
      </c>
      <c r="G130" s="286">
        <f t="shared" si="143"/>
        <v>-24501.498342981922</v>
      </c>
      <c r="H130" s="286">
        <f t="shared" si="144"/>
        <v>-59033.815365007373</v>
      </c>
      <c r="I130" s="286">
        <f t="shared" si="145"/>
        <v>-111896.36310236425</v>
      </c>
    </row>
    <row r="131" spans="1:9" hidden="1" outlineLevel="1">
      <c r="A131" s="753"/>
      <c r="B131" s="7" t="s">
        <v>29</v>
      </c>
      <c r="C131" s="260">
        <v>8</v>
      </c>
      <c r="D131" s="286">
        <f t="shared" si="140"/>
        <v>0</v>
      </c>
      <c r="E131" s="286">
        <f t="shared" si="141"/>
        <v>0</v>
      </c>
      <c r="F131" s="286">
        <f t="shared" si="142"/>
        <v>-13007.97649897299</v>
      </c>
      <c r="G131" s="286">
        <f t="shared" si="143"/>
        <v>-21205.580336162442</v>
      </c>
      <c r="H131" s="286">
        <f t="shared" si="144"/>
        <v>-50700.745832968263</v>
      </c>
      <c r="I131" s="286">
        <f t="shared" si="145"/>
        <v>-95980.645812313131</v>
      </c>
    </row>
    <row r="132" spans="1:9" hidden="1" outlineLevel="1">
      <c r="A132" s="753"/>
      <c r="B132" s="7" t="s">
        <v>30</v>
      </c>
      <c r="C132" s="260">
        <v>9</v>
      </c>
      <c r="D132" s="286">
        <f t="shared" si="140"/>
        <v>0</v>
      </c>
      <c r="E132" s="286">
        <f t="shared" si="141"/>
        <v>0</v>
      </c>
      <c r="F132" s="286">
        <f t="shared" si="142"/>
        <v>-10826.299558774956</v>
      </c>
      <c r="G132" s="286">
        <f t="shared" si="143"/>
        <v>-17628.654403419383</v>
      </c>
      <c r="H132" s="286">
        <f t="shared" si="144"/>
        <v>-41816.416865494073</v>
      </c>
      <c r="I132" s="286">
        <f t="shared" si="145"/>
        <v>-79060.14310950863</v>
      </c>
    </row>
    <row r="133" spans="1:9" hidden="1" outlineLevel="1">
      <c r="A133" s="753"/>
      <c r="B133" s="7" t="s">
        <v>31</v>
      </c>
      <c r="C133" s="260">
        <v>10</v>
      </c>
      <c r="D133" s="286">
        <f t="shared" si="140"/>
        <v>0</v>
      </c>
      <c r="E133" s="286">
        <f t="shared" si="141"/>
        <v>0</v>
      </c>
      <c r="F133" s="286">
        <f t="shared" si="142"/>
        <v>-8452.3654891528404</v>
      </c>
      <c r="G133" s="286">
        <f t="shared" si="143"/>
        <v>-13746.761983202223</v>
      </c>
      <c r="H133" s="286">
        <f t="shared" si="144"/>
        <v>-32344.360872342353</v>
      </c>
      <c r="I133" s="286">
        <f t="shared" si="145"/>
        <v>-61071.421238042465</v>
      </c>
    </row>
    <row r="134" spans="1:9" hidden="1" outlineLevel="1">
      <c r="A134" s="753" t="s">
        <v>32</v>
      </c>
      <c r="B134" s="7" t="s">
        <v>33</v>
      </c>
      <c r="C134" s="260">
        <v>11</v>
      </c>
      <c r="D134" s="286">
        <f t="shared" si="140"/>
        <v>0</v>
      </c>
      <c r="E134" s="286">
        <f t="shared" si="141"/>
        <v>0</v>
      </c>
      <c r="F134" s="286">
        <f t="shared" si="142"/>
        <v>-5869.2319082473887</v>
      </c>
      <c r="G134" s="286">
        <f t="shared" si="143"/>
        <v>-9533.9018218559904</v>
      </c>
      <c r="H134" s="286">
        <f t="shared" si="144"/>
        <v>-22245.697814516749</v>
      </c>
      <c r="I134" s="286">
        <f t="shared" si="145"/>
        <v>-41947.041764651847</v>
      </c>
    </row>
    <row r="135" spans="1:9" hidden="1" outlineLevel="1">
      <c r="A135" s="753"/>
      <c r="B135" s="7" t="s">
        <v>34</v>
      </c>
      <c r="C135" s="260">
        <v>12</v>
      </c>
      <c r="D135" s="286">
        <f t="shared" si="140"/>
        <v>0</v>
      </c>
      <c r="E135" s="286">
        <f t="shared" si="141"/>
        <v>0</v>
      </c>
      <c r="F135" s="286">
        <f t="shared" si="142"/>
        <v>-3058.4634112673612</v>
      </c>
      <c r="G135" s="286">
        <f t="shared" si="143"/>
        <v>-4961.8558149588343</v>
      </c>
      <c r="H135" s="286">
        <f t="shared" si="144"/>
        <v>-11478.975612998405</v>
      </c>
      <c r="I135" s="286">
        <f t="shared" si="145"/>
        <v>-21615.308756850605</v>
      </c>
    </row>
    <row r="136" spans="1:9" hidden="1" outlineLevel="1">
      <c r="A136" s="753"/>
      <c r="B136" s="566" t="s">
        <v>22</v>
      </c>
      <c r="C136" s="260">
        <v>13</v>
      </c>
      <c r="D136" s="286">
        <f t="shared" si="140"/>
        <v>0</v>
      </c>
      <c r="E136" s="286">
        <f t="shared" si="141"/>
        <v>0</v>
      </c>
      <c r="F136" s="286">
        <f t="shared" si="142"/>
        <v>0</v>
      </c>
      <c r="G136" s="286">
        <f t="shared" si="143"/>
        <v>0</v>
      </c>
      <c r="H136" s="286">
        <f t="shared" si="144"/>
        <v>0</v>
      </c>
      <c r="I136" s="286">
        <f t="shared" si="145"/>
        <v>0</v>
      </c>
    </row>
    <row r="137" spans="1:9" hidden="1" outlineLevel="1">
      <c r="A137" s="753"/>
      <c r="B137" s="566" t="s">
        <v>23</v>
      </c>
      <c r="C137" s="260">
        <v>14</v>
      </c>
      <c r="D137" s="286">
        <f t="shared" si="140"/>
        <v>0</v>
      </c>
      <c r="E137" s="286">
        <f t="shared" si="141"/>
        <v>0</v>
      </c>
      <c r="F137" s="286">
        <f t="shared" si="142"/>
        <v>0</v>
      </c>
      <c r="G137" s="286">
        <f t="shared" si="143"/>
        <v>0</v>
      </c>
      <c r="H137" s="286">
        <f t="shared" si="144"/>
        <v>0</v>
      </c>
      <c r="I137" s="286">
        <f t="shared" si="145"/>
        <v>0</v>
      </c>
    </row>
    <row r="138" spans="1:9" hidden="1" outlineLevel="1">
      <c r="A138" s="753"/>
      <c r="B138" s="566" t="s">
        <v>24</v>
      </c>
      <c r="C138" s="260">
        <v>15</v>
      </c>
      <c r="D138" s="286">
        <f t="shared" si="140"/>
        <v>0</v>
      </c>
      <c r="E138" s="286">
        <f t="shared" si="141"/>
        <v>0</v>
      </c>
      <c r="F138" s="286">
        <f t="shared" si="142"/>
        <v>0</v>
      </c>
      <c r="G138" s="286">
        <f t="shared" si="143"/>
        <v>0</v>
      </c>
      <c r="H138" s="286">
        <f t="shared" si="144"/>
        <v>0</v>
      </c>
      <c r="I138" s="286">
        <f t="shared" si="145"/>
        <v>0</v>
      </c>
    </row>
    <row r="139" spans="1:9" hidden="1" outlineLevel="1">
      <c r="A139" s="753"/>
      <c r="B139" s="566" t="s">
        <v>25</v>
      </c>
      <c r="C139" s="260">
        <v>16</v>
      </c>
      <c r="D139" s="286">
        <f t="shared" si="140"/>
        <v>0</v>
      </c>
      <c r="E139" s="286">
        <f t="shared" si="141"/>
        <v>0</v>
      </c>
      <c r="F139" s="286">
        <f t="shared" si="142"/>
        <v>0</v>
      </c>
      <c r="G139" s="286">
        <f t="shared" si="143"/>
        <v>0</v>
      </c>
      <c r="H139" s="286">
        <f t="shared" si="144"/>
        <v>0</v>
      </c>
      <c r="I139" s="286">
        <f t="shared" si="145"/>
        <v>0</v>
      </c>
    </row>
    <row r="140" spans="1:9" hidden="1" outlineLevel="1">
      <c r="A140" s="753"/>
      <c r="B140" s="566" t="s">
        <v>26</v>
      </c>
      <c r="C140" s="260">
        <v>17</v>
      </c>
      <c r="D140" s="286">
        <f t="shared" si="140"/>
        <v>0</v>
      </c>
      <c r="E140" s="286">
        <f t="shared" si="141"/>
        <v>0</v>
      </c>
      <c r="F140" s="286">
        <f t="shared" si="142"/>
        <v>0</v>
      </c>
      <c r="G140" s="286">
        <f t="shared" si="143"/>
        <v>0</v>
      </c>
      <c r="H140" s="286">
        <f t="shared" si="144"/>
        <v>0</v>
      </c>
      <c r="I140" s="286">
        <f t="shared" si="145"/>
        <v>0</v>
      </c>
    </row>
    <row r="141" spans="1:9" hidden="1" outlineLevel="1">
      <c r="A141" s="753"/>
      <c r="B141" s="566" t="s">
        <v>27</v>
      </c>
      <c r="C141" s="260">
        <v>18</v>
      </c>
      <c r="D141" s="286">
        <f t="shared" si="140"/>
        <v>0</v>
      </c>
      <c r="E141" s="286">
        <f t="shared" si="141"/>
        <v>0</v>
      </c>
      <c r="F141" s="286">
        <f t="shared" si="142"/>
        <v>0</v>
      </c>
      <c r="G141" s="286">
        <f t="shared" si="143"/>
        <v>0</v>
      </c>
      <c r="H141" s="286">
        <f t="shared" si="144"/>
        <v>0</v>
      </c>
      <c r="I141" s="286">
        <f t="shared" si="145"/>
        <v>0</v>
      </c>
    </row>
    <row r="142" spans="1:9" hidden="1" outlineLevel="1">
      <c r="A142" s="753"/>
      <c r="B142" s="7" t="s">
        <v>28</v>
      </c>
      <c r="C142" s="260">
        <v>19</v>
      </c>
      <c r="D142" s="286">
        <f t="shared" si="140"/>
        <v>0</v>
      </c>
      <c r="E142" s="286">
        <f t="shared" si="141"/>
        <v>0</v>
      </c>
      <c r="F142" s="286">
        <f t="shared" si="142"/>
        <v>0</v>
      </c>
      <c r="G142" s="286">
        <f t="shared" si="143"/>
        <v>0</v>
      </c>
      <c r="H142" s="286">
        <f t="shared" si="144"/>
        <v>0</v>
      </c>
      <c r="I142" s="286">
        <f t="shared" si="145"/>
        <v>0</v>
      </c>
    </row>
    <row r="143" spans="1:9" hidden="1" outlineLevel="1">
      <c r="A143" s="753"/>
      <c r="B143" s="7" t="s">
        <v>29</v>
      </c>
      <c r="C143" s="260">
        <v>20</v>
      </c>
      <c r="D143" s="286">
        <f t="shared" si="140"/>
        <v>0</v>
      </c>
      <c r="E143" s="286">
        <f t="shared" si="141"/>
        <v>0</v>
      </c>
      <c r="F143" s="286">
        <f t="shared" si="142"/>
        <v>0</v>
      </c>
      <c r="G143" s="286">
        <f t="shared" si="143"/>
        <v>0</v>
      </c>
      <c r="H143" s="286">
        <f t="shared" si="144"/>
        <v>0</v>
      </c>
      <c r="I143" s="286">
        <f t="shared" si="145"/>
        <v>0</v>
      </c>
    </row>
    <row r="144" spans="1:9" hidden="1" outlineLevel="1">
      <c r="A144" s="753"/>
      <c r="B144" s="7" t="s">
        <v>30</v>
      </c>
      <c r="C144" s="260">
        <v>21</v>
      </c>
      <c r="D144" s="286">
        <f t="shared" si="140"/>
        <v>0</v>
      </c>
      <c r="E144" s="286">
        <f t="shared" si="141"/>
        <v>0</v>
      </c>
      <c r="F144" s="286">
        <f t="shared" si="142"/>
        <v>0</v>
      </c>
      <c r="G144" s="286">
        <f t="shared" si="143"/>
        <v>0</v>
      </c>
      <c r="H144" s="286">
        <f t="shared" si="144"/>
        <v>0</v>
      </c>
      <c r="I144" s="286">
        <f t="shared" si="145"/>
        <v>0</v>
      </c>
    </row>
    <row r="145" spans="1:9" hidden="1" outlineLevel="1">
      <c r="A145" s="753"/>
      <c r="B145" s="7" t="s">
        <v>31</v>
      </c>
      <c r="C145" s="260">
        <v>22</v>
      </c>
      <c r="D145" s="286">
        <f t="shared" si="140"/>
        <v>0</v>
      </c>
      <c r="E145" s="286">
        <f t="shared" si="141"/>
        <v>0</v>
      </c>
      <c r="F145" s="286">
        <f t="shared" si="142"/>
        <v>0</v>
      </c>
      <c r="G145" s="286">
        <f t="shared" si="143"/>
        <v>0</v>
      </c>
      <c r="H145" s="286">
        <f t="shared" si="144"/>
        <v>0</v>
      </c>
      <c r="I145" s="286">
        <f t="shared" si="145"/>
        <v>0</v>
      </c>
    </row>
    <row r="146" spans="1:9" hidden="1" outlineLevel="1">
      <c r="A146" s="753"/>
      <c r="B146" s="7" t="s">
        <v>33</v>
      </c>
      <c r="C146" s="260">
        <v>23</v>
      </c>
      <c r="D146" s="286">
        <f t="shared" si="140"/>
        <v>0</v>
      </c>
      <c r="E146" s="286">
        <f t="shared" si="141"/>
        <v>0</v>
      </c>
      <c r="F146" s="286">
        <f t="shared" si="142"/>
        <v>0</v>
      </c>
      <c r="G146" s="286">
        <f t="shared" si="143"/>
        <v>0</v>
      </c>
      <c r="H146" s="286">
        <f t="shared" si="144"/>
        <v>0</v>
      </c>
      <c r="I146" s="286">
        <f t="shared" si="145"/>
        <v>0</v>
      </c>
    </row>
    <row r="147" spans="1:9" hidden="1" outlineLevel="1">
      <c r="A147" s="753"/>
      <c r="B147" s="7" t="s">
        <v>34</v>
      </c>
      <c r="C147" s="260">
        <v>24</v>
      </c>
      <c r="D147" s="286">
        <f t="shared" si="140"/>
        <v>0</v>
      </c>
      <c r="E147" s="286">
        <f t="shared" si="141"/>
        <v>0</v>
      </c>
      <c r="F147" s="286">
        <f t="shared" si="142"/>
        <v>0</v>
      </c>
      <c r="G147" s="286">
        <f t="shared" si="143"/>
        <v>0</v>
      </c>
      <c r="H147" s="286">
        <f t="shared" si="144"/>
        <v>0</v>
      </c>
      <c r="I147" s="286">
        <f t="shared" si="145"/>
        <v>0</v>
      </c>
    </row>
    <row r="148" spans="1:9" collapsed="1">
      <c r="A148" s="260"/>
      <c r="B148" s="260"/>
      <c r="C148" s="260"/>
      <c r="D148" s="260"/>
      <c r="E148" s="260"/>
      <c r="F148" s="260"/>
      <c r="G148" s="260"/>
      <c r="H148" s="260"/>
      <c r="I148" s="260"/>
    </row>
    <row r="149" spans="1:9" ht="12.5" hidden="1" customHeight="1">
      <c r="A149" s="260"/>
      <c r="B149" s="8" t="s">
        <v>42</v>
      </c>
      <c r="C149" s="8"/>
      <c r="D149" s="260"/>
      <c r="E149" s="260"/>
      <c r="F149" s="260"/>
      <c r="G149" s="260"/>
      <c r="H149" s="260"/>
      <c r="I149" s="260"/>
    </row>
    <row r="150" spans="1:9" ht="15" hidden="1" customHeight="1">
      <c r="A150" s="260"/>
      <c r="B150" s="260" t="s">
        <v>43</v>
      </c>
      <c r="C150" s="17">
        <v>6.4500000000000002E-2</v>
      </c>
      <c r="D150" s="17">
        <v>6.4500000000000002E-2</v>
      </c>
      <c r="E150" s="17">
        <v>6.4500000000000002E-2</v>
      </c>
      <c r="F150" s="17">
        <v>6.4500000000000002E-2</v>
      </c>
      <c r="G150" s="17">
        <v>6.4500000000000002E-2</v>
      </c>
      <c r="H150" s="17">
        <v>6.4500000000000002E-2</v>
      </c>
      <c r="I150" s="17">
        <v>1.0645</v>
      </c>
    </row>
    <row r="151" spans="1:9" ht="13.5" hidden="1" customHeight="1">
      <c r="A151" s="260"/>
      <c r="B151" s="260" t="s">
        <v>40</v>
      </c>
      <c r="C151" s="18">
        <v>7.9</v>
      </c>
      <c r="D151" s="18">
        <v>7.9</v>
      </c>
      <c r="E151" s="18">
        <v>7.9</v>
      </c>
      <c r="F151" s="18">
        <v>7.9</v>
      </c>
      <c r="G151" s="18">
        <v>7.9</v>
      </c>
      <c r="H151" s="18">
        <v>7.9</v>
      </c>
      <c r="I151" s="18">
        <v>8.9</v>
      </c>
    </row>
    <row r="152" spans="1:9" ht="12.5" hidden="1" customHeight="1">
      <c r="A152" s="260"/>
      <c r="B152" s="260" t="s">
        <v>41</v>
      </c>
      <c r="C152" s="260"/>
      <c r="D152" s="287" t="e">
        <f>#REF!+D19</f>
        <v>#REF!</v>
      </c>
      <c r="E152" s="287" t="e">
        <f>#REF!+E19</f>
        <v>#REF!</v>
      </c>
      <c r="F152" s="287" t="e">
        <f>#REF!+F19</f>
        <v>#REF!</v>
      </c>
      <c r="G152" s="287" t="e">
        <f>#REF!+G19</f>
        <v>#REF!</v>
      </c>
      <c r="H152" s="287" t="e">
        <f>#REF!+H19</f>
        <v>#REF!</v>
      </c>
      <c r="I152" s="287" t="e">
        <f>#REF!+I19</f>
        <v>#REF!</v>
      </c>
    </row>
    <row r="153" spans="1:9" hidden="1" outlineLevel="1">
      <c r="A153" s="753">
        <v>2016</v>
      </c>
      <c r="B153" s="7" t="s">
        <v>22</v>
      </c>
      <c r="C153" s="260">
        <v>1</v>
      </c>
      <c r="D153" s="286">
        <f t="shared" ref="D153:I168" si="146">IFERROR(IPMT(D$150,$C153,D$151,D$152),0)</f>
        <v>0</v>
      </c>
      <c r="E153" s="286">
        <f t="shared" si="146"/>
        <v>0</v>
      </c>
      <c r="F153" s="286">
        <f t="shared" si="146"/>
        <v>0</v>
      </c>
      <c r="G153" s="286">
        <f t="shared" si="146"/>
        <v>0</v>
      </c>
      <c r="H153" s="286">
        <f t="shared" si="146"/>
        <v>0</v>
      </c>
      <c r="I153" s="286">
        <f t="shared" si="146"/>
        <v>0</v>
      </c>
    </row>
    <row r="154" spans="1:9" hidden="1" outlineLevel="1">
      <c r="A154" s="753"/>
      <c r="B154" s="7" t="s">
        <v>23</v>
      </c>
      <c r="C154" s="260">
        <v>2</v>
      </c>
      <c r="D154" s="286">
        <f t="shared" si="146"/>
        <v>0</v>
      </c>
      <c r="E154" s="286">
        <f t="shared" si="146"/>
        <v>0</v>
      </c>
      <c r="F154" s="286">
        <f t="shared" si="146"/>
        <v>0</v>
      </c>
      <c r="G154" s="286">
        <f t="shared" si="146"/>
        <v>0</v>
      </c>
      <c r="H154" s="286">
        <f t="shared" si="146"/>
        <v>0</v>
      </c>
      <c r="I154" s="286">
        <f t="shared" si="146"/>
        <v>0</v>
      </c>
    </row>
    <row r="155" spans="1:9" hidden="1" outlineLevel="1">
      <c r="A155" s="753"/>
      <c r="B155" s="7" t="s">
        <v>24</v>
      </c>
      <c r="C155" s="260">
        <v>3</v>
      </c>
      <c r="D155" s="286">
        <f t="shared" si="146"/>
        <v>0</v>
      </c>
      <c r="E155" s="286">
        <f t="shared" si="146"/>
        <v>0</v>
      </c>
      <c r="F155" s="286">
        <f t="shared" si="146"/>
        <v>0</v>
      </c>
      <c r="G155" s="286">
        <f t="shared" si="146"/>
        <v>0</v>
      </c>
      <c r="H155" s="286">
        <f t="shared" si="146"/>
        <v>0</v>
      </c>
      <c r="I155" s="286">
        <f t="shared" si="146"/>
        <v>0</v>
      </c>
    </row>
    <row r="156" spans="1:9" hidden="1" outlineLevel="1">
      <c r="A156" s="753"/>
      <c r="B156" s="7" t="s">
        <v>25</v>
      </c>
      <c r="C156" s="260">
        <v>4</v>
      </c>
      <c r="D156" s="286">
        <f t="shared" si="146"/>
        <v>0</v>
      </c>
      <c r="E156" s="286">
        <f t="shared" si="146"/>
        <v>0</v>
      </c>
      <c r="F156" s="286">
        <f t="shared" si="146"/>
        <v>0</v>
      </c>
      <c r="G156" s="286">
        <f t="shared" si="146"/>
        <v>0</v>
      </c>
      <c r="H156" s="286">
        <f t="shared" si="146"/>
        <v>0</v>
      </c>
      <c r="I156" s="286">
        <f t="shared" si="146"/>
        <v>0</v>
      </c>
    </row>
    <row r="157" spans="1:9" hidden="1" outlineLevel="1">
      <c r="A157" s="753"/>
      <c r="B157" s="7" t="s">
        <v>26</v>
      </c>
      <c r="C157" s="260">
        <v>5</v>
      </c>
      <c r="D157" s="286">
        <f t="shared" si="146"/>
        <v>0</v>
      </c>
      <c r="E157" s="286">
        <f t="shared" si="146"/>
        <v>0</v>
      </c>
      <c r="F157" s="286">
        <f t="shared" si="146"/>
        <v>0</v>
      </c>
      <c r="G157" s="286">
        <f t="shared" si="146"/>
        <v>0</v>
      </c>
      <c r="H157" s="286">
        <f t="shared" si="146"/>
        <v>0</v>
      </c>
      <c r="I157" s="286">
        <f t="shared" si="146"/>
        <v>0</v>
      </c>
    </row>
    <row r="158" spans="1:9" hidden="1" outlineLevel="1">
      <c r="A158" s="753"/>
      <c r="B158" s="7" t="s">
        <v>27</v>
      </c>
      <c r="C158" s="260">
        <v>6</v>
      </c>
      <c r="D158" s="286">
        <f t="shared" si="146"/>
        <v>0</v>
      </c>
      <c r="E158" s="286">
        <f t="shared" si="146"/>
        <v>0</v>
      </c>
      <c r="F158" s="286">
        <f t="shared" si="146"/>
        <v>0</v>
      </c>
      <c r="G158" s="286">
        <f t="shared" si="146"/>
        <v>0</v>
      </c>
      <c r="H158" s="286">
        <f t="shared" si="146"/>
        <v>0</v>
      </c>
      <c r="I158" s="286">
        <f t="shared" si="146"/>
        <v>0</v>
      </c>
    </row>
    <row r="159" spans="1:9" hidden="1" outlineLevel="1">
      <c r="A159" s="753"/>
      <c r="B159" s="7" t="s">
        <v>28</v>
      </c>
      <c r="C159" s="260">
        <v>7</v>
      </c>
      <c r="D159" s="286">
        <f t="shared" si="146"/>
        <v>0</v>
      </c>
      <c r="E159" s="286">
        <f t="shared" si="146"/>
        <v>0</v>
      </c>
      <c r="F159" s="286">
        <f t="shared" si="146"/>
        <v>0</v>
      </c>
      <c r="G159" s="286">
        <f t="shared" si="146"/>
        <v>0</v>
      </c>
      <c r="H159" s="286">
        <f t="shared" si="146"/>
        <v>0</v>
      </c>
      <c r="I159" s="286">
        <f t="shared" si="146"/>
        <v>0</v>
      </c>
    </row>
    <row r="160" spans="1:9" hidden="1" outlineLevel="1">
      <c r="A160" s="753"/>
      <c r="B160" s="7" t="s">
        <v>29</v>
      </c>
      <c r="C160" s="260">
        <v>8</v>
      </c>
      <c r="D160" s="286">
        <f t="shared" si="146"/>
        <v>0</v>
      </c>
      <c r="E160" s="286">
        <f t="shared" si="146"/>
        <v>0</v>
      </c>
      <c r="F160" s="286">
        <f t="shared" si="146"/>
        <v>0</v>
      </c>
      <c r="G160" s="286">
        <f t="shared" si="146"/>
        <v>0</v>
      </c>
      <c r="H160" s="286">
        <f t="shared" si="146"/>
        <v>0</v>
      </c>
      <c r="I160" s="286">
        <f t="shared" si="146"/>
        <v>0</v>
      </c>
    </row>
    <row r="161" spans="1:10" hidden="1" outlineLevel="1">
      <c r="A161" s="753"/>
      <c r="B161" s="7" t="s">
        <v>30</v>
      </c>
      <c r="C161" s="260">
        <v>9</v>
      </c>
      <c r="D161" s="286">
        <f t="shared" si="146"/>
        <v>0</v>
      </c>
      <c r="E161" s="286">
        <f t="shared" si="146"/>
        <v>0</v>
      </c>
      <c r="F161" s="286">
        <f t="shared" si="146"/>
        <v>0</v>
      </c>
      <c r="G161" s="286">
        <f t="shared" si="146"/>
        <v>0</v>
      </c>
      <c r="H161" s="286">
        <f t="shared" si="146"/>
        <v>0</v>
      </c>
      <c r="I161" s="286">
        <f t="shared" si="146"/>
        <v>0</v>
      </c>
    </row>
    <row r="162" spans="1:10" hidden="1" outlineLevel="1">
      <c r="A162" s="753"/>
      <c r="B162" s="7" t="s">
        <v>31</v>
      </c>
      <c r="C162" s="260">
        <v>10</v>
      </c>
      <c r="D162" s="286">
        <f t="shared" si="146"/>
        <v>0</v>
      </c>
      <c r="E162" s="286">
        <f t="shared" si="146"/>
        <v>0</v>
      </c>
      <c r="F162" s="286">
        <f t="shared" si="146"/>
        <v>0</v>
      </c>
      <c r="G162" s="286">
        <f t="shared" si="146"/>
        <v>0</v>
      </c>
      <c r="H162" s="286">
        <f t="shared" si="146"/>
        <v>0</v>
      </c>
      <c r="I162" s="286">
        <f t="shared" si="146"/>
        <v>0</v>
      </c>
    </row>
    <row r="163" spans="1:10" hidden="1" outlineLevel="1">
      <c r="A163" s="753">
        <v>2017</v>
      </c>
      <c r="B163" s="7" t="s">
        <v>33</v>
      </c>
      <c r="C163" s="260">
        <v>11</v>
      </c>
      <c r="D163" s="286">
        <f t="shared" si="146"/>
        <v>0</v>
      </c>
      <c r="E163" s="286">
        <f t="shared" si="146"/>
        <v>0</v>
      </c>
      <c r="F163" s="286">
        <f t="shared" si="146"/>
        <v>0</v>
      </c>
      <c r="G163" s="286">
        <f t="shared" si="146"/>
        <v>0</v>
      </c>
      <c r="H163" s="286">
        <f t="shared" si="146"/>
        <v>0</v>
      </c>
      <c r="I163" s="286">
        <f t="shared" si="146"/>
        <v>0</v>
      </c>
    </row>
    <row r="164" spans="1:10" hidden="1" outlineLevel="1">
      <c r="A164" s="753"/>
      <c r="B164" s="7" t="s">
        <v>34</v>
      </c>
      <c r="C164" s="260">
        <v>12</v>
      </c>
      <c r="D164" s="286">
        <f t="shared" si="146"/>
        <v>0</v>
      </c>
      <c r="E164" s="286">
        <f t="shared" si="146"/>
        <v>0</v>
      </c>
      <c r="F164" s="286">
        <f t="shared" si="146"/>
        <v>0</v>
      </c>
      <c r="G164" s="286">
        <f t="shared" si="146"/>
        <v>0</v>
      </c>
      <c r="H164" s="286">
        <f t="shared" si="146"/>
        <v>0</v>
      </c>
      <c r="I164" s="286">
        <f t="shared" si="146"/>
        <v>0</v>
      </c>
    </row>
    <row r="165" spans="1:10" hidden="1" outlineLevel="1">
      <c r="A165" s="753"/>
      <c r="B165" s="7" t="s">
        <v>22</v>
      </c>
      <c r="C165" s="260">
        <v>13</v>
      </c>
      <c r="D165" s="286">
        <f t="shared" si="146"/>
        <v>0</v>
      </c>
      <c r="E165" s="286">
        <f t="shared" si="146"/>
        <v>0</v>
      </c>
      <c r="F165" s="286">
        <f t="shared" si="146"/>
        <v>0</v>
      </c>
      <c r="G165" s="286">
        <f t="shared" si="146"/>
        <v>0</v>
      </c>
      <c r="H165" s="286">
        <f t="shared" si="146"/>
        <v>0</v>
      </c>
      <c r="I165" s="286">
        <f t="shared" si="146"/>
        <v>0</v>
      </c>
    </row>
    <row r="166" spans="1:10" hidden="1" outlineLevel="1">
      <c r="A166" s="753"/>
      <c r="B166" s="7" t="s">
        <v>23</v>
      </c>
      <c r="C166" s="260">
        <v>14</v>
      </c>
      <c r="D166" s="286">
        <f t="shared" si="146"/>
        <v>0</v>
      </c>
      <c r="E166" s="286">
        <f t="shared" si="146"/>
        <v>0</v>
      </c>
      <c r="F166" s="286">
        <f t="shared" si="146"/>
        <v>0</v>
      </c>
      <c r="G166" s="286">
        <f t="shared" si="146"/>
        <v>0</v>
      </c>
      <c r="H166" s="286">
        <f t="shared" si="146"/>
        <v>0</v>
      </c>
      <c r="I166" s="286">
        <f t="shared" si="146"/>
        <v>0</v>
      </c>
    </row>
    <row r="167" spans="1:10" hidden="1" outlineLevel="1">
      <c r="A167" s="753"/>
      <c r="B167" s="7" t="s">
        <v>24</v>
      </c>
      <c r="C167" s="260">
        <v>15</v>
      </c>
      <c r="D167" s="286">
        <f t="shared" si="146"/>
        <v>0</v>
      </c>
      <c r="E167" s="286">
        <f t="shared" si="146"/>
        <v>0</v>
      </c>
      <c r="F167" s="286">
        <f t="shared" si="146"/>
        <v>0</v>
      </c>
      <c r="G167" s="286">
        <f t="shared" si="146"/>
        <v>0</v>
      </c>
      <c r="H167" s="286">
        <f t="shared" si="146"/>
        <v>0</v>
      </c>
      <c r="I167" s="286">
        <f t="shared" si="146"/>
        <v>0</v>
      </c>
    </row>
    <row r="168" spans="1:10" hidden="1" outlineLevel="1">
      <c r="A168" s="753"/>
      <c r="B168" s="7" t="s">
        <v>25</v>
      </c>
      <c r="C168" s="260">
        <v>16</v>
      </c>
      <c r="D168" s="286">
        <f t="shared" si="146"/>
        <v>0</v>
      </c>
      <c r="E168" s="286">
        <f t="shared" si="146"/>
        <v>0</v>
      </c>
      <c r="F168" s="286">
        <f t="shared" si="146"/>
        <v>0</v>
      </c>
      <c r="G168" s="286">
        <f t="shared" si="146"/>
        <v>0</v>
      </c>
      <c r="H168" s="286">
        <f t="shared" si="146"/>
        <v>0</v>
      </c>
      <c r="I168" s="286">
        <f t="shared" si="146"/>
        <v>0</v>
      </c>
    </row>
    <row r="169" spans="1:10" hidden="1" outlineLevel="1">
      <c r="A169" s="753"/>
      <c r="B169" s="7" t="s">
        <v>26</v>
      </c>
      <c r="C169" s="260">
        <v>17</v>
      </c>
      <c r="D169" s="286">
        <f t="shared" ref="D169:I170" si="147">IFERROR(IPMT(D$150,$C169,D$151,D$152),0)</f>
        <v>0</v>
      </c>
      <c r="E169" s="286">
        <f t="shared" si="147"/>
        <v>0</v>
      </c>
      <c r="F169" s="286">
        <f t="shared" si="147"/>
        <v>0</v>
      </c>
      <c r="G169" s="286">
        <f t="shared" si="147"/>
        <v>0</v>
      </c>
      <c r="H169" s="286">
        <f t="shared" si="147"/>
        <v>0</v>
      </c>
      <c r="I169" s="286">
        <f t="shared" si="147"/>
        <v>0</v>
      </c>
    </row>
    <row r="170" spans="1:10" hidden="1" outlineLevel="1">
      <c r="A170" s="753"/>
      <c r="B170" s="7" t="s">
        <v>27</v>
      </c>
      <c r="C170" s="260">
        <v>18</v>
      </c>
      <c r="D170" s="286">
        <f t="shared" si="147"/>
        <v>0</v>
      </c>
      <c r="E170" s="286">
        <f t="shared" si="147"/>
        <v>0</v>
      </c>
      <c r="F170" s="286">
        <f t="shared" si="147"/>
        <v>0</v>
      </c>
      <c r="G170" s="286">
        <f t="shared" si="147"/>
        <v>0</v>
      </c>
      <c r="H170" s="286">
        <f t="shared" si="147"/>
        <v>0</v>
      </c>
      <c r="I170" s="286">
        <f t="shared" si="147"/>
        <v>0</v>
      </c>
    </row>
    <row r="171" spans="1:10" collapsed="1">
      <c r="A171" s="260"/>
      <c r="B171" s="260"/>
      <c r="C171" s="260"/>
      <c r="D171" s="260"/>
      <c r="E171" s="260"/>
      <c r="F171" s="260"/>
      <c r="G171" s="260"/>
      <c r="H171" s="260"/>
      <c r="I171" s="260"/>
    </row>
    <row r="172" spans="1:10">
      <c r="A172" s="260"/>
      <c r="B172" s="288"/>
      <c r="C172" s="288"/>
      <c r="D172" s="288"/>
      <c r="E172" s="288"/>
      <c r="F172" s="288"/>
      <c r="G172" s="288"/>
      <c r="H172" s="288"/>
      <c r="I172" s="288"/>
    </row>
    <row r="173" spans="1:10">
      <c r="A173" s="260"/>
      <c r="B173" s="567" t="s">
        <v>44</v>
      </c>
      <c r="C173" s="273"/>
      <c r="D173" s="273"/>
      <c r="E173" s="273"/>
      <c r="F173" s="260"/>
      <c r="G173" s="260"/>
      <c r="H173" s="260"/>
      <c r="I173" s="260"/>
    </row>
    <row r="174" spans="1:10">
      <c r="A174" s="260"/>
      <c r="B174" s="273" t="s">
        <v>45</v>
      </c>
      <c r="C174" s="273"/>
      <c r="D174" s="290">
        <f t="shared" ref="D174:I174" si="148">(-PMT(D5,D7,D12,0))*D7-D12</f>
        <v>1799.9999999999982</v>
      </c>
      <c r="E174" s="290">
        <f t="shared" si="148"/>
        <v>5999.9999999999927</v>
      </c>
      <c r="F174" s="277">
        <f t="shared" si="148"/>
        <v>180180.00000000122</v>
      </c>
      <c r="G174" s="277">
        <f t="shared" si="148"/>
        <v>294639.23637467</v>
      </c>
      <c r="H174" s="277">
        <f t="shared" si="148"/>
        <v>720000.00000001164</v>
      </c>
      <c r="I174" s="277">
        <f t="shared" si="148"/>
        <v>1368000.0000001136</v>
      </c>
    </row>
    <row r="175" spans="1:10">
      <c r="A175" s="260"/>
      <c r="B175" s="273" t="s">
        <v>12</v>
      </c>
      <c r="C175" s="273"/>
      <c r="D175" s="290">
        <f>-D9*(D14)-(D9*D174)</f>
        <v>-1186.3799999999997</v>
      </c>
      <c r="E175" s="290">
        <f>-E9*(E14)-(E9*E174)</f>
        <v>-3954.5999999999995</v>
      </c>
      <c r="F175" s="277">
        <f t="shared" ref="F175:I175" si="149">-F9*(F14)</f>
        <v>-16502.850000000002</v>
      </c>
      <c r="G175" s="277">
        <f t="shared" si="149"/>
        <v>-25896.750492676794</v>
      </c>
      <c r="H175" s="277">
        <f t="shared" si="149"/>
        <v>-53625.000000000007</v>
      </c>
      <c r="I175" s="277">
        <f t="shared" si="149"/>
        <v>-97500</v>
      </c>
      <c r="J175" s="487"/>
    </row>
    <row r="176" spans="1:10">
      <c r="A176" s="260"/>
      <c r="B176" s="23" t="s">
        <v>46</v>
      </c>
      <c r="C176" s="23"/>
      <c r="D176" s="20">
        <f t="shared" ref="D176:I176" si="150">SUM(D174:D175)</f>
        <v>613.61999999999853</v>
      </c>
      <c r="E176" s="20">
        <f t="shared" si="150"/>
        <v>2045.3999999999933</v>
      </c>
      <c r="F176" s="20">
        <f t="shared" si="150"/>
        <v>163677.15000000122</v>
      </c>
      <c r="G176" s="20">
        <f t="shared" si="150"/>
        <v>268742.4858819932</v>
      </c>
      <c r="H176" s="20">
        <f t="shared" si="150"/>
        <v>666375.00000001164</v>
      </c>
      <c r="I176" s="20">
        <f t="shared" si="150"/>
        <v>1270500.0000001136</v>
      </c>
    </row>
    <row r="177" spans="1:12" ht="4" customHeight="1">
      <c r="A177" s="260"/>
      <c r="B177" s="2"/>
      <c r="C177" s="2"/>
      <c r="D177" s="21"/>
      <c r="E177" s="21"/>
      <c r="F177" s="21"/>
      <c r="G177" s="21"/>
      <c r="H177" s="21"/>
      <c r="I177" s="21"/>
    </row>
    <row r="178" spans="1:12">
      <c r="A178" s="260"/>
      <c r="B178" s="2" t="s">
        <v>413</v>
      </c>
      <c r="C178" s="2"/>
      <c r="D178" s="21"/>
      <c r="E178" s="21"/>
      <c r="F178" s="21"/>
      <c r="G178" s="21"/>
      <c r="H178" s="21"/>
      <c r="I178" s="21"/>
      <c r="J178" s="489"/>
    </row>
    <row r="179" spans="1:12">
      <c r="A179" s="260"/>
      <c r="B179" s="260" t="s">
        <v>37</v>
      </c>
      <c r="C179" s="260"/>
      <c r="D179" s="277">
        <f t="shared" ref="D179:I179" si="151">-D119</f>
        <v>-67.500000000000014</v>
      </c>
      <c r="E179" s="277">
        <f t="shared" si="151"/>
        <v>-225.00000000000003</v>
      </c>
      <c r="F179" s="277">
        <f t="shared" si="151"/>
        <v>-23002.07910599935</v>
      </c>
      <c r="G179" s="277">
        <f t="shared" si="151"/>
        <v>-38877.732956375359</v>
      </c>
      <c r="H179" s="277">
        <f t="shared" si="151"/>
        <v>-122443.00754007859</v>
      </c>
      <c r="I179" s="277">
        <f t="shared" si="151"/>
        <v>-243776.31878899867</v>
      </c>
      <c r="J179" s="507"/>
    </row>
    <row r="180" spans="1:12">
      <c r="A180" s="260"/>
      <c r="B180" s="2" t="s">
        <v>341</v>
      </c>
      <c r="C180" s="260"/>
      <c r="D180" s="277"/>
      <c r="E180" s="277"/>
      <c r="F180" s="277"/>
      <c r="G180" s="277"/>
      <c r="H180" s="277"/>
      <c r="I180" s="277"/>
    </row>
    <row r="181" spans="1:12">
      <c r="A181" s="260"/>
      <c r="B181" s="487" t="s">
        <v>407</v>
      </c>
      <c r="C181" s="66">
        <v>0</v>
      </c>
      <c r="D181" s="277">
        <f>-C181*D7</f>
        <v>0</v>
      </c>
      <c r="E181" s="277">
        <f>-C181*E7</f>
        <v>0</v>
      </c>
      <c r="F181" s="277">
        <f>-C181*F7</f>
        <v>0</v>
      </c>
      <c r="G181" s="277">
        <f>-C181*G7</f>
        <v>0</v>
      </c>
      <c r="H181" s="277">
        <f>-C181*H7</f>
        <v>0</v>
      </c>
      <c r="I181" s="277">
        <f>-C181*I7</f>
        <v>0</v>
      </c>
      <c r="J181" s="732"/>
    </row>
    <row r="182" spans="1:12">
      <c r="A182" s="260"/>
      <c r="B182" s="10" t="s">
        <v>48</v>
      </c>
      <c r="C182" s="66">
        <v>5.5</v>
      </c>
      <c r="D182" s="277">
        <f t="shared" ref="D182:I182" si="152">-$C182*D11</f>
        <v>-5.5</v>
      </c>
      <c r="E182" s="277">
        <f t="shared" si="152"/>
        <v>-5.5</v>
      </c>
      <c r="F182" s="277">
        <f t="shared" si="152"/>
        <v>-5.5</v>
      </c>
      <c r="G182" s="277">
        <f t="shared" si="152"/>
        <v>-5.5</v>
      </c>
      <c r="H182" s="277">
        <f t="shared" si="152"/>
        <v>-5.5</v>
      </c>
      <c r="I182" s="277">
        <f t="shared" si="152"/>
        <v>-5.5</v>
      </c>
    </row>
    <row r="183" spans="1:12">
      <c r="A183" s="260"/>
      <c r="B183" s="569" t="s">
        <v>121</v>
      </c>
      <c r="C183" s="595">
        <v>8.9999999999999993E-3</v>
      </c>
      <c r="D183" s="277">
        <f>(IF(($C183*(-SUM(D51:D74)))&gt;(1000*D7),-1000*D7,($C183*SUM(D51:D74))))*(1-D9)</f>
        <v>-59.522579999999977</v>
      </c>
      <c r="E183" s="277">
        <f>(IF(($C183*(-SUM(E51:E74)))&gt;(1000*E7),-1000*E7,($C183*SUM(E51:E74))))*(1-E9)</f>
        <v>-198.40859999999992</v>
      </c>
      <c r="F183" s="277">
        <f t="shared" ref="F183:I183" si="153">(IF(($C183*(-SUM(F51:F74)))&gt;(2000*F7),-2000*F7,($C183*SUM(F51:F74))))*(1-F9)</f>
        <v>-3832.0674210000111</v>
      </c>
      <c r="G183" s="277">
        <f t="shared" si="153"/>
        <v>-6439.8725293627658</v>
      </c>
      <c r="H183" s="277">
        <f t="shared" si="153"/>
        <v>-19265.715000000095</v>
      </c>
      <c r="I183" s="277">
        <f t="shared" si="153"/>
        <v>-23220</v>
      </c>
      <c r="J183" s="563"/>
      <c r="L183" s="573"/>
    </row>
    <row r="184" spans="1:12">
      <c r="A184" s="260"/>
      <c r="B184" s="260" t="s">
        <v>49</v>
      </c>
      <c r="C184" s="67">
        <v>0</v>
      </c>
      <c r="D184" s="277">
        <f t="shared" ref="D184:I184" si="154">-$C184*D14</f>
        <v>0</v>
      </c>
      <c r="E184" s="277">
        <f t="shared" si="154"/>
        <v>0</v>
      </c>
      <c r="F184" s="277">
        <f t="shared" si="154"/>
        <v>0</v>
      </c>
      <c r="G184" s="277">
        <f t="shared" si="154"/>
        <v>0</v>
      </c>
      <c r="H184" s="277">
        <f t="shared" si="154"/>
        <v>0</v>
      </c>
      <c r="I184" s="277">
        <f t="shared" si="154"/>
        <v>0</v>
      </c>
      <c r="J184" s="648"/>
    </row>
    <row r="185" spans="1:12">
      <c r="A185" s="273"/>
      <c r="B185" s="8" t="s">
        <v>414</v>
      </c>
      <c r="C185" s="289"/>
      <c r="D185" s="290">
        <f>SUM(D181:D184)</f>
        <v>-65.022579999999977</v>
      </c>
      <c r="E185" s="290">
        <f t="shared" ref="E185:I185" si="155">SUM(E181:E184)</f>
        <v>-203.90859999999992</v>
      </c>
      <c r="F185" s="290">
        <f t="shared" si="155"/>
        <v>-3837.5674210000111</v>
      </c>
      <c r="G185" s="290">
        <f t="shared" si="155"/>
        <v>-6445.3725293627658</v>
      </c>
      <c r="H185" s="290">
        <f t="shared" si="155"/>
        <v>-19271.215000000095</v>
      </c>
      <c r="I185" s="290">
        <f t="shared" si="155"/>
        <v>-23225.5</v>
      </c>
      <c r="J185" s="508"/>
    </row>
    <row r="186" spans="1:12">
      <c r="A186" s="260"/>
      <c r="B186" s="505" t="s">
        <v>50</v>
      </c>
      <c r="C186" s="505"/>
      <c r="D186" s="506">
        <f>D179+D185</f>
        <v>-132.52258</v>
      </c>
      <c r="E186" s="506">
        <f t="shared" ref="E186:I186" si="156">E179+E185</f>
        <v>-428.90859999999998</v>
      </c>
      <c r="F186" s="506">
        <f t="shared" si="156"/>
        <v>-26839.646526999361</v>
      </c>
      <c r="G186" s="506">
        <f t="shared" si="156"/>
        <v>-45323.105485738124</v>
      </c>
      <c r="H186" s="506">
        <f t="shared" si="156"/>
        <v>-141714.22254007868</v>
      </c>
      <c r="I186" s="506">
        <f t="shared" si="156"/>
        <v>-267001.81878899864</v>
      </c>
    </row>
    <row r="187" spans="1:12" ht="4" customHeight="1">
      <c r="A187" s="260"/>
      <c r="B187" s="260"/>
      <c r="C187" s="260"/>
      <c r="D187" s="291"/>
      <c r="E187" s="291"/>
      <c r="F187" s="291"/>
      <c r="G187" s="291"/>
      <c r="H187" s="291"/>
      <c r="I187" s="291"/>
    </row>
    <row r="188" spans="1:12">
      <c r="A188" s="260"/>
      <c r="B188" s="4" t="s">
        <v>514</v>
      </c>
      <c r="C188" s="260"/>
      <c r="D188" s="291"/>
      <c r="E188" s="291"/>
      <c r="F188" s="291"/>
      <c r="G188" s="291"/>
      <c r="H188" s="291"/>
      <c r="I188" s="291"/>
    </row>
    <row r="189" spans="1:12">
      <c r="B189" s="260" t="s">
        <v>56</v>
      </c>
      <c r="C189" s="639">
        <v>0</v>
      </c>
      <c r="D189" s="277">
        <f>-$C$189*D12</f>
        <v>0</v>
      </c>
      <c r="E189" s="277">
        <f>-$C$189*E12</f>
        <v>0</v>
      </c>
      <c r="F189" s="277">
        <f>-$C$189*F12*0.74</f>
        <v>0</v>
      </c>
      <c r="G189" s="277">
        <f t="shared" ref="G189:I189" si="157">-$C$189*G12*0.74</f>
        <v>0</v>
      </c>
      <c r="H189" s="277">
        <f t="shared" si="157"/>
        <v>0</v>
      </c>
      <c r="I189" s="277">
        <f t="shared" si="157"/>
        <v>0</v>
      </c>
      <c r="J189" s="487"/>
    </row>
    <row r="190" spans="1:12" hidden="1">
      <c r="B190" s="260" t="s">
        <v>57</v>
      </c>
      <c r="C190" s="639"/>
      <c r="D190" s="277">
        <v>0</v>
      </c>
      <c r="E190" s="277">
        <v>0</v>
      </c>
      <c r="F190" s="277">
        <f>-$C$190*F12*0.74</f>
        <v>0</v>
      </c>
      <c r="G190" s="277">
        <f t="shared" ref="G190:I190" si="158">-$C$190*G12*0.74</f>
        <v>0</v>
      </c>
      <c r="H190" s="277">
        <f t="shared" si="158"/>
        <v>0</v>
      </c>
      <c r="I190" s="277">
        <f t="shared" si="158"/>
        <v>0</v>
      </c>
      <c r="J190" s="573"/>
    </row>
    <row r="191" spans="1:12" hidden="1">
      <c r="B191" s="260" t="s">
        <v>58</v>
      </c>
      <c r="C191" s="639"/>
      <c r="D191" s="277">
        <v>0</v>
      </c>
      <c r="E191" s="277">
        <v>0</v>
      </c>
      <c r="F191" s="277">
        <f>-$C$191*F12*0.74</f>
        <v>0</v>
      </c>
      <c r="G191" s="277">
        <f t="shared" ref="G191:I191" si="159">-$C$191*G12*0.74</f>
        <v>0</v>
      </c>
      <c r="H191" s="277">
        <f t="shared" si="159"/>
        <v>0</v>
      </c>
      <c r="I191" s="277">
        <f t="shared" si="159"/>
        <v>0</v>
      </c>
      <c r="J191" s="573"/>
    </row>
    <row r="192" spans="1:12" hidden="1">
      <c r="B192" s="563" t="s">
        <v>472</v>
      </c>
      <c r="C192" s="640"/>
      <c r="D192" s="643">
        <v>0</v>
      </c>
      <c r="E192" s="643">
        <v>0</v>
      </c>
      <c r="F192" s="643">
        <f>-$C$192*(F12*0.26)</f>
        <v>0</v>
      </c>
      <c r="G192" s="643">
        <f>-$C$192*(G12*0.26)</f>
        <v>0</v>
      </c>
      <c r="H192" s="643">
        <f>-$C$192*(H12*0.26)</f>
        <v>0</v>
      </c>
      <c r="I192" s="643">
        <f>-$C$192*(I12*0.26)</f>
        <v>0</v>
      </c>
      <c r="J192" s="573"/>
    </row>
    <row r="193" spans="2:14">
      <c r="B193" s="260"/>
      <c r="C193" s="260"/>
      <c r="D193" s="293">
        <f>SUM(D189:D191)</f>
        <v>0</v>
      </c>
      <c r="E193" s="293">
        <f>SUM(E189:E192)</f>
        <v>0</v>
      </c>
      <c r="F193" s="293">
        <f>SUM(F189:F192)</f>
        <v>0</v>
      </c>
      <c r="G193" s="293">
        <f t="shared" ref="G193:I193" si="160">SUM(G189:G192)</f>
        <v>0</v>
      </c>
      <c r="H193" s="293">
        <f t="shared" si="160"/>
        <v>0</v>
      </c>
      <c r="I193" s="293">
        <f t="shared" si="160"/>
        <v>0</v>
      </c>
    </row>
    <row r="194" spans="2:14" ht="4" customHeight="1">
      <c r="B194" s="260"/>
      <c r="C194" s="260"/>
      <c r="D194" s="287"/>
      <c r="E194" s="287"/>
      <c r="F194" s="287"/>
      <c r="G194" s="287"/>
      <c r="H194" s="287"/>
      <c r="I194" s="287"/>
    </row>
    <row r="195" spans="2:14" s="62" customFormat="1">
      <c r="B195" s="23" t="s">
        <v>401</v>
      </c>
      <c r="C195" s="23"/>
      <c r="D195" s="11">
        <f t="shared" ref="D195:I195" si="161">SUM(D193:D194)</f>
        <v>0</v>
      </c>
      <c r="E195" s="11">
        <f t="shared" si="161"/>
        <v>0</v>
      </c>
      <c r="F195" s="11">
        <f t="shared" si="161"/>
        <v>0</v>
      </c>
      <c r="G195" s="11">
        <f t="shared" si="161"/>
        <v>0</v>
      </c>
      <c r="H195" s="11">
        <f t="shared" si="161"/>
        <v>0</v>
      </c>
      <c r="I195" s="11">
        <f t="shared" si="161"/>
        <v>0</v>
      </c>
    </row>
    <row r="196" spans="2:14" ht="4" customHeight="1">
      <c r="B196" s="260"/>
      <c r="C196" s="260"/>
      <c r="D196" s="260"/>
      <c r="E196" s="260"/>
      <c r="F196" s="260"/>
      <c r="G196" s="260"/>
      <c r="H196" s="260"/>
      <c r="I196" s="260"/>
    </row>
    <row r="197" spans="2:14" hidden="1">
      <c r="B197" s="4" t="s">
        <v>65</v>
      </c>
      <c r="C197" s="260"/>
      <c r="D197" s="260"/>
      <c r="E197" s="260"/>
      <c r="F197" s="260"/>
      <c r="G197" s="260"/>
      <c r="H197" s="260"/>
      <c r="I197" s="260"/>
    </row>
    <row r="198" spans="2:14" hidden="1">
      <c r="B198" s="260" t="s">
        <v>68</v>
      </c>
      <c r="C198" s="18">
        <v>0</v>
      </c>
      <c r="D198" s="277">
        <f>-$C$198*D$16</f>
        <v>0</v>
      </c>
      <c r="E198" s="277">
        <f t="shared" ref="E198:I198" si="162">-$C$198*E$16</f>
        <v>0</v>
      </c>
      <c r="F198" s="277">
        <f t="shared" si="162"/>
        <v>0</v>
      </c>
      <c r="G198" s="277">
        <f t="shared" si="162"/>
        <v>0</v>
      </c>
      <c r="H198" s="277">
        <f t="shared" si="162"/>
        <v>0</v>
      </c>
      <c r="I198" s="277">
        <f t="shared" si="162"/>
        <v>0</v>
      </c>
      <c r="J198" s="638" t="s">
        <v>409</v>
      </c>
    </row>
    <row r="199" spans="2:14" hidden="1">
      <c r="B199" s="23" t="s">
        <v>69</v>
      </c>
      <c r="C199" s="23"/>
      <c r="D199" s="11">
        <f t="shared" ref="D199:I199" si="163">SUM(D198:D198)</f>
        <v>0</v>
      </c>
      <c r="E199" s="11">
        <f t="shared" si="163"/>
        <v>0</v>
      </c>
      <c r="F199" s="11">
        <f t="shared" si="163"/>
        <v>0</v>
      </c>
      <c r="G199" s="11">
        <f t="shared" si="163"/>
        <v>0</v>
      </c>
      <c r="H199" s="11">
        <f t="shared" si="163"/>
        <v>0</v>
      </c>
      <c r="I199" s="11">
        <f t="shared" si="163"/>
        <v>0</v>
      </c>
    </row>
    <row r="200" spans="2:14" ht="4" customHeight="1">
      <c r="B200" s="260"/>
      <c r="C200" s="260"/>
      <c r="D200" s="260"/>
      <c r="E200" s="260"/>
      <c r="F200" s="260"/>
      <c r="G200" s="260"/>
      <c r="H200" s="260"/>
      <c r="I200" s="260"/>
    </row>
    <row r="201" spans="2:14">
      <c r="B201" s="4" t="s">
        <v>70</v>
      </c>
      <c r="C201" s="260"/>
      <c r="D201" s="260"/>
      <c r="E201" s="260"/>
      <c r="F201" s="260"/>
      <c r="G201" s="260"/>
      <c r="H201" s="260"/>
      <c r="I201" s="260"/>
    </row>
    <row r="202" spans="2:14">
      <c r="B202" s="4" t="s">
        <v>122</v>
      </c>
      <c r="C202" s="260"/>
      <c r="D202" s="260"/>
      <c r="E202" s="260"/>
      <c r="F202" s="260"/>
      <c r="G202" s="260"/>
      <c r="H202" s="260"/>
      <c r="I202" s="260"/>
    </row>
    <row r="203" spans="2:14">
      <c r="B203" s="223" t="s">
        <v>72</v>
      </c>
      <c r="C203" s="18">
        <v>0</v>
      </c>
      <c r="D203" s="277">
        <f>-$C$203*ROUNDUP(Assumption_Sheet!$D$237*D$16,0)</f>
        <v>0</v>
      </c>
      <c r="E203" s="277">
        <f>-$C$203*ROUNDUP(Assumption_Sheet!$D$237*E$16,0)</f>
        <v>0</v>
      </c>
      <c r="F203" s="277">
        <f>-$C203*ROUNDUP(Assumption_Sheet!$B$51*F$16,0)</f>
        <v>0</v>
      </c>
      <c r="G203" s="277">
        <f>-$C203*ROUNDUP(Assumption_Sheet!$B$51*G$16,0)</f>
        <v>0</v>
      </c>
      <c r="H203" s="277">
        <f>-$C203*ROUNDUP(Assumption_Sheet!$B$51*H$16,0)</f>
        <v>0</v>
      </c>
      <c r="I203" s="277">
        <f>-$C203*ROUNDUP(Assumption_Sheet!$B$51*I$16,0)</f>
        <v>0</v>
      </c>
      <c r="J203" s="573"/>
    </row>
    <row r="204" spans="2:14">
      <c r="B204" s="273" t="s">
        <v>73</v>
      </c>
      <c r="C204" s="576">
        <v>118</v>
      </c>
      <c r="D204" s="277">
        <f>-$C$204/($J$204/30%)*2</f>
        <v>-544.61538461538464</v>
      </c>
      <c r="E204" s="277">
        <f>-$C$204/($J$204/30%)*2</f>
        <v>-544.61538461538464</v>
      </c>
      <c r="F204" s="277">
        <f t="shared" ref="E204:I204" si="164">-$C$204/($J$204/30%)</f>
        <v>-272.30769230769232</v>
      </c>
      <c r="G204" s="277">
        <f t="shared" si="164"/>
        <v>-272.30769230769232</v>
      </c>
      <c r="H204" s="277">
        <f t="shared" si="164"/>
        <v>-272.30769230769232</v>
      </c>
      <c r="I204" s="277">
        <f t="shared" si="164"/>
        <v>-272.30769230769232</v>
      </c>
      <c r="J204" s="746">
        <v>0.13</v>
      </c>
      <c r="K204" s="765" t="s">
        <v>534</v>
      </c>
      <c r="N204" s="765" t="s">
        <v>537</v>
      </c>
    </row>
    <row r="205" spans="2:14">
      <c r="B205" s="273" t="s">
        <v>74</v>
      </c>
      <c r="C205" s="745">
        <v>5.5</v>
      </c>
      <c r="D205" s="277">
        <f>-$C$205/$J$205</f>
        <v>-60.10928961748634</v>
      </c>
      <c r="E205" s="277">
        <f>-$C$205/$J$205</f>
        <v>-60.10928961748634</v>
      </c>
      <c r="F205" s="277">
        <f t="shared" ref="F205:I205" si="165">-$C205*F16</f>
        <v>-45.833333333333336</v>
      </c>
      <c r="G205" s="277">
        <f t="shared" si="165"/>
        <v>-28.947368421052634</v>
      </c>
      <c r="H205" s="277">
        <f t="shared" si="165"/>
        <v>-17.1875</v>
      </c>
      <c r="I205" s="277">
        <f t="shared" si="165"/>
        <v>-21.421052631578949</v>
      </c>
      <c r="J205" s="473">
        <v>9.1499999999999998E-2</v>
      </c>
      <c r="K205" s="765" t="s">
        <v>535</v>
      </c>
    </row>
    <row r="206" spans="2:14">
      <c r="B206" s="741" t="s">
        <v>518</v>
      </c>
      <c r="C206" s="576">
        <v>0</v>
      </c>
      <c r="D206" s="277">
        <f>-$C$206*$J$206</f>
        <v>0</v>
      </c>
      <c r="E206" s="277">
        <f t="shared" ref="E206:I206" si="166">-$C$206*$J$206</f>
        <v>0</v>
      </c>
      <c r="F206" s="277">
        <f t="shared" si="166"/>
        <v>0</v>
      </c>
      <c r="G206" s="277">
        <f t="shared" si="166"/>
        <v>0</v>
      </c>
      <c r="H206" s="277">
        <f t="shared" si="166"/>
        <v>0</v>
      </c>
      <c r="I206" s="277">
        <f t="shared" si="166"/>
        <v>0</v>
      </c>
      <c r="J206" s="573"/>
      <c r="K206" s="744"/>
    </row>
    <row r="207" spans="2:14">
      <c r="B207" s="260" t="s">
        <v>123</v>
      </c>
      <c r="C207" s="18">
        <v>0</v>
      </c>
      <c r="D207" s="277">
        <f t="shared" ref="D207:I207" si="167">-$C$207*D16</f>
        <v>0</v>
      </c>
      <c r="E207" s="277">
        <f t="shared" si="167"/>
        <v>0</v>
      </c>
      <c r="F207" s="277">
        <f t="shared" si="167"/>
        <v>0</v>
      </c>
      <c r="G207" s="277">
        <f t="shared" si="167"/>
        <v>0</v>
      </c>
      <c r="H207" s="277">
        <f t="shared" si="167"/>
        <v>0</v>
      </c>
      <c r="I207" s="277">
        <f t="shared" si="167"/>
        <v>0</v>
      </c>
      <c r="J207" s="260"/>
    </row>
    <row r="208" spans="2:14">
      <c r="B208" s="260" t="s">
        <v>77</v>
      </c>
      <c r="C208" s="12"/>
      <c r="D208" s="277">
        <v>0</v>
      </c>
      <c r="E208" s="277">
        <v>0</v>
      </c>
      <c r="F208" s="277">
        <v>0</v>
      </c>
      <c r="G208" s="277">
        <v>0</v>
      </c>
      <c r="H208" s="277">
        <v>0</v>
      </c>
      <c r="I208" s="277">
        <v>0</v>
      </c>
      <c r="J208" s="260"/>
    </row>
    <row r="209" spans="2:11" ht="4" customHeight="1">
      <c r="B209" s="260"/>
      <c r="C209" s="12"/>
      <c r="D209" s="276"/>
      <c r="E209" s="276"/>
      <c r="F209" s="276"/>
      <c r="G209" s="276"/>
      <c r="H209" s="276"/>
      <c r="I209" s="276"/>
      <c r="J209" s="260"/>
    </row>
    <row r="210" spans="2:11" s="62" customFormat="1">
      <c r="B210" s="11" t="s">
        <v>78</v>
      </c>
      <c r="C210" s="11"/>
      <c r="D210" s="11">
        <f t="shared" ref="D210:I210" si="168">SUM(D203:D209)</f>
        <v>-604.72467423287094</v>
      </c>
      <c r="E210" s="11">
        <f t="shared" si="168"/>
        <v>-604.72467423287094</v>
      </c>
      <c r="F210" s="11">
        <f t="shared" si="168"/>
        <v>-318.14102564102564</v>
      </c>
      <c r="G210" s="11">
        <f t="shared" si="168"/>
        <v>-301.25506072874498</v>
      </c>
      <c r="H210" s="11">
        <f t="shared" si="168"/>
        <v>-289.49519230769232</v>
      </c>
      <c r="I210" s="11">
        <f t="shared" si="168"/>
        <v>-293.72874493927128</v>
      </c>
      <c r="J210" s="341"/>
    </row>
    <row r="211" spans="2:11" s="62" customFormat="1" ht="6" customHeight="1">
      <c r="B211" s="12"/>
      <c r="C211" s="12"/>
      <c r="D211" s="12"/>
      <c r="E211" s="12"/>
      <c r="F211" s="12"/>
      <c r="G211" s="12"/>
      <c r="H211" s="12"/>
      <c r="I211" s="12"/>
      <c r="J211" s="273"/>
    </row>
    <row r="212" spans="2:11" s="62" customFormat="1">
      <c r="B212" s="11" t="s">
        <v>79</v>
      </c>
      <c r="C212" s="11"/>
      <c r="D212" s="11">
        <f t="shared" ref="D212:I212" si="169">D195+D210+D186+D199</f>
        <v>-737.247254232871</v>
      </c>
      <c r="E212" s="11">
        <f t="shared" si="169"/>
        <v>-1033.6332742328709</v>
      </c>
      <c r="F212" s="11">
        <f t="shared" si="169"/>
        <v>-27157.787552640388</v>
      </c>
      <c r="G212" s="11">
        <f t="shared" si="169"/>
        <v>-45624.360546466873</v>
      </c>
      <c r="H212" s="11">
        <f t="shared" si="169"/>
        <v>-142003.71773238637</v>
      </c>
      <c r="I212" s="11">
        <f t="shared" si="169"/>
        <v>-267295.5475339379</v>
      </c>
      <c r="J212" s="273"/>
    </row>
    <row r="213" spans="2:11" s="62" customFormat="1" ht="6" customHeight="1">
      <c r="B213" s="12"/>
      <c r="C213" s="12"/>
      <c r="D213" s="12"/>
      <c r="E213" s="12"/>
      <c r="F213" s="12"/>
      <c r="G213" s="12"/>
      <c r="H213" s="12"/>
      <c r="I213" s="12"/>
      <c r="J213" s="273"/>
    </row>
    <row r="214" spans="2:11" ht="15" thickBot="1">
      <c r="B214" s="13" t="s">
        <v>80</v>
      </c>
      <c r="C214" s="296"/>
      <c r="D214" s="22">
        <f t="shared" ref="D214:I214" si="170">D176+D212</f>
        <v>-123.62725423287247</v>
      </c>
      <c r="E214" s="22">
        <f t="shared" si="170"/>
        <v>1011.7667257671224</v>
      </c>
      <c r="F214" s="22">
        <f t="shared" si="170"/>
        <v>136519.36244736082</v>
      </c>
      <c r="G214" s="22">
        <f t="shared" si="170"/>
        <v>223118.12533552633</v>
      </c>
      <c r="H214" s="22">
        <f t="shared" si="170"/>
        <v>524371.28226762521</v>
      </c>
      <c r="I214" s="22">
        <f t="shared" si="170"/>
        <v>1003204.4524661757</v>
      </c>
      <c r="J214" s="260"/>
    </row>
    <row r="215" spans="2:11" s="62" customFormat="1" ht="10" customHeight="1" thickTop="1">
      <c r="B215" s="12"/>
      <c r="C215" s="12"/>
      <c r="D215" s="12"/>
      <c r="E215" s="12"/>
      <c r="F215" s="12"/>
      <c r="G215" s="12"/>
      <c r="H215" s="12"/>
      <c r="I215" s="12"/>
      <c r="J215" s="273"/>
    </row>
    <row r="216" spans="2:11">
      <c r="B216" s="260" t="s">
        <v>124</v>
      </c>
      <c r="C216" s="575">
        <v>0</v>
      </c>
      <c r="D216" s="277">
        <f>-C216*D12</f>
        <v>0</v>
      </c>
      <c r="E216" s="277">
        <f>-C216*E12</f>
        <v>0</v>
      </c>
      <c r="F216" s="277">
        <f>C216*F12</f>
        <v>0</v>
      </c>
      <c r="G216" s="277">
        <f>C216*G12</f>
        <v>0</v>
      </c>
      <c r="H216" s="277">
        <f>C216*H12</f>
        <v>0</v>
      </c>
      <c r="I216" s="277">
        <f>C216*I12</f>
        <v>0</v>
      </c>
      <c r="J216" s="563"/>
    </row>
    <row r="217" spans="2:11" ht="10" customHeight="1">
      <c r="B217" s="260"/>
      <c r="C217" s="260"/>
      <c r="D217" s="260"/>
      <c r="E217" s="260"/>
      <c r="F217" s="260"/>
      <c r="G217" s="260"/>
      <c r="H217" s="260"/>
      <c r="I217" s="260"/>
      <c r="J217" s="260"/>
    </row>
    <row r="218" spans="2:11" ht="15" thickBot="1">
      <c r="B218" s="13" t="s">
        <v>82</v>
      </c>
      <c r="C218" s="296"/>
      <c r="D218" s="22">
        <f t="shared" ref="D218:I218" si="171">D214+D216</f>
        <v>-123.62725423287247</v>
      </c>
      <c r="E218" s="22">
        <f t="shared" si="171"/>
        <v>1011.7667257671224</v>
      </c>
      <c r="F218" s="22">
        <f t="shared" si="171"/>
        <v>136519.36244736082</v>
      </c>
      <c r="G218" s="22">
        <f t="shared" si="171"/>
        <v>223118.12533552633</v>
      </c>
      <c r="H218" s="22">
        <f t="shared" si="171"/>
        <v>524371.28226762521</v>
      </c>
      <c r="I218" s="22">
        <f t="shared" si="171"/>
        <v>1003204.4524661757</v>
      </c>
      <c r="J218" s="260"/>
    </row>
    <row r="219" spans="2:11" ht="15" thickTop="1">
      <c r="B219" s="260"/>
      <c r="C219" s="260"/>
      <c r="D219" s="260"/>
      <c r="E219" s="298"/>
      <c r="F219" s="298"/>
      <c r="G219" s="298"/>
      <c r="H219" s="298"/>
      <c r="I219" s="298"/>
      <c r="J219" s="260"/>
    </row>
    <row r="220" spans="2:11">
      <c r="B220" s="260" t="s">
        <v>125</v>
      </c>
      <c r="C220" s="260"/>
      <c r="D220" s="307">
        <f t="shared" ref="D220:I220" si="172">IFERROR(D214/D12,0)</f>
        <v>-2.0604542372145412E-2</v>
      </c>
      <c r="E220" s="307">
        <f t="shared" si="172"/>
        <v>5.0588336288356114E-2</v>
      </c>
      <c r="F220" s="307">
        <f t="shared" si="172"/>
        <v>0.50007092471560743</v>
      </c>
      <c r="G220" s="307">
        <f t="shared" si="172"/>
        <v>0.48161653369533364</v>
      </c>
      <c r="H220" s="307">
        <f t="shared" si="172"/>
        <v>0.3495808548450835</v>
      </c>
      <c r="I220" s="307">
        <f t="shared" si="172"/>
        <v>0.33440148415539189</v>
      </c>
      <c r="J220" s="307"/>
      <c r="K220" s="487"/>
    </row>
    <row r="221" spans="2:11">
      <c r="B221" s="260"/>
      <c r="C221" s="260"/>
      <c r="D221" s="300">
        <f t="shared" ref="D221:I221" si="173">IFERROR(D218/D12,0)</f>
        <v>-2.0604542372145412E-2</v>
      </c>
      <c r="E221" s="300">
        <f t="shared" si="173"/>
        <v>5.0588336288356114E-2</v>
      </c>
      <c r="F221" s="300">
        <f t="shared" si="173"/>
        <v>0.50007092471560743</v>
      </c>
      <c r="G221" s="300">
        <f t="shared" si="173"/>
        <v>0.48161653369533364</v>
      </c>
      <c r="H221" s="300">
        <f t="shared" si="173"/>
        <v>0.3495808548450835</v>
      </c>
      <c r="I221" s="300">
        <f t="shared" si="173"/>
        <v>0.33440148415539189</v>
      </c>
      <c r="J221" s="307"/>
    </row>
    <row r="222" spans="2:11">
      <c r="B222" s="260"/>
      <c r="C222" s="260"/>
      <c r="D222" s="301"/>
      <c r="E222" s="301"/>
      <c r="F222" s="301"/>
      <c r="G222" s="301"/>
      <c r="H222" s="301"/>
      <c r="I222" s="260"/>
      <c r="J222" s="487"/>
    </row>
    <row r="223" spans="2:11">
      <c r="B223" s="260"/>
      <c r="C223" s="260"/>
      <c r="D223" s="301"/>
      <c r="E223" s="301"/>
      <c r="F223" s="301"/>
      <c r="G223" s="301"/>
      <c r="H223" s="301"/>
      <c r="I223" s="260"/>
    </row>
    <row r="224" spans="2:11">
      <c r="B224" s="260"/>
      <c r="C224" s="260"/>
      <c r="D224" s="308"/>
      <c r="E224" s="308"/>
      <c r="F224" s="308"/>
      <c r="G224" s="308"/>
      <c r="H224" s="308"/>
      <c r="I224" s="308"/>
    </row>
    <row r="225" spans="2:9">
      <c r="B225" s="4"/>
      <c r="C225" s="260"/>
      <c r="D225" s="308"/>
      <c r="E225" s="308"/>
      <c r="F225" s="308"/>
      <c r="G225" s="308"/>
      <c r="H225" s="308"/>
      <c r="I225" s="308"/>
    </row>
    <row r="226" spans="2:9">
      <c r="B226" s="260"/>
      <c r="C226" s="260"/>
      <c r="D226" s="301"/>
      <c r="E226" s="301"/>
      <c r="F226" s="301"/>
      <c r="G226" s="301"/>
      <c r="H226" s="301"/>
      <c r="I226" s="260"/>
    </row>
    <row r="227" spans="2:9">
      <c r="B227" s="260"/>
      <c r="C227" s="260"/>
      <c r="D227" s="301"/>
      <c r="E227" s="301"/>
      <c r="F227" s="301"/>
      <c r="G227" s="301"/>
      <c r="H227" s="301"/>
      <c r="I227" s="260"/>
    </row>
    <row r="228" spans="2:9">
      <c r="B228" s="260"/>
      <c r="C228" s="260"/>
      <c r="D228" s="309"/>
      <c r="E228" s="309"/>
      <c r="F228" s="309"/>
      <c r="G228" s="309"/>
      <c r="H228" s="309"/>
      <c r="I228" s="309"/>
    </row>
    <row r="229" spans="2:9">
      <c r="B229" s="260"/>
      <c r="C229" s="260"/>
      <c r="D229" s="309"/>
      <c r="E229" s="309"/>
      <c r="F229" s="309"/>
      <c r="G229" s="309"/>
      <c r="H229" s="309"/>
      <c r="I229" s="309"/>
    </row>
    <row r="230" spans="2:9">
      <c r="B230" s="260"/>
      <c r="C230" s="260"/>
      <c r="D230" s="301"/>
      <c r="E230" s="301"/>
      <c r="F230" s="301"/>
      <c r="G230" s="301"/>
      <c r="H230" s="301"/>
      <c r="I230" s="260"/>
    </row>
    <row r="231" spans="2:9">
      <c r="B231" s="260"/>
      <c r="C231" s="260"/>
      <c r="D231" s="301"/>
      <c r="E231" s="301"/>
      <c r="F231" s="301"/>
      <c r="G231" s="301"/>
      <c r="H231" s="301"/>
      <c r="I231" s="260"/>
    </row>
    <row r="232" spans="2:9">
      <c r="B232" s="260"/>
      <c r="C232" s="260"/>
      <c r="D232" s="301"/>
      <c r="E232" s="301"/>
      <c r="F232" s="301"/>
      <c r="G232" s="301"/>
      <c r="H232" s="301"/>
      <c r="I232" s="260"/>
    </row>
    <row r="233" spans="2:9">
      <c r="B233" s="260"/>
      <c r="C233" s="260"/>
      <c r="D233" s="301"/>
      <c r="E233" s="301"/>
      <c r="F233" s="301"/>
      <c r="G233" s="301"/>
      <c r="H233" s="301"/>
      <c r="I233" s="260"/>
    </row>
    <row r="234" spans="2:9">
      <c r="B234" s="260"/>
      <c r="C234" s="260"/>
      <c r="D234" s="301"/>
      <c r="E234" s="301"/>
      <c r="F234" s="301"/>
      <c r="G234" s="301"/>
      <c r="H234" s="301"/>
      <c r="I234" s="260"/>
    </row>
    <row r="248" spans="4:8">
      <c r="D248" s="301"/>
      <c r="E248" s="301"/>
      <c r="F248" s="301"/>
      <c r="G248" s="301"/>
      <c r="H248" s="301"/>
    </row>
    <row r="249" spans="4:8">
      <c r="D249" s="301"/>
      <c r="E249" s="301"/>
      <c r="F249" s="301"/>
      <c r="G249" s="301"/>
      <c r="H249" s="301"/>
    </row>
    <row r="250" spans="4:8">
      <c r="D250" s="301"/>
      <c r="E250" s="301"/>
      <c r="F250" s="301"/>
      <c r="G250" s="301"/>
      <c r="H250" s="301"/>
    </row>
    <row r="251" spans="4:8">
      <c r="D251" s="301"/>
      <c r="E251" s="301"/>
      <c r="F251" s="301"/>
      <c r="G251" s="301"/>
      <c r="H251" s="301"/>
    </row>
    <row r="252" spans="4:8">
      <c r="D252" s="301"/>
      <c r="E252" s="301"/>
      <c r="F252" s="301"/>
      <c r="G252" s="301"/>
      <c r="H252" s="301"/>
    </row>
    <row r="253" spans="4:8">
      <c r="D253" s="301"/>
      <c r="E253" s="301"/>
      <c r="F253" s="301"/>
      <c r="G253" s="301"/>
      <c r="H253" s="301"/>
    </row>
    <row r="254" spans="4:8">
      <c r="D254" s="301"/>
      <c r="E254" s="301"/>
      <c r="F254" s="301"/>
      <c r="G254" s="301"/>
      <c r="H254" s="301"/>
    </row>
    <row r="255" spans="4:8">
      <c r="D255" s="301"/>
      <c r="E255" s="301"/>
      <c r="F255" s="301"/>
      <c r="G255" s="301"/>
      <c r="H255" s="301"/>
    </row>
    <row r="256" spans="4:8">
      <c r="D256" s="301"/>
      <c r="E256" s="301"/>
      <c r="F256" s="301"/>
      <c r="G256" s="301"/>
      <c r="H256" s="301"/>
    </row>
    <row r="257" spans="1:8">
      <c r="D257" s="301"/>
      <c r="E257" s="301"/>
      <c r="F257" s="301"/>
      <c r="G257" s="301"/>
      <c r="H257" s="301"/>
    </row>
    <row r="258" spans="1:8">
      <c r="D258" s="301"/>
      <c r="E258" s="301"/>
      <c r="F258" s="301"/>
      <c r="G258" s="301"/>
      <c r="H258" s="301"/>
    </row>
    <row r="259" spans="1:8">
      <c r="D259" s="301"/>
      <c r="E259" s="301"/>
      <c r="F259" s="301"/>
      <c r="G259" s="301"/>
      <c r="H259" s="301"/>
    </row>
    <row r="260" spans="1:8">
      <c r="D260" s="301"/>
      <c r="E260" s="301"/>
      <c r="F260" s="301"/>
      <c r="G260" s="301"/>
      <c r="H260" s="301"/>
    </row>
    <row r="261" spans="1:8">
      <c r="D261" s="301"/>
      <c r="E261" s="301"/>
      <c r="F261" s="301"/>
      <c r="G261" s="301"/>
      <c r="H261" s="301"/>
    </row>
    <row r="262" spans="1:8">
      <c r="D262" s="301"/>
      <c r="E262" s="301"/>
      <c r="F262" s="301"/>
      <c r="G262" s="301"/>
      <c r="H262" s="301"/>
    </row>
    <row r="263" spans="1:8">
      <c r="D263" s="301"/>
      <c r="E263" s="301"/>
      <c r="F263" s="301"/>
      <c r="G263" s="301"/>
      <c r="H263" s="301"/>
    </row>
    <row r="264" spans="1:8">
      <c r="D264" s="301"/>
      <c r="E264" s="301"/>
      <c r="F264" s="301"/>
      <c r="G264" s="301"/>
      <c r="H264" s="301"/>
    </row>
    <row r="265" spans="1:8">
      <c r="D265" s="301"/>
      <c r="E265" s="301"/>
      <c r="F265" s="301"/>
      <c r="G265" s="301"/>
      <c r="H265" s="301"/>
    </row>
    <row r="266" spans="1:8">
      <c r="D266" s="301"/>
      <c r="E266" s="301"/>
      <c r="F266" s="301"/>
      <c r="G266" s="301"/>
      <c r="H266" s="301"/>
    </row>
    <row r="267" spans="1:8">
      <c r="D267" s="301"/>
      <c r="E267" s="301"/>
      <c r="F267" s="301"/>
      <c r="G267" s="301"/>
      <c r="H267" s="301"/>
    </row>
    <row r="268" spans="1:8">
      <c r="D268" s="301"/>
      <c r="E268" s="301"/>
      <c r="F268" s="301"/>
      <c r="G268" s="301"/>
      <c r="H268" s="301"/>
    </row>
    <row r="269" spans="1:8">
      <c r="D269" s="301"/>
      <c r="E269" s="301"/>
      <c r="F269" s="301"/>
      <c r="G269" s="301"/>
      <c r="H269" s="301"/>
    </row>
    <row r="270" spans="1:8">
      <c r="A270" s="260"/>
      <c r="B270" s="260"/>
      <c r="C270" s="260"/>
      <c r="D270" s="301"/>
      <c r="E270" s="301"/>
      <c r="F270" s="301"/>
      <c r="G270" s="301"/>
      <c r="H270" s="301"/>
    </row>
    <row r="271" spans="1:8">
      <c r="A271" s="260"/>
      <c r="B271" s="260"/>
      <c r="C271" s="260"/>
      <c r="D271" s="301"/>
      <c r="E271" s="301"/>
      <c r="F271" s="301"/>
      <c r="G271" s="301"/>
      <c r="H271" s="301"/>
    </row>
    <row r="272" spans="1:8">
      <c r="A272" s="260"/>
      <c r="B272" s="260"/>
      <c r="C272" s="260"/>
      <c r="D272" s="301"/>
      <c r="E272" s="301"/>
      <c r="F272" s="301"/>
      <c r="G272" s="301"/>
      <c r="H272" s="301"/>
    </row>
    <row r="273" spans="1:8">
      <c r="A273" s="260"/>
      <c r="B273" s="260"/>
      <c r="C273" s="260"/>
      <c r="D273" s="301"/>
      <c r="E273" s="301"/>
      <c r="F273" s="301"/>
      <c r="G273" s="301"/>
      <c r="H273" s="301"/>
    </row>
    <row r="274" spans="1:8">
      <c r="A274" s="260"/>
      <c r="B274" s="260"/>
      <c r="C274" s="260"/>
      <c r="D274" s="301"/>
      <c r="E274" s="301"/>
      <c r="F274" s="301"/>
      <c r="G274" s="301"/>
      <c r="H274" s="301"/>
    </row>
    <row r="275" spans="1:8">
      <c r="A275" s="260"/>
      <c r="B275" s="260"/>
      <c r="C275" s="260"/>
      <c r="D275" s="301"/>
      <c r="E275" s="301"/>
      <c r="F275" s="301"/>
      <c r="G275" s="301"/>
      <c r="H275" s="301"/>
    </row>
    <row r="276" spans="1:8">
      <c r="A276" s="260"/>
      <c r="B276" s="260"/>
      <c r="C276" s="260"/>
      <c r="D276" s="301"/>
      <c r="E276" s="301"/>
      <c r="F276" s="301"/>
      <c r="G276" s="301"/>
      <c r="H276" s="301"/>
    </row>
    <row r="277" spans="1:8">
      <c r="A277" s="260"/>
      <c r="B277" s="260"/>
      <c r="C277" s="260"/>
      <c r="D277" s="301"/>
      <c r="E277" s="301"/>
      <c r="F277" s="301"/>
      <c r="G277" s="301"/>
      <c r="H277" s="301"/>
    </row>
    <row r="278" spans="1:8">
      <c r="A278" s="260"/>
      <c r="B278" s="4" t="s">
        <v>92</v>
      </c>
      <c r="C278" s="260"/>
      <c r="D278" s="301"/>
      <c r="E278" s="301"/>
      <c r="F278" s="301"/>
      <c r="G278" s="301"/>
      <c r="H278" s="301"/>
    </row>
    <row r="279" spans="1:8">
      <c r="A279" s="260"/>
      <c r="B279" s="260"/>
      <c r="C279" s="260"/>
      <c r="D279" s="301"/>
      <c r="E279" s="301"/>
      <c r="F279" s="301"/>
      <c r="G279" s="301"/>
      <c r="H279" s="301"/>
    </row>
    <row r="280" spans="1:8" hidden="1">
      <c r="A280" s="2" t="s">
        <v>93</v>
      </c>
      <c r="B280" s="260"/>
      <c r="C280" s="260"/>
      <c r="D280" s="260"/>
      <c r="E280" s="260"/>
      <c r="F280" s="260"/>
      <c r="G280" s="260"/>
      <c r="H280" s="260"/>
    </row>
    <row r="281" spans="1:8" hidden="1">
      <c r="A281" s="4" t="s">
        <v>94</v>
      </c>
      <c r="B281" s="260"/>
      <c r="C281" s="260"/>
      <c r="D281" s="260"/>
      <c r="E281" s="260"/>
      <c r="F281" s="260"/>
      <c r="G281" s="260"/>
      <c r="H281" s="260"/>
    </row>
    <row r="282" spans="1:8" hidden="1">
      <c r="A282" s="303" t="s">
        <v>95</v>
      </c>
      <c r="B282" s="304">
        <v>0</v>
      </c>
      <c r="C282" s="304">
        <v>0</v>
      </c>
      <c r="D282" s="260"/>
      <c r="E282" s="260"/>
      <c r="F282" s="260"/>
      <c r="G282" s="260"/>
      <c r="H282" s="260"/>
    </row>
    <row r="283" spans="1:8" hidden="1">
      <c r="A283" s="303" t="s">
        <v>95</v>
      </c>
      <c r="B283" s="304">
        <v>250000</v>
      </c>
      <c r="C283" s="304">
        <v>0</v>
      </c>
      <c r="D283" s="260"/>
      <c r="E283" s="260"/>
      <c r="F283" s="260"/>
      <c r="G283" s="260"/>
      <c r="H283" s="260"/>
    </row>
    <row r="284" spans="1:8" hidden="1">
      <c r="A284" s="303"/>
      <c r="B284" s="304">
        <v>500000</v>
      </c>
      <c r="C284" s="304">
        <v>8000</v>
      </c>
      <c r="D284" s="260"/>
      <c r="E284" s="260"/>
      <c r="F284" s="260"/>
      <c r="G284" s="260"/>
      <c r="H284" s="260"/>
    </row>
    <row r="285" spans="1:8" hidden="1">
      <c r="A285" s="303"/>
      <c r="B285" s="304">
        <v>1000000</v>
      </c>
      <c r="C285" s="304">
        <v>24000</v>
      </c>
      <c r="D285" s="260"/>
      <c r="E285" s="260"/>
      <c r="F285" s="260"/>
      <c r="G285" s="260"/>
      <c r="H285" s="260"/>
    </row>
    <row r="286" spans="1:8" hidden="1">
      <c r="A286" s="303"/>
      <c r="B286" s="304">
        <v>2000000</v>
      </c>
      <c r="C286" s="304">
        <f>32000+C285</f>
        <v>56000</v>
      </c>
    </row>
    <row r="287" spans="1:8" hidden="1">
      <c r="A287" s="303"/>
      <c r="B287" s="304">
        <v>3000000</v>
      </c>
      <c r="C287" s="304">
        <f>C286+32000</f>
        <v>88000</v>
      </c>
    </row>
    <row r="288" spans="1:8" hidden="1">
      <c r="A288" s="303"/>
      <c r="B288" s="304">
        <v>4000000</v>
      </c>
      <c r="C288" s="304">
        <f t="shared" ref="C288:C294" si="174">C287+32000</f>
        <v>120000</v>
      </c>
    </row>
    <row r="289" spans="1:3" hidden="1">
      <c r="A289" s="303"/>
      <c r="B289" s="304">
        <v>5000000</v>
      </c>
      <c r="C289" s="304">
        <f t="shared" si="174"/>
        <v>152000</v>
      </c>
    </row>
    <row r="290" spans="1:3" hidden="1">
      <c r="A290" s="303"/>
      <c r="B290" s="304">
        <f>B289+1000000</f>
        <v>6000000</v>
      </c>
      <c r="C290" s="304">
        <f t="shared" si="174"/>
        <v>184000</v>
      </c>
    </row>
    <row r="291" spans="1:3" hidden="1">
      <c r="A291" s="303"/>
      <c r="B291" s="304">
        <f>B290+1000000</f>
        <v>7000000</v>
      </c>
      <c r="C291" s="304">
        <f t="shared" si="174"/>
        <v>216000</v>
      </c>
    </row>
    <row r="292" spans="1:3" hidden="1">
      <c r="A292" s="303"/>
      <c r="B292" s="304">
        <f>B291+1000000</f>
        <v>8000000</v>
      </c>
      <c r="C292" s="304">
        <f t="shared" si="174"/>
        <v>248000</v>
      </c>
    </row>
    <row r="293" spans="1:3" hidden="1">
      <c r="A293" s="303"/>
      <c r="B293" s="304">
        <f>B292+1000000</f>
        <v>9000000</v>
      </c>
      <c r="C293" s="304">
        <f t="shared" si="174"/>
        <v>280000</v>
      </c>
    </row>
    <row r="294" spans="1:3" hidden="1">
      <c r="A294" s="305"/>
      <c r="B294" s="306">
        <f>B293+1000000</f>
        <v>10000000</v>
      </c>
      <c r="C294" s="306">
        <f t="shared" si="174"/>
        <v>312000</v>
      </c>
    </row>
    <row r="295" spans="1:3" hidden="1">
      <c r="A295" s="303"/>
      <c r="B295" s="304">
        <v>0</v>
      </c>
      <c r="C295" s="304">
        <v>0</v>
      </c>
    </row>
    <row r="296" spans="1:3" hidden="1">
      <c r="A296" s="303" t="s">
        <v>96</v>
      </c>
      <c r="B296" s="304">
        <v>250000</v>
      </c>
      <c r="C296" s="304">
        <v>0</v>
      </c>
    </row>
    <row r="297" spans="1:3" hidden="1">
      <c r="A297" s="303"/>
      <c r="B297" s="304">
        <v>500000</v>
      </c>
      <c r="C297" s="304">
        <v>2000</v>
      </c>
    </row>
    <row r="298" spans="1:3" hidden="1">
      <c r="A298" s="260"/>
      <c r="B298" s="276">
        <v>1000000</v>
      </c>
      <c r="C298" s="276">
        <v>6000</v>
      </c>
    </row>
    <row r="299" spans="1:3" hidden="1">
      <c r="A299" s="260"/>
      <c r="B299" s="276">
        <v>2000000</v>
      </c>
      <c r="C299" s="276">
        <f>8000+C298</f>
        <v>14000</v>
      </c>
    </row>
    <row r="300" spans="1:3" hidden="1">
      <c r="A300" s="260"/>
      <c r="B300" s="276">
        <v>3000000</v>
      </c>
      <c r="C300" s="287">
        <f>8000+C299</f>
        <v>22000</v>
      </c>
    </row>
    <row r="301" spans="1:3" hidden="1">
      <c r="A301" s="260"/>
      <c r="B301" s="276">
        <v>4000000</v>
      </c>
      <c r="C301" s="287">
        <f t="shared" ref="C301:C307" si="175">8000+C300</f>
        <v>30000</v>
      </c>
    </row>
    <row r="302" spans="1:3" hidden="1">
      <c r="B302" s="276">
        <v>5000000</v>
      </c>
      <c r="C302" s="287">
        <f t="shared" si="175"/>
        <v>38000</v>
      </c>
    </row>
    <row r="303" spans="1:3" hidden="1">
      <c r="B303" s="287">
        <f>B302+1000000</f>
        <v>6000000</v>
      </c>
      <c r="C303" s="287">
        <f t="shared" si="175"/>
        <v>46000</v>
      </c>
    </row>
    <row r="304" spans="1:3" hidden="1">
      <c r="B304" s="287">
        <f>B303+1000000</f>
        <v>7000000</v>
      </c>
      <c r="C304" s="287">
        <f t="shared" si="175"/>
        <v>54000</v>
      </c>
    </row>
    <row r="305" spans="2:3" hidden="1">
      <c r="B305" s="287">
        <f>B304+1000000</f>
        <v>8000000</v>
      </c>
      <c r="C305" s="287">
        <f t="shared" si="175"/>
        <v>62000</v>
      </c>
    </row>
    <row r="306" spans="2:3" hidden="1">
      <c r="B306" s="287">
        <f>B305+1000000</f>
        <v>9000000</v>
      </c>
      <c r="C306" s="287">
        <f t="shared" si="175"/>
        <v>70000</v>
      </c>
    </row>
    <row r="307" spans="2:3" hidden="1">
      <c r="B307" s="287">
        <f>B306+1000000</f>
        <v>10000000</v>
      </c>
      <c r="C307" s="287">
        <f t="shared" si="175"/>
        <v>78000</v>
      </c>
    </row>
    <row r="308" spans="2:3" hidden="1">
      <c r="B308" s="287"/>
      <c r="C308" s="287"/>
    </row>
    <row r="309" spans="2:3" hidden="1">
      <c r="B309" s="260"/>
      <c r="C309" s="260"/>
    </row>
    <row r="310" spans="2:3" hidden="1">
      <c r="B310" s="260"/>
      <c r="C310" s="260"/>
    </row>
    <row r="311" spans="2:3" hidden="1">
      <c r="B311" s="260"/>
      <c r="C311" s="260"/>
    </row>
    <row r="312" spans="2:3" hidden="1">
      <c r="B312" s="260"/>
      <c r="C312" s="260"/>
    </row>
    <row r="313" spans="2:3" hidden="1">
      <c r="B313" s="260"/>
      <c r="C313" s="260"/>
    </row>
    <row r="314" spans="2:3" hidden="1">
      <c r="B314" s="4" t="s">
        <v>97</v>
      </c>
      <c r="C314" s="260"/>
    </row>
    <row r="315" spans="2:3" hidden="1">
      <c r="B315" s="260" t="s">
        <v>98</v>
      </c>
      <c r="C315" s="260"/>
    </row>
    <row r="316" spans="2:3" hidden="1">
      <c r="B316" s="260" t="s">
        <v>99</v>
      </c>
      <c r="C316" s="260"/>
    </row>
    <row r="317" spans="2:3" hidden="1">
      <c r="B317" s="260" t="s">
        <v>100</v>
      </c>
      <c r="C317" s="260"/>
    </row>
    <row r="318" spans="2:3" hidden="1">
      <c r="B318" s="260" t="s">
        <v>101</v>
      </c>
      <c r="C318" s="276">
        <v>35000</v>
      </c>
    </row>
    <row r="319" spans="2:3" hidden="1">
      <c r="B319" s="260"/>
      <c r="C319" s="260"/>
    </row>
    <row r="320" spans="2:3" hidden="1">
      <c r="B320" s="260"/>
      <c r="C320" s="260"/>
    </row>
    <row r="321" spans="2:5" hidden="1">
      <c r="B321" s="4" t="s">
        <v>102</v>
      </c>
      <c r="C321" s="260"/>
    </row>
    <row r="322" spans="2:5" hidden="1">
      <c r="B322" s="260" t="s">
        <v>67</v>
      </c>
      <c r="C322" s="260"/>
    </row>
    <row r="323" spans="2:5" hidden="1">
      <c r="B323" s="260" t="s">
        <v>68</v>
      </c>
      <c r="C323" s="260"/>
    </row>
    <row r="324" spans="2:5" hidden="1">
      <c r="B324" s="260" t="s">
        <v>103</v>
      </c>
      <c r="C324" s="260"/>
    </row>
    <row r="325" spans="2:5" hidden="1">
      <c r="B325" s="260"/>
      <c r="C325" s="260"/>
    </row>
    <row r="326" spans="2:5" hidden="1">
      <c r="B326" s="260"/>
      <c r="C326" s="260"/>
    </row>
    <row r="327" spans="2:5" hidden="1">
      <c r="B327" s="260"/>
      <c r="C327" s="260"/>
    </row>
    <row r="328" spans="2:5">
      <c r="B328" s="260"/>
      <c r="C328" s="260"/>
    </row>
    <row r="329" spans="2:5">
      <c r="B329" s="260" t="s">
        <v>104</v>
      </c>
      <c r="C329" s="260"/>
    </row>
    <row r="331" spans="2:5">
      <c r="B331" s="260" t="s">
        <v>105</v>
      </c>
      <c r="C331" s="260"/>
    </row>
    <row r="333" spans="2:5">
      <c r="B333" s="260" t="s">
        <v>106</v>
      </c>
      <c r="C333" s="260"/>
    </row>
    <row r="335" spans="2:5">
      <c r="B335" s="260" t="s">
        <v>107</v>
      </c>
      <c r="C335" s="276">
        <v>5168.7251661157843</v>
      </c>
      <c r="D335" s="260"/>
      <c r="E335" s="260"/>
    </row>
    <row r="336" spans="2:5">
      <c r="B336" s="260"/>
      <c r="C336" s="276">
        <v>1926137650.6707556</v>
      </c>
      <c r="D336" s="260"/>
      <c r="E336" s="260"/>
    </row>
    <row r="337" spans="2:5">
      <c r="B337" s="260" t="s">
        <v>108</v>
      </c>
      <c r="C337" s="260"/>
      <c r="D337" s="260"/>
      <c r="E337" s="260"/>
    </row>
    <row r="338" spans="2:5">
      <c r="B338" s="260" t="s">
        <v>109</v>
      </c>
      <c r="C338" s="260"/>
      <c r="D338" s="260"/>
      <c r="E338" s="260"/>
    </row>
    <row r="339" spans="2:5">
      <c r="B339" s="260" t="s">
        <v>110</v>
      </c>
      <c r="C339" s="260"/>
      <c r="D339" s="260"/>
      <c r="E339" s="276">
        <f>20000*341</f>
        <v>6820000</v>
      </c>
    </row>
    <row r="341" spans="2:5">
      <c r="B341" s="14" t="s">
        <v>111</v>
      </c>
      <c r="C341" s="17"/>
      <c r="D341" s="260"/>
      <c r="E341" s="260"/>
    </row>
    <row r="342" spans="2:5">
      <c r="B342" s="260"/>
      <c r="C342" s="18"/>
      <c r="D342" s="260"/>
      <c r="E342" s="260"/>
    </row>
    <row r="344" spans="2:5">
      <c r="B344" s="260"/>
      <c r="C344" s="260"/>
      <c r="D344" s="287">
        <f>D212*2722</f>
        <v>-2006787.026021875</v>
      </c>
      <c r="E344" s="260"/>
    </row>
    <row r="345" spans="2:5">
      <c r="B345" s="260"/>
      <c r="C345" s="260"/>
      <c r="D345" s="287">
        <f>D347+D344</f>
        <v>279498709.33359426</v>
      </c>
      <c r="E345" s="280">
        <f>D345/2722</f>
        <v>102681.37741866065</v>
      </c>
    </row>
    <row r="346" spans="2:5">
      <c r="B346" s="260" t="s">
        <v>112</v>
      </c>
      <c r="C346" s="260"/>
      <c r="D346" s="276">
        <f>(D212+D216)*(-2722)</f>
        <v>2006787.026021875</v>
      </c>
      <c r="E346" s="260"/>
    </row>
    <row r="347" spans="2:5">
      <c r="B347" s="260" t="s">
        <v>113</v>
      </c>
      <c r="C347" s="260"/>
      <c r="D347" s="276">
        <v>281505496.35961616</v>
      </c>
      <c r="E347" s="260"/>
    </row>
    <row r="351" spans="2:5">
      <c r="D351" s="276">
        <v>5842.054961732525</v>
      </c>
    </row>
    <row r="353" spans="4:4">
      <c r="D353" s="276">
        <f>D351*D212</f>
        <v>-4307038.9796148241</v>
      </c>
    </row>
  </sheetData>
  <mergeCells count="8">
    <mergeCell ref="A163:A170"/>
    <mergeCell ref="A23:A32"/>
    <mergeCell ref="A33:A40"/>
    <mergeCell ref="A51:A60"/>
    <mergeCell ref="A61:A68"/>
    <mergeCell ref="A124:A133"/>
    <mergeCell ref="A134:A147"/>
    <mergeCell ref="A153:A162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BB7-75ED-4000-B448-0434164C5D46}">
  <dimension ref="A1:K334"/>
  <sheetViews>
    <sheetView showGridLines="0" zoomScale="56" zoomScaleNormal="56" workbookViewId="0">
      <pane xSplit="3" ySplit="13" topLeftCell="D158" activePane="bottomRight" state="frozen"/>
      <selection pane="topRight" activeCell="C171" sqref="C171:C175"/>
      <selection pane="bottomLeft" activeCell="C171" sqref="C171:C175"/>
      <selection pane="bottomRight" activeCell="J191" sqref="J191"/>
    </sheetView>
  </sheetViews>
  <sheetFormatPr defaultColWidth="8.58203125" defaultRowHeight="14.5" outlineLevelRow="1"/>
  <cols>
    <col min="1" max="1" width="6.6640625" style="60" customWidth="1"/>
    <col min="2" max="2" width="34.08203125" style="60" customWidth="1"/>
    <col min="3" max="3" width="7.33203125" style="60" customWidth="1"/>
    <col min="4" max="4" width="18.33203125" style="69" customWidth="1"/>
    <col min="5" max="5" width="18.83203125" style="69" customWidth="1"/>
    <col min="6" max="7" width="18.58203125" style="69" hidden="1" customWidth="1"/>
    <col min="8" max="8" width="17.33203125" style="69" hidden="1" customWidth="1"/>
    <col min="9" max="9" width="12.08203125" style="60" hidden="1" customWidth="1"/>
    <col min="10" max="16384" width="8.58203125" style="60"/>
  </cols>
  <sheetData>
    <row r="1" spans="2:9" s="62" customFormat="1" ht="18" customHeight="1">
      <c r="B1" s="15" t="s">
        <v>0</v>
      </c>
      <c r="C1" s="15"/>
      <c r="D1" s="273"/>
      <c r="E1" s="47"/>
      <c r="F1" s="34" t="s">
        <v>126</v>
      </c>
      <c r="G1" s="273"/>
      <c r="H1" s="47"/>
      <c r="I1" s="273"/>
    </row>
    <row r="2" spans="2:9" s="64" customFormat="1">
      <c r="B2" s="24" t="s">
        <v>1</v>
      </c>
      <c r="C2" s="63"/>
      <c r="D2" s="48" t="s">
        <v>532</v>
      </c>
      <c r="E2" s="48" t="s">
        <v>529</v>
      </c>
      <c r="F2" s="48" t="str">
        <f>'Loan 1'!F2</f>
        <v>200k-319k</v>
      </c>
      <c r="G2" s="48" t="str">
        <f>'Loan 1'!G2</f>
        <v>320k-679k</v>
      </c>
      <c r="H2" s="48" t="str">
        <f>'Loan 1'!H2</f>
        <v>680k-1.999m</v>
      </c>
      <c r="I2" s="48" t="str">
        <f>'Loan 1'!I2</f>
        <v>Above 2m</v>
      </c>
    </row>
    <row r="3" spans="2:9" ht="6.75" customHeight="1">
      <c r="B3" s="260"/>
      <c r="C3" s="260"/>
      <c r="D3" s="310"/>
      <c r="E3" s="310"/>
      <c r="F3" s="310"/>
      <c r="G3" s="310"/>
      <c r="H3" s="310"/>
      <c r="I3" s="260"/>
    </row>
    <row r="4" spans="2:9">
      <c r="B4" s="260" t="s">
        <v>8</v>
      </c>
      <c r="C4" s="4"/>
      <c r="D4" s="49">
        <f>Model_Summary!F$149</f>
        <v>0.22500000000000028</v>
      </c>
      <c r="E4" s="49">
        <f>Model_Summary!G$149</f>
        <v>0.22500000000000028</v>
      </c>
      <c r="F4" s="49">
        <f>Model_Summary!H$149</f>
        <v>7.6550827397645904E-2</v>
      </c>
      <c r="G4" s="49">
        <f>Model_Summary!I$149</f>
        <v>7.3607288877850674E-2</v>
      </c>
      <c r="H4" s="49">
        <f>Model_Summary!J$149</f>
        <v>5.7015761698186812E-2</v>
      </c>
      <c r="I4" s="49">
        <f>Model_Summary!K$149</f>
        <v>5.391980220160545E-2</v>
      </c>
    </row>
    <row r="5" spans="2:9" ht="15" customHeight="1">
      <c r="B5" s="260" t="s">
        <v>9</v>
      </c>
      <c r="C5" s="4"/>
      <c r="D5" s="49">
        <f>Model_Summary!F150</f>
        <v>0.22499999999999998</v>
      </c>
      <c r="E5" s="49">
        <f>Model_Summary!G150</f>
        <v>0.22499999999999998</v>
      </c>
      <c r="F5" s="49">
        <f>Model_Summary!H150</f>
        <v>4.7E-2</v>
      </c>
      <c r="G5" s="49">
        <f>Model_Summary!I150</f>
        <v>4.4999999999999998E-2</v>
      </c>
      <c r="H5" s="49">
        <f>Model_Summary!J150</f>
        <v>3.4000000000000002E-2</v>
      </c>
      <c r="I5" s="49">
        <f>Model_Summary!K150</f>
        <v>3.2000000000000001E-2</v>
      </c>
    </row>
    <row r="6" spans="2:9" ht="15" customHeight="1">
      <c r="B6" s="260" t="s">
        <v>10</v>
      </c>
      <c r="C6" s="4"/>
      <c r="D6" s="50">
        <f>Model_Summary!F$153</f>
        <v>1</v>
      </c>
      <c r="E6" s="50">
        <f>Model_Summary!G$153</f>
        <v>1</v>
      </c>
      <c r="F6" s="50">
        <f>Model_Summary!H$153</f>
        <v>12</v>
      </c>
      <c r="G6" s="50">
        <f>Model_Summary!I$153</f>
        <v>12</v>
      </c>
      <c r="H6" s="50">
        <f>Model_Summary!J$153</f>
        <v>12</v>
      </c>
      <c r="I6" s="50">
        <f>Model_Summary!K$153</f>
        <v>12</v>
      </c>
    </row>
    <row r="7" spans="2:9" ht="15" customHeight="1">
      <c r="B7" s="260" t="s">
        <v>11</v>
      </c>
      <c r="C7" s="4"/>
      <c r="D7" s="49">
        <f>Model_Summary!F$154</f>
        <v>0.13500000000000001</v>
      </c>
      <c r="E7" s="49">
        <f>Model_Summary!G$154</f>
        <v>0.13500000000000001</v>
      </c>
      <c r="F7" s="49">
        <f>Model_Summary!H$154</f>
        <v>0.13500000000000001</v>
      </c>
      <c r="G7" s="49">
        <f>Model_Summary!I$154</f>
        <v>0.13500000000000001</v>
      </c>
      <c r="H7" s="49">
        <f>Model_Summary!J$154</f>
        <v>0.13500000000000001</v>
      </c>
      <c r="I7" s="49">
        <f>Model_Summary!K$154</f>
        <v>0.13500000000000001</v>
      </c>
    </row>
    <row r="8" spans="2:9">
      <c r="B8" s="274" t="s">
        <v>12</v>
      </c>
      <c r="C8" s="274"/>
      <c r="D8" s="51">
        <f>Model_Summary!F$155</f>
        <v>9.1260000000000008E-2</v>
      </c>
      <c r="E8" s="51">
        <f>Model_Summary!G$155</f>
        <v>9.1260000000000008E-2</v>
      </c>
      <c r="F8" s="51">
        <f>Model_Summary!H$155</f>
        <v>3.9E-2</v>
      </c>
      <c r="G8" s="51">
        <f>Model_Summary!I$155</f>
        <v>2.0400000000000001E-2</v>
      </c>
      <c r="H8" s="51">
        <f>Model_Summary!J$155</f>
        <v>1.6799999999999999E-2</v>
      </c>
      <c r="I8" s="51">
        <f>Model_Summary!K$155</f>
        <v>1.0799999999999999E-2</v>
      </c>
    </row>
    <row r="9" spans="2:9" ht="4" customHeight="1">
      <c r="B9" s="260"/>
      <c r="C9" s="260"/>
      <c r="D9" s="52"/>
      <c r="E9" s="52"/>
      <c r="F9" s="52"/>
      <c r="G9" s="52"/>
      <c r="H9" s="52"/>
      <c r="I9" s="52"/>
    </row>
    <row r="10" spans="2:9">
      <c r="B10" s="260" t="s">
        <v>13</v>
      </c>
      <c r="C10" s="260"/>
      <c r="D10" s="50">
        <f>Model_Summary!F$147</f>
        <v>1</v>
      </c>
      <c r="E10" s="50">
        <f>Model_Summary!G$147</f>
        <v>1</v>
      </c>
      <c r="F10" s="50">
        <f>Model_Summary!H$147</f>
        <v>1</v>
      </c>
      <c r="G10" s="50">
        <f>Model_Summary!I$147</f>
        <v>1</v>
      </c>
      <c r="H10" s="50">
        <f>Model_Summary!J$147</f>
        <v>1</v>
      </c>
      <c r="I10" s="50">
        <f>Model_Summary!K$147</f>
        <v>1</v>
      </c>
    </row>
    <row r="11" spans="2:9">
      <c r="B11" s="260" t="s">
        <v>14</v>
      </c>
      <c r="C11" s="276"/>
      <c r="D11" s="50">
        <f>Model_Summary!F$146</f>
        <v>6000</v>
      </c>
      <c r="E11" s="50">
        <f>Model_Summary!G$146</f>
        <v>30000</v>
      </c>
      <c r="F11" s="50">
        <f>Model_Summary!H$146</f>
        <v>240983.1716983215</v>
      </c>
      <c r="G11" s="50">
        <f>Model_Summary!I$146</f>
        <v>450900</v>
      </c>
      <c r="H11" s="50">
        <f>Model_Summary!J$146</f>
        <v>1500000</v>
      </c>
      <c r="I11" s="50">
        <f>Model_Summary!K$146</f>
        <v>3000000</v>
      </c>
    </row>
    <row r="12" spans="2:9" ht="4" customHeight="1">
      <c r="B12" s="260"/>
      <c r="C12" s="276"/>
      <c r="D12" s="311"/>
      <c r="E12" s="311"/>
      <c r="F12" s="311"/>
      <c r="G12" s="311"/>
      <c r="H12" s="311"/>
      <c r="I12" s="311"/>
    </row>
    <row r="13" spans="2:9" ht="15" thickBot="1">
      <c r="B13" s="2" t="s">
        <v>15</v>
      </c>
      <c r="C13" s="260"/>
      <c r="D13" s="53">
        <f t="shared" ref="D13:I13" si="0">D10*D11</f>
        <v>6000</v>
      </c>
      <c r="E13" s="53">
        <f t="shared" si="0"/>
        <v>30000</v>
      </c>
      <c r="F13" s="53">
        <f t="shared" si="0"/>
        <v>240983.1716983215</v>
      </c>
      <c r="G13" s="53">
        <f t="shared" si="0"/>
        <v>450900</v>
      </c>
      <c r="H13" s="53">
        <f t="shared" si="0"/>
        <v>1500000</v>
      </c>
      <c r="I13" s="53">
        <f t="shared" si="0"/>
        <v>3000000</v>
      </c>
    </row>
    <row r="14" spans="2:9" ht="15" thickTop="1">
      <c r="B14" s="260" t="s">
        <v>16</v>
      </c>
      <c r="C14" s="260"/>
      <c r="D14" s="70">
        <f>Model_Summary!F148</f>
        <v>0.9</v>
      </c>
      <c r="E14" s="70">
        <f>Model_Summary!G148</f>
        <v>0.9</v>
      </c>
      <c r="F14" s="70">
        <f>Model_Summary!H148</f>
        <v>0.89029003783102145</v>
      </c>
      <c r="G14" s="70">
        <f>Model_Summary!I148</f>
        <v>0.90071942446043163</v>
      </c>
      <c r="H14" s="70">
        <f>Model_Summary!J148</f>
        <v>0.88692098092643057</v>
      </c>
      <c r="I14" s="70">
        <f>Model_Summary!K148</f>
        <v>0.85359116022099446</v>
      </c>
    </row>
    <row r="15" spans="2:9">
      <c r="B15" s="260" t="s">
        <v>17</v>
      </c>
      <c r="C15" s="260"/>
      <c r="D15" s="312">
        <f t="shared" ref="D15:I15" si="1">(D10/D14)</f>
        <v>1.1111111111111112</v>
      </c>
      <c r="E15" s="312">
        <f t="shared" si="1"/>
        <v>1.1111111111111112</v>
      </c>
      <c r="F15" s="312">
        <f t="shared" si="1"/>
        <v>1.1232294617563738</v>
      </c>
      <c r="G15" s="312">
        <f t="shared" si="1"/>
        <v>1.110223642172524</v>
      </c>
      <c r="H15" s="312">
        <f t="shared" si="1"/>
        <v>1.1274961597542241</v>
      </c>
      <c r="I15" s="312">
        <f t="shared" si="1"/>
        <v>1.1715210355987056</v>
      </c>
    </row>
    <row r="16" spans="2:9">
      <c r="B16" s="2" t="s">
        <v>18</v>
      </c>
      <c r="C16" s="260"/>
      <c r="D16" s="49"/>
      <c r="E16" s="49"/>
      <c r="F16" s="49"/>
      <c r="G16" s="49"/>
      <c r="H16" s="49"/>
      <c r="I16" s="49"/>
    </row>
    <row r="17" spans="1:9">
      <c r="A17" s="260"/>
      <c r="B17" s="2" t="s">
        <v>19</v>
      </c>
      <c r="C17" s="260"/>
      <c r="D17" s="312">
        <f t="shared" ref="D17:I17" si="2">D$16*D13</f>
        <v>0</v>
      </c>
      <c r="E17" s="312">
        <f t="shared" si="2"/>
        <v>0</v>
      </c>
      <c r="F17" s="312">
        <f t="shared" si="2"/>
        <v>0</v>
      </c>
      <c r="G17" s="312">
        <f t="shared" si="2"/>
        <v>0</v>
      </c>
      <c r="H17" s="312">
        <f t="shared" si="2"/>
        <v>0</v>
      </c>
      <c r="I17" s="312">
        <f t="shared" si="2"/>
        <v>0</v>
      </c>
    </row>
    <row r="18" spans="1:9" s="62" customFormat="1" ht="4" customHeight="1">
      <c r="A18" s="273"/>
      <c r="B18" s="26"/>
      <c r="C18" s="260"/>
      <c r="D18" s="310"/>
      <c r="E18" s="310"/>
      <c r="F18" s="310"/>
      <c r="G18" s="310"/>
      <c r="H18" s="310"/>
      <c r="I18" s="310"/>
    </row>
    <row r="19" spans="1:9">
      <c r="A19" s="260"/>
      <c r="B19" s="2" t="s">
        <v>11</v>
      </c>
      <c r="C19" s="260"/>
      <c r="D19" s="313">
        <f t="shared" ref="D19:I19" si="3">D7</f>
        <v>0.13500000000000001</v>
      </c>
      <c r="E19" s="313">
        <f t="shared" si="3"/>
        <v>0.13500000000000001</v>
      </c>
      <c r="F19" s="313">
        <f t="shared" si="3"/>
        <v>0.13500000000000001</v>
      </c>
      <c r="G19" s="313">
        <f t="shared" si="3"/>
        <v>0.13500000000000001</v>
      </c>
      <c r="H19" s="313">
        <f t="shared" si="3"/>
        <v>0.13500000000000001</v>
      </c>
      <c r="I19" s="313">
        <f t="shared" si="3"/>
        <v>0.13500000000000001</v>
      </c>
    </row>
    <row r="20" spans="1:9" ht="4" customHeight="1">
      <c r="A20" s="260"/>
      <c r="B20" s="260"/>
      <c r="C20" s="260"/>
      <c r="D20" s="310"/>
      <c r="E20" s="310"/>
      <c r="F20" s="310"/>
      <c r="G20" s="310"/>
      <c r="H20" s="310"/>
      <c r="I20" s="310"/>
    </row>
    <row r="21" spans="1:9" ht="15" hidden="1" customHeight="1" outlineLevel="1">
      <c r="A21" s="260"/>
      <c r="B21" s="6" t="s">
        <v>20</v>
      </c>
      <c r="C21" s="2"/>
      <c r="D21" s="310"/>
      <c r="E21" s="310"/>
      <c r="F21" s="310"/>
      <c r="G21" s="310"/>
      <c r="H21" s="310"/>
      <c r="I21" s="310"/>
    </row>
    <row r="22" spans="1:9" ht="15" hidden="1" customHeight="1" outlineLevel="1">
      <c r="A22" s="753" t="s">
        <v>21</v>
      </c>
      <c r="B22" s="7" t="s">
        <v>22</v>
      </c>
      <c r="C22" s="260">
        <v>1</v>
      </c>
      <c r="D22" s="314">
        <f>IFERROR(PPMT($D$4,C22,$D$6,$D$11),0)</f>
        <v>-6000</v>
      </c>
      <c r="E22" s="314">
        <f>IFERROR(PPMT($E$4,C22,$E$6,$E$11),0)</f>
        <v>-29999.999999999993</v>
      </c>
      <c r="F22" s="314">
        <f>IFERROR(PPMT($F$4,C22,$F$6,$F$11),0)</f>
        <v>-12960.678862265762</v>
      </c>
      <c r="G22" s="314">
        <f>IFERROR(PPMT($G$4,C22,$G$6,$G$11),0)</f>
        <v>-24675.97344497708</v>
      </c>
      <c r="H22" s="314">
        <f>IFERROR(PPMT($H$4,C22,$H$6,$H$11),0)</f>
        <v>-90476.357452799362</v>
      </c>
      <c r="I22" s="314">
        <f>IFERROR(PPMT($I$4,C22,$I$6,$I$11),0)</f>
        <v>-184240.59339518344</v>
      </c>
    </row>
    <row r="23" spans="1:9" ht="15" hidden="1" customHeight="1" outlineLevel="1">
      <c r="A23" s="753"/>
      <c r="B23" s="7" t="s">
        <v>23</v>
      </c>
      <c r="C23" s="260">
        <v>2</v>
      </c>
      <c r="D23" s="314">
        <f t="shared" ref="D23:D45" si="4">IFERROR(PPMT($D$4,C23,$D$6,$D$11),0)</f>
        <v>0</v>
      </c>
      <c r="E23" s="314">
        <f t="shared" ref="E23:E45" si="5">IFERROR(PPMT($E$4,C23,$E$6,$E$11),0)</f>
        <v>0</v>
      </c>
      <c r="F23" s="314">
        <f t="shared" ref="F23:F45" si="6">IFERROR(PPMT($F$4,C23,$F$6,$F$11),0)</f>
        <v>-13952.829552807385</v>
      </c>
      <c r="G23" s="314">
        <f t="shared" ref="G23:G45" si="7">IFERROR(PPMT($G$4,C23,$G$6,$G$11),0)</f>
        <v>-26492.304950683683</v>
      </c>
      <c r="H23" s="314">
        <f>IFERROR(PPMT($H$4,C23,$H$6,$H$11),0)</f>
        <v>-95634.93588864815</v>
      </c>
      <c r="I23" s="314">
        <f t="shared" ref="I23:I45" si="8">IFERROR(PPMT($I$4,C23,$I$6,$I$11),0)</f>
        <v>-194174.80974855818</v>
      </c>
    </row>
    <row r="24" spans="1:9" ht="15" hidden="1" customHeight="1" outlineLevel="1">
      <c r="A24" s="753"/>
      <c r="B24" s="7" t="s">
        <v>24</v>
      </c>
      <c r="C24" s="260">
        <v>3</v>
      </c>
      <c r="D24" s="314">
        <f t="shared" si="4"/>
        <v>0</v>
      </c>
      <c r="E24" s="314">
        <f t="shared" si="5"/>
        <v>0</v>
      </c>
      <c r="F24" s="314">
        <f t="shared" si="6"/>
        <v>-15020.930199613118</v>
      </c>
      <c r="G24" s="314">
        <f t="shared" si="7"/>
        <v>-28442.331694228764</v>
      </c>
      <c r="H24" s="314">
        <f t="shared" ref="H24:H45" si="9">IFERROR(PPMT($H$4,C24,$H$6,$H$11),0)</f>
        <v>-101087.63460329668</v>
      </c>
      <c r="I24" s="314">
        <f t="shared" si="8"/>
        <v>-204644.67708273479</v>
      </c>
    </row>
    <row r="25" spans="1:9" ht="15" hidden="1" customHeight="1" outlineLevel="1">
      <c r="A25" s="753"/>
      <c r="B25" s="7" t="s">
        <v>25</v>
      </c>
      <c r="C25" s="260">
        <v>4</v>
      </c>
      <c r="D25" s="314">
        <f t="shared" si="4"/>
        <v>0</v>
      </c>
      <c r="E25" s="314">
        <f t="shared" si="5"/>
        <v>0</v>
      </c>
      <c r="F25" s="314">
        <f t="shared" si="6"/>
        <v>-16170.794834675788</v>
      </c>
      <c r="G25" s="314">
        <f t="shared" si="7"/>
        <v>-30535.894619605515</v>
      </c>
      <c r="H25" s="314">
        <f t="shared" si="9"/>
        <v>-106851.22308847163</v>
      </c>
      <c r="I25" s="314">
        <f t="shared" si="8"/>
        <v>-215679.07759264731</v>
      </c>
    </row>
    <row r="26" spans="1:9" ht="15" hidden="1" customHeight="1" outlineLevel="1">
      <c r="A26" s="753"/>
      <c r="B26" s="7" t="s">
        <v>26</v>
      </c>
      <c r="C26" s="260">
        <v>5</v>
      </c>
      <c r="D26" s="314">
        <f t="shared" si="4"/>
        <v>0</v>
      </c>
      <c r="E26" s="314">
        <f t="shared" si="5"/>
        <v>0</v>
      </c>
      <c r="F26" s="314">
        <f t="shared" si="6"/>
        <v>-17408.682558947796</v>
      </c>
      <c r="G26" s="314">
        <f t="shared" si="7"/>
        <v>-32783.55903601442</v>
      </c>
      <c r="H26" s="314">
        <f t="shared" si="9"/>
        <v>-112943.42696124372</v>
      </c>
      <c r="I26" s="314">
        <f t="shared" si="8"/>
        <v>-227308.45079546754</v>
      </c>
    </row>
    <row r="27" spans="1:9" ht="15" hidden="1" customHeight="1" outlineLevel="1">
      <c r="A27" s="753"/>
      <c r="B27" s="7" t="s">
        <v>27</v>
      </c>
      <c r="C27" s="260">
        <v>6</v>
      </c>
      <c r="D27" s="314">
        <f t="shared" si="4"/>
        <v>0</v>
      </c>
      <c r="E27" s="314">
        <f t="shared" si="5"/>
        <v>0</v>
      </c>
      <c r="F27" s="314">
        <f t="shared" si="6"/>
        <v>-18741.331612738217</v>
      </c>
      <c r="G27" s="314">
        <f t="shared" si="7"/>
        <v>-35196.667936422404</v>
      </c>
      <c r="H27" s="314">
        <f t="shared" si="9"/>
        <v>-119382.98247824257</v>
      </c>
      <c r="I27" s="314">
        <f t="shared" si="8"/>
        <v>-239564.87750111253</v>
      </c>
    </row>
    <row r="28" spans="1:9" ht="15" hidden="1" customHeight="1" outlineLevel="1">
      <c r="A28" s="753"/>
      <c r="B28" s="7" t="s">
        <v>28</v>
      </c>
      <c r="C28" s="260">
        <v>7</v>
      </c>
      <c r="D28" s="314">
        <f t="shared" si="4"/>
        <v>0</v>
      </c>
      <c r="E28" s="314">
        <f t="shared" si="5"/>
        <v>0</v>
      </c>
      <c r="F28" s="314">
        <f t="shared" si="6"/>
        <v>-20175.996054226984</v>
      </c>
      <c r="G28" s="314">
        <f t="shared" si="7"/>
        <v>-37787.399240756436</v>
      </c>
      <c r="H28" s="314">
        <f t="shared" si="9"/>
        <v>-126189.69415804085</v>
      </c>
      <c r="I28" s="314">
        <f t="shared" si="8"/>
        <v>-252482.16831042428</v>
      </c>
    </row>
    <row r="29" spans="1:9" ht="15" hidden="1" customHeight="1" outlineLevel="1">
      <c r="A29" s="753"/>
      <c r="B29" s="7" t="s">
        <v>29</v>
      </c>
      <c r="C29" s="260">
        <v>8</v>
      </c>
      <c r="D29" s="314">
        <f t="shared" si="4"/>
        <v>0</v>
      </c>
      <c r="E29" s="314">
        <f t="shared" si="5"/>
        <v>0</v>
      </c>
      <c r="F29" s="314">
        <f t="shared" si="6"/>
        <v>-21720.4852457497</v>
      </c>
      <c r="G29" s="314">
        <f t="shared" si="7"/>
        <v>-40568.827252613468</v>
      </c>
      <c r="H29" s="314">
        <f t="shared" si="9"/>
        <v>-133384.49568892279</v>
      </c>
      <c r="I29" s="314">
        <f t="shared" si="8"/>
        <v>-266095.95688515488</v>
      </c>
    </row>
    <row r="30" spans="1:9" ht="15" hidden="1" customHeight="1" outlineLevel="1">
      <c r="A30" s="753"/>
      <c r="B30" s="7" t="s">
        <v>30</v>
      </c>
      <c r="C30" s="260">
        <v>9</v>
      </c>
      <c r="D30" s="314">
        <f t="shared" si="4"/>
        <v>0</v>
      </c>
      <c r="E30" s="314">
        <f t="shared" si="5"/>
        <v>0</v>
      </c>
      <c r="F30" s="314">
        <f t="shared" si="6"/>
        <v>-23383.206362790199</v>
      </c>
      <c r="G30" s="314">
        <f t="shared" si="7"/>
        <v>-43554.988639632211</v>
      </c>
      <c r="H30" s="314">
        <f t="shared" si="9"/>
        <v>-140989.51430935523</v>
      </c>
      <c r="I30" s="314">
        <f t="shared" si="8"/>
        <v>-280443.79824704939</v>
      </c>
    </row>
    <row r="31" spans="1:9" ht="15" hidden="1" customHeight="1" outlineLevel="1">
      <c r="A31" s="753"/>
      <c r="B31" s="7" t="s">
        <v>31</v>
      </c>
      <c r="C31" s="260">
        <v>10</v>
      </c>
      <c r="D31" s="314">
        <f t="shared" si="4"/>
        <v>0</v>
      </c>
      <c r="E31" s="314">
        <f t="shared" si="5"/>
        <v>0</v>
      </c>
      <c r="F31" s="314">
        <f t="shared" si="6"/>
        <v>-25173.210157071688</v>
      </c>
      <c r="G31" s="314">
        <f t="shared" si="7"/>
        <v>-46760.953270501122</v>
      </c>
      <c r="H31" s="314">
        <f t="shared" si="9"/>
        <v>-149028.13885916051</v>
      </c>
      <c r="I31" s="314">
        <f t="shared" si="8"/>
        <v>-295565.27237719722</v>
      </c>
    </row>
    <row r="32" spans="1:9" ht="15" hidden="1" customHeight="1" outlineLevel="1">
      <c r="A32" s="753" t="s">
        <v>32</v>
      </c>
      <c r="B32" s="7" t="s">
        <v>33</v>
      </c>
      <c r="C32" s="260">
        <v>11</v>
      </c>
      <c r="D32" s="314">
        <f t="shared" si="4"/>
        <v>0</v>
      </c>
      <c r="E32" s="314">
        <f t="shared" si="5"/>
        <v>0</v>
      </c>
      <c r="F32" s="314">
        <f t="shared" si="6"/>
        <v>-27100.240222850352</v>
      </c>
      <c r="G32" s="314">
        <f t="shared" si="7"/>
        <v>-50202.900266086574</v>
      </c>
      <c r="H32" s="314">
        <f t="shared" si="9"/>
        <v>-157525.09171067871</v>
      </c>
      <c r="I32" s="314">
        <f t="shared" si="8"/>
        <v>-311502.09340143931</v>
      </c>
    </row>
    <row r="33" spans="1:9" ht="15" hidden="1" customHeight="1" outlineLevel="1">
      <c r="A33" s="753"/>
      <c r="B33" s="7" t="s">
        <v>34</v>
      </c>
      <c r="C33" s="260">
        <v>12</v>
      </c>
      <c r="D33" s="314">
        <f t="shared" si="4"/>
        <v>0</v>
      </c>
      <c r="E33" s="314">
        <f t="shared" si="5"/>
        <v>0</v>
      </c>
      <c r="F33" s="314">
        <f t="shared" si="6"/>
        <v>-29174.786034584507</v>
      </c>
      <c r="G33" s="314">
        <f t="shared" si="7"/>
        <v>-53898.199648478338</v>
      </c>
      <c r="H33" s="314">
        <f t="shared" si="9"/>
        <v>-166506.50480113979</v>
      </c>
      <c r="I33" s="314">
        <f t="shared" si="8"/>
        <v>-328298.22466303094</v>
      </c>
    </row>
    <row r="34" spans="1:9" ht="15" hidden="1" customHeight="1" outlineLevel="1">
      <c r="A34" s="753"/>
      <c r="B34" s="7" t="s">
        <v>22</v>
      </c>
      <c r="C34" s="260">
        <v>13</v>
      </c>
      <c r="D34" s="314">
        <f t="shared" si="4"/>
        <v>0</v>
      </c>
      <c r="E34" s="314">
        <f t="shared" si="5"/>
        <v>0</v>
      </c>
      <c r="F34" s="314">
        <f t="shared" si="6"/>
        <v>0</v>
      </c>
      <c r="G34" s="314">
        <f t="shared" si="7"/>
        <v>0</v>
      </c>
      <c r="H34" s="314">
        <f t="shared" si="9"/>
        <v>0</v>
      </c>
      <c r="I34" s="314">
        <f>IFERROR(PPMT($I$4,C34,$I$6,$I$11),0)</f>
        <v>0</v>
      </c>
    </row>
    <row r="35" spans="1:9" ht="15" hidden="1" customHeight="1" outlineLevel="1">
      <c r="A35" s="753"/>
      <c r="B35" s="7" t="s">
        <v>23</v>
      </c>
      <c r="C35" s="260">
        <v>14</v>
      </c>
      <c r="D35" s="314">
        <f t="shared" si="4"/>
        <v>0</v>
      </c>
      <c r="E35" s="314">
        <f t="shared" si="5"/>
        <v>0</v>
      </c>
      <c r="F35" s="314">
        <f t="shared" si="6"/>
        <v>0</v>
      </c>
      <c r="G35" s="314">
        <f t="shared" si="7"/>
        <v>0</v>
      </c>
      <c r="H35" s="314">
        <f t="shared" si="9"/>
        <v>0</v>
      </c>
      <c r="I35" s="314">
        <f t="shared" si="8"/>
        <v>0</v>
      </c>
    </row>
    <row r="36" spans="1:9" ht="15" hidden="1" customHeight="1" outlineLevel="1">
      <c r="A36" s="753"/>
      <c r="B36" s="7" t="s">
        <v>24</v>
      </c>
      <c r="C36" s="260">
        <v>15</v>
      </c>
      <c r="D36" s="314">
        <f t="shared" si="4"/>
        <v>0</v>
      </c>
      <c r="E36" s="314">
        <f t="shared" si="5"/>
        <v>0</v>
      </c>
      <c r="F36" s="314">
        <f t="shared" si="6"/>
        <v>0</v>
      </c>
      <c r="G36" s="314">
        <f t="shared" si="7"/>
        <v>0</v>
      </c>
      <c r="H36" s="314">
        <f t="shared" si="9"/>
        <v>0</v>
      </c>
      <c r="I36" s="314">
        <f t="shared" si="8"/>
        <v>0</v>
      </c>
    </row>
    <row r="37" spans="1:9" ht="15" hidden="1" customHeight="1" outlineLevel="1">
      <c r="A37" s="753"/>
      <c r="B37" s="7" t="s">
        <v>25</v>
      </c>
      <c r="C37" s="260">
        <v>16</v>
      </c>
      <c r="D37" s="314">
        <f t="shared" si="4"/>
        <v>0</v>
      </c>
      <c r="E37" s="314">
        <f t="shared" si="5"/>
        <v>0</v>
      </c>
      <c r="F37" s="314">
        <f t="shared" si="6"/>
        <v>0</v>
      </c>
      <c r="G37" s="314">
        <f t="shared" si="7"/>
        <v>0</v>
      </c>
      <c r="H37" s="314">
        <f t="shared" si="9"/>
        <v>0</v>
      </c>
      <c r="I37" s="314">
        <f t="shared" si="8"/>
        <v>0</v>
      </c>
    </row>
    <row r="38" spans="1:9" ht="15" hidden="1" customHeight="1" outlineLevel="1">
      <c r="A38" s="753"/>
      <c r="B38" s="7" t="s">
        <v>26</v>
      </c>
      <c r="C38" s="260">
        <v>17</v>
      </c>
      <c r="D38" s="314">
        <f t="shared" si="4"/>
        <v>0</v>
      </c>
      <c r="E38" s="314">
        <f t="shared" si="5"/>
        <v>0</v>
      </c>
      <c r="F38" s="314">
        <f t="shared" si="6"/>
        <v>0</v>
      </c>
      <c r="G38" s="314">
        <f t="shared" si="7"/>
        <v>0</v>
      </c>
      <c r="H38" s="314">
        <f t="shared" si="9"/>
        <v>0</v>
      </c>
      <c r="I38" s="314">
        <f t="shared" si="8"/>
        <v>0</v>
      </c>
    </row>
    <row r="39" spans="1:9" ht="15" hidden="1" customHeight="1" outlineLevel="1">
      <c r="A39" s="753"/>
      <c r="B39" s="7" t="s">
        <v>27</v>
      </c>
      <c r="C39" s="260">
        <v>18</v>
      </c>
      <c r="D39" s="314">
        <f t="shared" si="4"/>
        <v>0</v>
      </c>
      <c r="E39" s="314">
        <f t="shared" si="5"/>
        <v>0</v>
      </c>
      <c r="F39" s="314">
        <f t="shared" si="6"/>
        <v>0</v>
      </c>
      <c r="G39" s="314">
        <f t="shared" si="7"/>
        <v>0</v>
      </c>
      <c r="H39" s="314">
        <f t="shared" si="9"/>
        <v>0</v>
      </c>
      <c r="I39" s="314">
        <f t="shared" si="8"/>
        <v>0</v>
      </c>
    </row>
    <row r="40" spans="1:9" ht="15" hidden="1" customHeight="1" outlineLevel="1">
      <c r="A40" s="637"/>
      <c r="B40" s="566" t="s">
        <v>28</v>
      </c>
      <c r="C40" s="260">
        <v>19</v>
      </c>
      <c r="D40" s="314">
        <f t="shared" si="4"/>
        <v>0</v>
      </c>
      <c r="E40" s="314">
        <f t="shared" si="5"/>
        <v>0</v>
      </c>
      <c r="F40" s="314">
        <f t="shared" si="6"/>
        <v>0</v>
      </c>
      <c r="G40" s="314">
        <f t="shared" si="7"/>
        <v>0</v>
      </c>
      <c r="H40" s="314">
        <f t="shared" si="9"/>
        <v>0</v>
      </c>
      <c r="I40" s="314">
        <f t="shared" si="8"/>
        <v>0</v>
      </c>
    </row>
    <row r="41" spans="1:9" ht="15" hidden="1" customHeight="1" outlineLevel="1">
      <c r="A41" s="637"/>
      <c r="B41" s="566" t="s">
        <v>29</v>
      </c>
      <c r="C41" s="260">
        <v>20</v>
      </c>
      <c r="D41" s="314">
        <f t="shared" si="4"/>
        <v>0</v>
      </c>
      <c r="E41" s="314">
        <f t="shared" si="5"/>
        <v>0</v>
      </c>
      <c r="F41" s="314">
        <f t="shared" si="6"/>
        <v>0</v>
      </c>
      <c r="G41" s="314">
        <f t="shared" si="7"/>
        <v>0</v>
      </c>
      <c r="H41" s="314">
        <f t="shared" si="9"/>
        <v>0</v>
      </c>
      <c r="I41" s="314">
        <f t="shared" si="8"/>
        <v>0</v>
      </c>
    </row>
    <row r="42" spans="1:9" ht="15" hidden="1" customHeight="1" outlineLevel="1">
      <c r="A42" s="637"/>
      <c r="B42" s="566" t="s">
        <v>30</v>
      </c>
      <c r="C42" s="260">
        <v>21</v>
      </c>
      <c r="D42" s="314">
        <f t="shared" si="4"/>
        <v>0</v>
      </c>
      <c r="E42" s="314">
        <f t="shared" si="5"/>
        <v>0</v>
      </c>
      <c r="F42" s="314">
        <f t="shared" si="6"/>
        <v>0</v>
      </c>
      <c r="G42" s="314">
        <f t="shared" si="7"/>
        <v>0</v>
      </c>
      <c r="H42" s="314">
        <f t="shared" si="9"/>
        <v>0</v>
      </c>
      <c r="I42" s="314">
        <f t="shared" si="8"/>
        <v>0</v>
      </c>
    </row>
    <row r="43" spans="1:9" ht="15" hidden="1" customHeight="1" outlineLevel="1">
      <c r="A43" s="637"/>
      <c r="B43" s="566" t="s">
        <v>31</v>
      </c>
      <c r="C43" s="260">
        <v>22</v>
      </c>
      <c r="D43" s="314">
        <f t="shared" si="4"/>
        <v>0</v>
      </c>
      <c r="E43" s="314">
        <f t="shared" si="5"/>
        <v>0</v>
      </c>
      <c r="F43" s="314">
        <f t="shared" si="6"/>
        <v>0</v>
      </c>
      <c r="G43" s="314">
        <f t="shared" si="7"/>
        <v>0</v>
      </c>
      <c r="H43" s="314">
        <f t="shared" si="9"/>
        <v>0</v>
      </c>
      <c r="I43" s="314">
        <f t="shared" si="8"/>
        <v>0</v>
      </c>
    </row>
    <row r="44" spans="1:9" ht="15" hidden="1" customHeight="1" outlineLevel="1">
      <c r="A44" s="637"/>
      <c r="B44" s="566" t="s">
        <v>33</v>
      </c>
      <c r="C44" s="260">
        <v>23</v>
      </c>
      <c r="D44" s="314">
        <f t="shared" si="4"/>
        <v>0</v>
      </c>
      <c r="E44" s="314">
        <f t="shared" si="5"/>
        <v>0</v>
      </c>
      <c r="F44" s="314">
        <f t="shared" si="6"/>
        <v>0</v>
      </c>
      <c r="G44" s="314">
        <f t="shared" si="7"/>
        <v>0</v>
      </c>
      <c r="H44" s="314">
        <f t="shared" si="9"/>
        <v>0</v>
      </c>
      <c r="I44" s="314">
        <f t="shared" si="8"/>
        <v>0</v>
      </c>
    </row>
    <row r="45" spans="1:9" ht="15" hidden="1" customHeight="1" outlineLevel="1">
      <c r="A45" s="637"/>
      <c r="B45" s="566" t="s">
        <v>34</v>
      </c>
      <c r="C45" s="260">
        <v>24</v>
      </c>
      <c r="D45" s="314">
        <f t="shared" si="4"/>
        <v>0</v>
      </c>
      <c r="E45" s="314">
        <f t="shared" si="5"/>
        <v>0</v>
      </c>
      <c r="F45" s="314">
        <f t="shared" si="6"/>
        <v>0</v>
      </c>
      <c r="G45" s="314">
        <f t="shared" si="7"/>
        <v>0</v>
      </c>
      <c r="H45" s="314">
        <f t="shared" si="9"/>
        <v>0</v>
      </c>
      <c r="I45" s="314">
        <f t="shared" si="8"/>
        <v>0</v>
      </c>
    </row>
    <row r="46" spans="1:9" ht="15" hidden="1" customHeight="1" outlineLevel="1">
      <c r="A46" s="260"/>
      <c r="B46" s="6"/>
      <c r="C46" s="2"/>
      <c r="D46" s="310"/>
      <c r="E46" s="310"/>
      <c r="F46" s="310"/>
      <c r="G46" s="310"/>
      <c r="H46" s="310"/>
      <c r="I46" s="310"/>
    </row>
    <row r="47" spans="1:9" ht="15" hidden="1" customHeight="1" outlineLevel="1">
      <c r="A47" s="260"/>
      <c r="B47" s="6"/>
      <c r="C47" s="2"/>
      <c r="D47" s="310"/>
      <c r="E47" s="310"/>
      <c r="F47" s="310"/>
      <c r="G47" s="310"/>
      <c r="H47" s="310"/>
      <c r="I47" s="310"/>
    </row>
    <row r="48" spans="1:9" ht="15" hidden="1" customHeight="1" outlineLevel="1">
      <c r="A48" s="260"/>
      <c r="B48" s="6"/>
      <c r="C48" s="2"/>
      <c r="D48" s="315"/>
      <c r="E48" s="310"/>
      <c r="F48" s="310"/>
      <c r="G48" s="310"/>
      <c r="H48" s="310"/>
      <c r="I48" s="310"/>
    </row>
    <row r="49" spans="1:9" ht="15" hidden="1" customHeight="1" outlineLevel="1">
      <c r="A49" s="260"/>
      <c r="B49" s="9" t="s">
        <v>35</v>
      </c>
      <c r="C49" s="2"/>
      <c r="D49" s="310"/>
      <c r="E49" s="310"/>
      <c r="F49" s="310"/>
      <c r="G49" s="310"/>
      <c r="H49" s="310"/>
      <c r="I49" s="310"/>
    </row>
    <row r="50" spans="1:9" ht="15" hidden="1" customHeight="1" outlineLevel="1">
      <c r="A50" s="753" t="s">
        <v>21</v>
      </c>
      <c r="B50" s="7" t="s">
        <v>22</v>
      </c>
      <c r="C50" s="260">
        <v>1</v>
      </c>
      <c r="D50" s="314">
        <f t="shared" ref="D50:I61" si="10">D22+D115</f>
        <v>-7350.0000000000018</v>
      </c>
      <c r="E50" s="314">
        <f t="shared" si="10"/>
        <v>-36750</v>
      </c>
      <c r="F50" s="314">
        <f t="shared" si="10"/>
        <v>-31408.14004468124</v>
      </c>
      <c r="G50" s="314">
        <f t="shared" si="10"/>
        <v>-57865.499999999942</v>
      </c>
      <c r="H50" s="314">
        <f t="shared" si="10"/>
        <v>-176000.00000007957</v>
      </c>
      <c r="I50" s="314">
        <f t="shared" si="10"/>
        <v>-345999.99999999977</v>
      </c>
    </row>
    <row r="51" spans="1:9" ht="15" hidden="1" customHeight="1" outlineLevel="1">
      <c r="A51" s="753"/>
      <c r="B51" s="7" t="s">
        <v>23</v>
      </c>
      <c r="C51" s="260">
        <v>2</v>
      </c>
      <c r="D51" s="314">
        <f t="shared" si="10"/>
        <v>0</v>
      </c>
      <c r="E51" s="314">
        <f t="shared" si="10"/>
        <v>0</v>
      </c>
      <c r="F51" s="314">
        <f t="shared" si="10"/>
        <v>-31408.14004468124</v>
      </c>
      <c r="G51" s="314">
        <f t="shared" si="10"/>
        <v>-57865.499999999949</v>
      </c>
      <c r="H51" s="314">
        <f t="shared" si="10"/>
        <v>-176000.00000007957</v>
      </c>
      <c r="I51" s="314">
        <f t="shared" si="10"/>
        <v>-345999.99999999977</v>
      </c>
    </row>
    <row r="52" spans="1:9" ht="15" hidden="1" customHeight="1" outlineLevel="1">
      <c r="A52" s="753"/>
      <c r="B52" s="7" t="s">
        <v>24</v>
      </c>
      <c r="C52" s="260">
        <v>3</v>
      </c>
      <c r="D52" s="314">
        <f t="shared" si="10"/>
        <v>0</v>
      </c>
      <c r="E52" s="314">
        <f t="shared" si="10"/>
        <v>0</v>
      </c>
      <c r="F52" s="314">
        <f t="shared" si="10"/>
        <v>-31408.140044681237</v>
      </c>
      <c r="G52" s="314">
        <f t="shared" si="10"/>
        <v>-57865.499999999942</v>
      </c>
      <c r="H52" s="314">
        <f t="shared" si="10"/>
        <v>-176000.00000007957</v>
      </c>
      <c r="I52" s="314">
        <f t="shared" si="10"/>
        <v>-345999.99999999977</v>
      </c>
    </row>
    <row r="53" spans="1:9" ht="15" hidden="1" customHeight="1" outlineLevel="1">
      <c r="A53" s="753"/>
      <c r="B53" s="7" t="s">
        <v>25</v>
      </c>
      <c r="C53" s="260">
        <v>4</v>
      </c>
      <c r="D53" s="314">
        <f t="shared" si="10"/>
        <v>0</v>
      </c>
      <c r="E53" s="314">
        <f t="shared" si="10"/>
        <v>0</v>
      </c>
      <c r="F53" s="314">
        <f t="shared" si="10"/>
        <v>-31408.140044681237</v>
      </c>
      <c r="G53" s="314">
        <f t="shared" si="10"/>
        <v>-57865.499999999949</v>
      </c>
      <c r="H53" s="314">
        <f t="shared" si="10"/>
        <v>-176000.00000007957</v>
      </c>
      <c r="I53" s="314">
        <f t="shared" si="10"/>
        <v>-345999.99999999983</v>
      </c>
    </row>
    <row r="54" spans="1:9" ht="15" hidden="1" customHeight="1" outlineLevel="1">
      <c r="A54" s="753"/>
      <c r="B54" s="7" t="s">
        <v>26</v>
      </c>
      <c r="C54" s="260">
        <v>5</v>
      </c>
      <c r="D54" s="314">
        <f t="shared" si="10"/>
        <v>0</v>
      </c>
      <c r="E54" s="314">
        <f t="shared" si="10"/>
        <v>0</v>
      </c>
      <c r="F54" s="314">
        <f t="shared" si="10"/>
        <v>-31408.140044681233</v>
      </c>
      <c r="G54" s="314">
        <f t="shared" si="10"/>
        <v>-57865.499999999942</v>
      </c>
      <c r="H54" s="314">
        <f t="shared" si="10"/>
        <v>-176000.00000007957</v>
      </c>
      <c r="I54" s="314">
        <f t="shared" si="10"/>
        <v>-345999.99999999983</v>
      </c>
    </row>
    <row r="55" spans="1:9" ht="15" hidden="1" customHeight="1" outlineLevel="1">
      <c r="A55" s="753"/>
      <c r="B55" s="7" t="s">
        <v>27</v>
      </c>
      <c r="C55" s="260">
        <v>6</v>
      </c>
      <c r="D55" s="314">
        <f t="shared" si="10"/>
        <v>0</v>
      </c>
      <c r="E55" s="314">
        <f t="shared" si="10"/>
        <v>0</v>
      </c>
      <c r="F55" s="314">
        <f t="shared" si="10"/>
        <v>-31408.140044681237</v>
      </c>
      <c r="G55" s="314">
        <f t="shared" si="10"/>
        <v>-57865.499999999942</v>
      </c>
      <c r="H55" s="314">
        <f t="shared" si="10"/>
        <v>-176000.0000000796</v>
      </c>
      <c r="I55" s="314">
        <f t="shared" si="10"/>
        <v>-345999.99999999983</v>
      </c>
    </row>
    <row r="56" spans="1:9" ht="15" hidden="1" customHeight="1" outlineLevel="1">
      <c r="A56" s="753"/>
      <c r="B56" s="7" t="s">
        <v>28</v>
      </c>
      <c r="C56" s="260">
        <v>7</v>
      </c>
      <c r="D56" s="314">
        <f t="shared" si="10"/>
        <v>0</v>
      </c>
      <c r="E56" s="314">
        <f t="shared" si="10"/>
        <v>0</v>
      </c>
      <c r="F56" s="314">
        <f t="shared" si="10"/>
        <v>-31408.140044681233</v>
      </c>
      <c r="G56" s="314">
        <f t="shared" si="10"/>
        <v>-57865.499999999956</v>
      </c>
      <c r="H56" s="314">
        <f t="shared" si="10"/>
        <v>-176000.00000007957</v>
      </c>
      <c r="I56" s="314">
        <f t="shared" si="10"/>
        <v>-345999.99999999977</v>
      </c>
    </row>
    <row r="57" spans="1:9" ht="15" hidden="1" customHeight="1" outlineLevel="1">
      <c r="A57" s="753"/>
      <c r="B57" s="7" t="s">
        <v>29</v>
      </c>
      <c r="C57" s="260">
        <v>8</v>
      </c>
      <c r="D57" s="314">
        <f t="shared" si="10"/>
        <v>0</v>
      </c>
      <c r="E57" s="314">
        <f t="shared" si="10"/>
        <v>0</v>
      </c>
      <c r="F57" s="314">
        <f t="shared" si="10"/>
        <v>-31408.140044681233</v>
      </c>
      <c r="G57" s="314">
        <f t="shared" si="10"/>
        <v>-57865.499999999942</v>
      </c>
      <c r="H57" s="314">
        <f t="shared" si="10"/>
        <v>-176000.00000007957</v>
      </c>
      <c r="I57" s="314">
        <f t="shared" si="10"/>
        <v>-345999.99999999977</v>
      </c>
    </row>
    <row r="58" spans="1:9" ht="15" hidden="1" customHeight="1" outlineLevel="1">
      <c r="A58" s="753"/>
      <c r="B58" s="7" t="s">
        <v>30</v>
      </c>
      <c r="C58" s="260">
        <v>9</v>
      </c>
      <c r="D58" s="314">
        <f t="shared" si="10"/>
        <v>0</v>
      </c>
      <c r="E58" s="314">
        <f t="shared" si="10"/>
        <v>0</v>
      </c>
      <c r="F58" s="314">
        <f t="shared" si="10"/>
        <v>-31408.140044681237</v>
      </c>
      <c r="G58" s="314">
        <f t="shared" si="10"/>
        <v>-57865.499999999949</v>
      </c>
      <c r="H58" s="314">
        <f t="shared" si="10"/>
        <v>-176000.00000007957</v>
      </c>
      <c r="I58" s="314">
        <f t="shared" si="10"/>
        <v>-345999.99999999983</v>
      </c>
    </row>
    <row r="59" spans="1:9" ht="15" hidden="1" customHeight="1" outlineLevel="1">
      <c r="A59" s="753"/>
      <c r="B59" s="7" t="s">
        <v>31</v>
      </c>
      <c r="C59" s="260">
        <v>10</v>
      </c>
      <c r="D59" s="314">
        <f t="shared" si="10"/>
        <v>0</v>
      </c>
      <c r="E59" s="314">
        <f t="shared" si="10"/>
        <v>0</v>
      </c>
      <c r="F59" s="314">
        <f t="shared" si="10"/>
        <v>-31408.140044681237</v>
      </c>
      <c r="G59" s="314">
        <f t="shared" si="10"/>
        <v>-57865.499999999949</v>
      </c>
      <c r="H59" s="314">
        <f t="shared" si="10"/>
        <v>-176000.00000007957</v>
      </c>
      <c r="I59" s="314">
        <f t="shared" si="10"/>
        <v>-345999.99999999983</v>
      </c>
    </row>
    <row r="60" spans="1:9" ht="15" hidden="1" customHeight="1" outlineLevel="1">
      <c r="A60" s="753" t="s">
        <v>32</v>
      </c>
      <c r="B60" s="7" t="s">
        <v>33</v>
      </c>
      <c r="C60" s="260">
        <v>11</v>
      </c>
      <c r="D60" s="314">
        <f t="shared" si="10"/>
        <v>0</v>
      </c>
      <c r="E60" s="314">
        <f t="shared" si="10"/>
        <v>0</v>
      </c>
      <c r="F60" s="314">
        <f t="shared" si="10"/>
        <v>-31408.14004468124</v>
      </c>
      <c r="G60" s="314">
        <f t="shared" si="10"/>
        <v>-57865.499999999949</v>
      </c>
      <c r="H60" s="314">
        <f t="shared" si="10"/>
        <v>-176000.00000007957</v>
      </c>
      <c r="I60" s="314">
        <f t="shared" si="10"/>
        <v>-345999.99999999983</v>
      </c>
    </row>
    <row r="61" spans="1:9" ht="15" hidden="1" customHeight="1" outlineLevel="1">
      <c r="A61" s="753"/>
      <c r="B61" s="7" t="s">
        <v>34</v>
      </c>
      <c r="C61" s="260">
        <v>12</v>
      </c>
      <c r="D61" s="314">
        <f t="shared" si="10"/>
        <v>0</v>
      </c>
      <c r="E61" s="314">
        <f t="shared" si="10"/>
        <v>0</v>
      </c>
      <c r="F61" s="314">
        <f t="shared" si="10"/>
        <v>-31408.140044681237</v>
      </c>
      <c r="G61" s="314">
        <f t="shared" si="10"/>
        <v>-57865.499999999949</v>
      </c>
      <c r="H61" s="314">
        <f t="shared" si="10"/>
        <v>-176000.00000007957</v>
      </c>
      <c r="I61" s="314">
        <f t="shared" si="10"/>
        <v>-345999.99999999977</v>
      </c>
    </row>
    <row r="62" spans="1:9" ht="15" hidden="1" customHeight="1" outlineLevel="1">
      <c r="A62" s="753"/>
      <c r="B62" s="7" t="s">
        <v>22</v>
      </c>
      <c r="C62" s="260">
        <v>13</v>
      </c>
      <c r="D62" s="314">
        <f t="shared" ref="D62:D73" si="11">D34+D127</f>
        <v>0</v>
      </c>
      <c r="E62" s="314">
        <f t="shared" ref="E62:E73" si="12">E34+E127</f>
        <v>0</v>
      </c>
      <c r="F62" s="314">
        <f t="shared" ref="F62:F73" si="13">F34+F127</f>
        <v>0</v>
      </c>
      <c r="G62" s="314">
        <f t="shared" ref="G62:G73" si="14">G34+G127</f>
        <v>0</v>
      </c>
      <c r="H62" s="314">
        <f t="shared" ref="H62:H73" si="15">H34+H127</f>
        <v>0</v>
      </c>
      <c r="I62" s="314">
        <f t="shared" ref="I62:I73" si="16">I34+I127</f>
        <v>0</v>
      </c>
    </row>
    <row r="63" spans="1:9" ht="15" hidden="1" customHeight="1" outlineLevel="1">
      <c r="A63" s="753"/>
      <c r="B63" s="7" t="s">
        <v>23</v>
      </c>
      <c r="C63" s="260">
        <v>14</v>
      </c>
      <c r="D63" s="314">
        <f t="shared" si="11"/>
        <v>0</v>
      </c>
      <c r="E63" s="314">
        <f t="shared" si="12"/>
        <v>0</v>
      </c>
      <c r="F63" s="314">
        <f t="shared" si="13"/>
        <v>0</v>
      </c>
      <c r="G63" s="314">
        <f t="shared" si="14"/>
        <v>0</v>
      </c>
      <c r="H63" s="314">
        <f t="shared" si="15"/>
        <v>0</v>
      </c>
      <c r="I63" s="314">
        <f t="shared" si="16"/>
        <v>0</v>
      </c>
    </row>
    <row r="64" spans="1:9" ht="15" hidden="1" customHeight="1" outlineLevel="1">
      <c r="A64" s="753"/>
      <c r="B64" s="7" t="s">
        <v>24</v>
      </c>
      <c r="C64" s="260">
        <v>15</v>
      </c>
      <c r="D64" s="314">
        <f t="shared" si="11"/>
        <v>0</v>
      </c>
      <c r="E64" s="314">
        <f t="shared" si="12"/>
        <v>0</v>
      </c>
      <c r="F64" s="314">
        <f t="shared" si="13"/>
        <v>0</v>
      </c>
      <c r="G64" s="314">
        <f t="shared" si="14"/>
        <v>0</v>
      </c>
      <c r="H64" s="314">
        <f t="shared" si="15"/>
        <v>0</v>
      </c>
      <c r="I64" s="314">
        <f t="shared" si="16"/>
        <v>0</v>
      </c>
    </row>
    <row r="65" spans="1:9" ht="15" hidden="1" customHeight="1" outlineLevel="1">
      <c r="A65" s="753"/>
      <c r="B65" s="7" t="s">
        <v>25</v>
      </c>
      <c r="C65" s="260">
        <v>16</v>
      </c>
      <c r="D65" s="314">
        <f t="shared" si="11"/>
        <v>0</v>
      </c>
      <c r="E65" s="314">
        <f t="shared" si="12"/>
        <v>0</v>
      </c>
      <c r="F65" s="314">
        <f t="shared" si="13"/>
        <v>0</v>
      </c>
      <c r="G65" s="314">
        <f t="shared" si="14"/>
        <v>0</v>
      </c>
      <c r="H65" s="314">
        <f t="shared" si="15"/>
        <v>0</v>
      </c>
      <c r="I65" s="314">
        <f t="shared" si="16"/>
        <v>0</v>
      </c>
    </row>
    <row r="66" spans="1:9" ht="15" hidden="1" customHeight="1" outlineLevel="1">
      <c r="A66" s="753"/>
      <c r="B66" s="7" t="s">
        <v>26</v>
      </c>
      <c r="C66" s="260">
        <v>17</v>
      </c>
      <c r="D66" s="314">
        <f t="shared" si="11"/>
        <v>0</v>
      </c>
      <c r="E66" s="314">
        <f t="shared" si="12"/>
        <v>0</v>
      </c>
      <c r="F66" s="314">
        <f t="shared" si="13"/>
        <v>0</v>
      </c>
      <c r="G66" s="314">
        <f t="shared" si="14"/>
        <v>0</v>
      </c>
      <c r="H66" s="314">
        <f t="shared" si="15"/>
        <v>0</v>
      </c>
      <c r="I66" s="314">
        <f t="shared" si="16"/>
        <v>0</v>
      </c>
    </row>
    <row r="67" spans="1:9" ht="15" hidden="1" customHeight="1" outlineLevel="1">
      <c r="A67" s="753"/>
      <c r="B67" s="7" t="s">
        <v>27</v>
      </c>
      <c r="C67" s="260">
        <v>18</v>
      </c>
      <c r="D67" s="314">
        <f t="shared" si="11"/>
        <v>0</v>
      </c>
      <c r="E67" s="314">
        <f t="shared" si="12"/>
        <v>0</v>
      </c>
      <c r="F67" s="314">
        <f t="shared" si="13"/>
        <v>0</v>
      </c>
      <c r="G67" s="314">
        <f t="shared" si="14"/>
        <v>0</v>
      </c>
      <c r="H67" s="314">
        <f t="shared" si="15"/>
        <v>0</v>
      </c>
      <c r="I67" s="314">
        <f t="shared" si="16"/>
        <v>0</v>
      </c>
    </row>
    <row r="68" spans="1:9" ht="15" hidden="1" customHeight="1" outlineLevel="1">
      <c r="A68" s="637"/>
      <c r="B68" s="566" t="s">
        <v>28</v>
      </c>
      <c r="C68" s="260">
        <v>19</v>
      </c>
      <c r="D68" s="314">
        <f t="shared" si="11"/>
        <v>0</v>
      </c>
      <c r="E68" s="314">
        <f t="shared" si="12"/>
        <v>0</v>
      </c>
      <c r="F68" s="314">
        <f t="shared" si="13"/>
        <v>0</v>
      </c>
      <c r="G68" s="314">
        <f t="shared" si="14"/>
        <v>0</v>
      </c>
      <c r="H68" s="314">
        <f t="shared" si="15"/>
        <v>0</v>
      </c>
      <c r="I68" s="314">
        <f t="shared" si="16"/>
        <v>0</v>
      </c>
    </row>
    <row r="69" spans="1:9" ht="15" hidden="1" customHeight="1" outlineLevel="1">
      <c r="A69" s="637"/>
      <c r="B69" s="566" t="s">
        <v>29</v>
      </c>
      <c r="C69" s="260">
        <v>20</v>
      </c>
      <c r="D69" s="314">
        <f t="shared" si="11"/>
        <v>0</v>
      </c>
      <c r="E69" s="314">
        <f t="shared" si="12"/>
        <v>0</v>
      </c>
      <c r="F69" s="314">
        <f t="shared" si="13"/>
        <v>0</v>
      </c>
      <c r="G69" s="314">
        <f t="shared" si="14"/>
        <v>0</v>
      </c>
      <c r="H69" s="314">
        <f t="shared" si="15"/>
        <v>0</v>
      </c>
      <c r="I69" s="314">
        <f t="shared" si="16"/>
        <v>0</v>
      </c>
    </row>
    <row r="70" spans="1:9" ht="15" hidden="1" customHeight="1" outlineLevel="1">
      <c r="A70" s="637"/>
      <c r="B70" s="566" t="s">
        <v>30</v>
      </c>
      <c r="C70" s="260">
        <v>21</v>
      </c>
      <c r="D70" s="314">
        <f t="shared" si="11"/>
        <v>0</v>
      </c>
      <c r="E70" s="314">
        <f t="shared" si="12"/>
        <v>0</v>
      </c>
      <c r="F70" s="314">
        <f t="shared" si="13"/>
        <v>0</v>
      </c>
      <c r="G70" s="314">
        <f t="shared" si="14"/>
        <v>0</v>
      </c>
      <c r="H70" s="314">
        <f t="shared" si="15"/>
        <v>0</v>
      </c>
      <c r="I70" s="314">
        <f t="shared" si="16"/>
        <v>0</v>
      </c>
    </row>
    <row r="71" spans="1:9" ht="15" hidden="1" customHeight="1" outlineLevel="1">
      <c r="A71" s="637"/>
      <c r="B71" s="566" t="s">
        <v>31</v>
      </c>
      <c r="C71" s="260">
        <v>22</v>
      </c>
      <c r="D71" s="314">
        <f t="shared" si="11"/>
        <v>0</v>
      </c>
      <c r="E71" s="314">
        <f t="shared" si="12"/>
        <v>0</v>
      </c>
      <c r="F71" s="314">
        <f t="shared" si="13"/>
        <v>0</v>
      </c>
      <c r="G71" s="314">
        <f t="shared" si="14"/>
        <v>0</v>
      </c>
      <c r="H71" s="314">
        <f t="shared" si="15"/>
        <v>0</v>
      </c>
      <c r="I71" s="314">
        <f t="shared" si="16"/>
        <v>0</v>
      </c>
    </row>
    <row r="72" spans="1:9" ht="15" hidden="1" customHeight="1" outlineLevel="1">
      <c r="A72" s="637"/>
      <c r="B72" s="566" t="s">
        <v>33</v>
      </c>
      <c r="C72" s="260">
        <v>23</v>
      </c>
      <c r="D72" s="314">
        <f t="shared" si="11"/>
        <v>0</v>
      </c>
      <c r="E72" s="314">
        <f t="shared" si="12"/>
        <v>0</v>
      </c>
      <c r="F72" s="314">
        <f t="shared" si="13"/>
        <v>0</v>
      </c>
      <c r="G72" s="314">
        <f t="shared" si="14"/>
        <v>0</v>
      </c>
      <c r="H72" s="314">
        <f t="shared" si="15"/>
        <v>0</v>
      </c>
      <c r="I72" s="314">
        <f t="shared" si="16"/>
        <v>0</v>
      </c>
    </row>
    <row r="73" spans="1:9" ht="15" hidden="1" customHeight="1" outlineLevel="1">
      <c r="A73" s="637"/>
      <c r="B73" s="566" t="s">
        <v>34</v>
      </c>
      <c r="C73" s="260">
        <v>24</v>
      </c>
      <c r="D73" s="314">
        <f t="shared" si="11"/>
        <v>0</v>
      </c>
      <c r="E73" s="314">
        <f t="shared" si="12"/>
        <v>0</v>
      </c>
      <c r="F73" s="314">
        <f t="shared" si="13"/>
        <v>0</v>
      </c>
      <c r="G73" s="314">
        <f t="shared" si="14"/>
        <v>0</v>
      </c>
      <c r="H73" s="314">
        <f t="shared" si="15"/>
        <v>0</v>
      </c>
      <c r="I73" s="314">
        <f t="shared" si="16"/>
        <v>0</v>
      </c>
    </row>
    <row r="74" spans="1:9" ht="15" hidden="1" customHeight="1" outlineLevel="1">
      <c r="A74" s="260"/>
      <c r="B74" s="260"/>
      <c r="C74" s="260"/>
      <c r="D74" s="310"/>
      <c r="E74" s="310"/>
      <c r="F74" s="310"/>
      <c r="G74" s="310"/>
      <c r="H74" s="310"/>
      <c r="I74" s="310"/>
    </row>
    <row r="75" spans="1:9" ht="15" hidden="1" customHeight="1" outlineLevel="1">
      <c r="A75" s="260"/>
      <c r="B75" s="260"/>
      <c r="C75" s="260"/>
      <c r="D75" s="310"/>
      <c r="E75" s="310"/>
      <c r="F75" s="310"/>
      <c r="G75" s="310"/>
      <c r="H75" s="310"/>
      <c r="I75" s="310"/>
    </row>
    <row r="76" spans="1:9" ht="15" hidden="1" customHeight="1" outlineLevel="1">
      <c r="A76" s="260"/>
      <c r="B76" s="2" t="s">
        <v>36</v>
      </c>
      <c r="C76" s="260"/>
      <c r="D76" s="310"/>
      <c r="E76" s="310"/>
      <c r="F76" s="310"/>
      <c r="G76" s="310"/>
      <c r="H76" s="310"/>
      <c r="I76" s="310"/>
    </row>
    <row r="77" spans="1:9" ht="15" hidden="1" customHeight="1" outlineLevel="1">
      <c r="D77" s="316">
        <f t="shared" ref="D77:I77" si="17">D114</f>
        <v>6000</v>
      </c>
      <c r="E77" s="316">
        <f t="shared" si="17"/>
        <v>30000</v>
      </c>
      <c r="F77" s="316">
        <f t="shared" si="17"/>
        <v>240983.1716983215</v>
      </c>
      <c r="G77" s="316">
        <f t="shared" si="17"/>
        <v>450900</v>
      </c>
      <c r="H77" s="316">
        <f t="shared" si="17"/>
        <v>1500000</v>
      </c>
      <c r="I77" s="316">
        <f t="shared" si="17"/>
        <v>3000000</v>
      </c>
    </row>
    <row r="78" spans="1:9" ht="15" hidden="1" customHeight="1" outlineLevel="1">
      <c r="D78" s="316">
        <f t="shared" ref="D78:D92" si="18">IF((D77+D22)&lt;0,0,D77+D22)</f>
        <v>0</v>
      </c>
      <c r="E78" s="316">
        <f t="shared" ref="E78:E92" si="19">IF((E77+E22)&lt;0,0,E77+E22)</f>
        <v>7.2759576141834259E-12</v>
      </c>
      <c r="F78" s="316">
        <f t="shared" ref="F78:F92" si="20">IF((F77+F22)&lt;0,0,F77+F22)</f>
        <v>228022.49283605575</v>
      </c>
      <c r="G78" s="316">
        <f t="shared" ref="G78:G92" si="21">IF((G77+G22)&lt;0,0,G77+G22)</f>
        <v>426224.02655502292</v>
      </c>
      <c r="H78" s="316">
        <f t="shared" ref="H78:H92" si="22">IF((H77+H22)&lt;0,0,H77+H22)</f>
        <v>1409523.6425472007</v>
      </c>
      <c r="I78" s="316">
        <f t="shared" ref="I78:I92" si="23">IF((I77+I22)&lt;0,0,I77+I22)</f>
        <v>2815759.4066048167</v>
      </c>
    </row>
    <row r="79" spans="1:9" ht="15" hidden="1" customHeight="1" outlineLevel="1">
      <c r="D79" s="316">
        <f t="shared" si="18"/>
        <v>0</v>
      </c>
      <c r="E79" s="316">
        <f t="shared" si="19"/>
        <v>7.2759576141834259E-12</v>
      </c>
      <c r="F79" s="316">
        <f t="shared" si="20"/>
        <v>214069.66328324837</v>
      </c>
      <c r="G79" s="316">
        <f t="shared" si="21"/>
        <v>399731.72160433925</v>
      </c>
      <c r="H79" s="316">
        <f t="shared" si="22"/>
        <v>1313888.7066585524</v>
      </c>
      <c r="I79" s="316">
        <f t="shared" si="23"/>
        <v>2621584.5968562583</v>
      </c>
    </row>
    <row r="80" spans="1:9" ht="15" hidden="1" customHeight="1" outlineLevel="1">
      <c r="D80" s="316">
        <f t="shared" si="18"/>
        <v>0</v>
      </c>
      <c r="E80" s="316">
        <f t="shared" si="19"/>
        <v>7.2759576141834259E-12</v>
      </c>
      <c r="F80" s="316">
        <f t="shared" si="20"/>
        <v>199048.73308363525</v>
      </c>
      <c r="G80" s="316">
        <f t="shared" si="21"/>
        <v>371289.38991011051</v>
      </c>
      <c r="H80" s="316">
        <f t="shared" si="22"/>
        <v>1212801.0720552558</v>
      </c>
      <c r="I80" s="316">
        <f t="shared" si="23"/>
        <v>2416939.9197735237</v>
      </c>
    </row>
    <row r="81" spans="2:9" ht="15" hidden="1" customHeight="1" outlineLevel="1">
      <c r="D81" s="316">
        <f t="shared" si="18"/>
        <v>0</v>
      </c>
      <c r="E81" s="316">
        <f t="shared" si="19"/>
        <v>7.2759576141834259E-12</v>
      </c>
      <c r="F81" s="316">
        <f t="shared" si="20"/>
        <v>182877.93824895946</v>
      </c>
      <c r="G81" s="316">
        <f t="shared" si="21"/>
        <v>340753.495290505</v>
      </c>
      <c r="H81" s="316">
        <f t="shared" si="22"/>
        <v>1105949.8489667841</v>
      </c>
      <c r="I81" s="316">
        <f t="shared" si="23"/>
        <v>2201260.8421808765</v>
      </c>
    </row>
    <row r="82" spans="2:9" ht="15" hidden="1" customHeight="1" outlineLevel="1">
      <c r="D82" s="316">
        <f t="shared" si="18"/>
        <v>0</v>
      </c>
      <c r="E82" s="316">
        <f t="shared" si="19"/>
        <v>7.2759576141834259E-12</v>
      </c>
      <c r="F82" s="316">
        <f t="shared" si="20"/>
        <v>165469.25569001166</v>
      </c>
      <c r="G82" s="316">
        <f t="shared" si="21"/>
        <v>307969.93625449057</v>
      </c>
      <c r="H82" s="316">
        <f t="shared" si="22"/>
        <v>993006.42200554034</v>
      </c>
      <c r="I82" s="316">
        <f t="shared" si="23"/>
        <v>1973952.391385409</v>
      </c>
    </row>
    <row r="83" spans="2:9" ht="15" hidden="1" customHeight="1" outlineLevel="1">
      <c r="D83" s="316">
        <f t="shared" si="18"/>
        <v>0</v>
      </c>
      <c r="E83" s="316">
        <f t="shared" si="19"/>
        <v>7.2759576141834259E-12</v>
      </c>
      <c r="F83" s="316">
        <f t="shared" si="20"/>
        <v>146727.92407727343</v>
      </c>
      <c r="G83" s="316">
        <f t="shared" si="21"/>
        <v>272773.26831806818</v>
      </c>
      <c r="H83" s="316">
        <f t="shared" si="22"/>
        <v>873623.43952729774</v>
      </c>
      <c r="I83" s="316">
        <f t="shared" si="23"/>
        <v>1734387.5138842966</v>
      </c>
    </row>
    <row r="84" spans="2:9" ht="15" hidden="1" customHeight="1" outlineLevel="1">
      <c r="D84" s="316">
        <f t="shared" si="18"/>
        <v>0</v>
      </c>
      <c r="E84" s="316">
        <f t="shared" si="19"/>
        <v>7.2759576141834259E-12</v>
      </c>
      <c r="F84" s="316">
        <f t="shared" si="20"/>
        <v>126551.92802304645</v>
      </c>
      <c r="G84" s="316">
        <f t="shared" si="21"/>
        <v>234985.86907731174</v>
      </c>
      <c r="H84" s="316">
        <f t="shared" si="22"/>
        <v>747433.74536925694</v>
      </c>
      <c r="I84" s="316">
        <f t="shared" si="23"/>
        <v>1481905.3455738723</v>
      </c>
    </row>
    <row r="85" spans="2:9" ht="15" hidden="1" customHeight="1" outlineLevel="1">
      <c r="D85" s="316">
        <f t="shared" si="18"/>
        <v>0</v>
      </c>
      <c r="E85" s="316">
        <f t="shared" si="19"/>
        <v>7.2759576141834259E-12</v>
      </c>
      <c r="F85" s="316">
        <f t="shared" si="20"/>
        <v>104831.44277729675</v>
      </c>
      <c r="G85" s="316">
        <f t="shared" si="21"/>
        <v>194417.04182469827</v>
      </c>
      <c r="H85" s="316">
        <f t="shared" si="22"/>
        <v>614049.24968033412</v>
      </c>
      <c r="I85" s="316">
        <f t="shared" si="23"/>
        <v>1215809.3886887175</v>
      </c>
    </row>
    <row r="86" spans="2:9" ht="15" hidden="1" customHeight="1" outlineLevel="1">
      <c r="D86" s="316">
        <f t="shared" si="18"/>
        <v>0</v>
      </c>
      <c r="E86" s="316">
        <f t="shared" si="19"/>
        <v>7.2759576141834259E-12</v>
      </c>
      <c r="F86" s="316">
        <f t="shared" si="20"/>
        <v>81448.236414506551</v>
      </c>
      <c r="G86" s="316">
        <f t="shared" si="21"/>
        <v>150862.05318506606</v>
      </c>
      <c r="H86" s="316">
        <f t="shared" si="22"/>
        <v>473059.73537097889</v>
      </c>
      <c r="I86" s="316">
        <f t="shared" si="23"/>
        <v>935365.59044166817</v>
      </c>
    </row>
    <row r="87" spans="2:9" ht="15" hidden="1" customHeight="1" outlineLevel="1">
      <c r="D87" s="316">
        <f t="shared" si="18"/>
        <v>0</v>
      </c>
      <c r="E87" s="316">
        <f t="shared" si="19"/>
        <v>7.2759576141834259E-12</v>
      </c>
      <c r="F87" s="316">
        <f t="shared" si="20"/>
        <v>56275.02625743486</v>
      </c>
      <c r="G87" s="316">
        <f t="shared" si="21"/>
        <v>104101.09991456494</v>
      </c>
      <c r="H87" s="316">
        <f t="shared" si="22"/>
        <v>324031.59651181835</v>
      </c>
      <c r="I87" s="316">
        <f t="shared" si="23"/>
        <v>639800.31806447101</v>
      </c>
    </row>
    <row r="88" spans="2:9" ht="15" hidden="1" customHeight="1" outlineLevel="1">
      <c r="D88" s="316">
        <f t="shared" si="18"/>
        <v>0</v>
      </c>
      <c r="E88" s="316">
        <f t="shared" si="19"/>
        <v>7.2759576141834259E-12</v>
      </c>
      <c r="F88" s="316">
        <f t="shared" si="20"/>
        <v>29174.786034584507</v>
      </c>
      <c r="G88" s="316">
        <f t="shared" si="21"/>
        <v>53898.199648478367</v>
      </c>
      <c r="H88" s="316">
        <f t="shared" si="22"/>
        <v>166506.50480113964</v>
      </c>
      <c r="I88" s="316">
        <f t="shared" si="23"/>
        <v>328298.22466303169</v>
      </c>
    </row>
    <row r="89" spans="2:9" ht="15" hidden="1" customHeight="1" outlineLevel="1">
      <c r="D89" s="316">
        <f t="shared" si="18"/>
        <v>0</v>
      </c>
      <c r="E89" s="316">
        <f t="shared" si="19"/>
        <v>7.2759576141834259E-12</v>
      </c>
      <c r="F89" s="316">
        <f t="shared" si="20"/>
        <v>0</v>
      </c>
      <c r="G89" s="316">
        <f t="shared" si="21"/>
        <v>2.9103830456733704E-11</v>
      </c>
      <c r="H89" s="316">
        <f t="shared" si="22"/>
        <v>0</v>
      </c>
      <c r="I89" s="316">
        <f t="shared" si="23"/>
        <v>7.5669959187507629E-10</v>
      </c>
    </row>
    <row r="90" spans="2:9" ht="15" hidden="1" customHeight="1" outlineLevel="1">
      <c r="D90" s="316">
        <f t="shared" si="18"/>
        <v>0</v>
      </c>
      <c r="E90" s="316">
        <f t="shared" si="19"/>
        <v>7.2759576141834259E-12</v>
      </c>
      <c r="F90" s="316">
        <f t="shared" si="20"/>
        <v>0</v>
      </c>
      <c r="G90" s="316">
        <f t="shared" si="21"/>
        <v>2.9103830456733704E-11</v>
      </c>
      <c r="H90" s="316">
        <f t="shared" si="22"/>
        <v>0</v>
      </c>
      <c r="I90" s="316">
        <f t="shared" si="23"/>
        <v>7.5669959187507629E-10</v>
      </c>
    </row>
    <row r="91" spans="2:9" ht="15" hidden="1" customHeight="1" outlineLevel="1">
      <c r="D91" s="316">
        <f t="shared" si="18"/>
        <v>0</v>
      </c>
      <c r="E91" s="316">
        <f t="shared" si="19"/>
        <v>7.2759576141834259E-12</v>
      </c>
      <c r="F91" s="316">
        <f t="shared" si="20"/>
        <v>0</v>
      </c>
      <c r="G91" s="316">
        <f t="shared" si="21"/>
        <v>2.9103830456733704E-11</v>
      </c>
      <c r="H91" s="316">
        <f t="shared" si="22"/>
        <v>0</v>
      </c>
      <c r="I91" s="316">
        <f t="shared" si="23"/>
        <v>7.5669959187507629E-10</v>
      </c>
    </row>
    <row r="92" spans="2:9" ht="15" hidden="1" customHeight="1" outlineLevel="1">
      <c r="D92" s="316">
        <f t="shared" si="18"/>
        <v>0</v>
      </c>
      <c r="E92" s="316">
        <f t="shared" si="19"/>
        <v>7.2759576141834259E-12</v>
      </c>
      <c r="F92" s="316">
        <f t="shared" si="20"/>
        <v>0</v>
      </c>
      <c r="G92" s="316">
        <f t="shared" si="21"/>
        <v>2.9103830456733704E-11</v>
      </c>
      <c r="H92" s="316">
        <f t="shared" si="22"/>
        <v>0</v>
      </c>
      <c r="I92" s="316">
        <f t="shared" si="23"/>
        <v>7.5669959187507629E-10</v>
      </c>
    </row>
    <row r="93" spans="2:9" ht="15" hidden="1" customHeight="1" outlineLevel="1">
      <c r="B93" s="260"/>
      <c r="C93" s="260"/>
      <c r="D93" s="310"/>
      <c r="E93" s="310"/>
      <c r="F93" s="310"/>
      <c r="G93" s="310"/>
      <c r="H93" s="310"/>
      <c r="I93" s="310"/>
    </row>
    <row r="94" spans="2:9" ht="15" hidden="1" customHeight="1" outlineLevel="1">
      <c r="B94" s="2" t="s">
        <v>37</v>
      </c>
      <c r="C94" s="260"/>
      <c r="D94" s="310"/>
      <c r="E94" s="310"/>
      <c r="F94" s="310"/>
      <c r="G94" s="310"/>
      <c r="H94" s="310"/>
      <c r="I94" s="310"/>
    </row>
    <row r="95" spans="2:9" ht="15" hidden="1" customHeight="1" outlineLevel="1">
      <c r="B95" s="2" t="s">
        <v>38</v>
      </c>
      <c r="C95" s="260"/>
      <c r="D95" s="313">
        <f t="shared" ref="D95:I95" si="24">D19/12</f>
        <v>1.1250000000000001E-2</v>
      </c>
      <c r="E95" s="313">
        <f t="shared" si="24"/>
        <v>1.1250000000000001E-2</v>
      </c>
      <c r="F95" s="313">
        <f t="shared" si="24"/>
        <v>1.1250000000000001E-2</v>
      </c>
      <c r="G95" s="313">
        <f t="shared" si="24"/>
        <v>1.1250000000000001E-2</v>
      </c>
      <c r="H95" s="313">
        <f t="shared" si="24"/>
        <v>1.1250000000000001E-2</v>
      </c>
      <c r="I95" s="313">
        <f t="shared" si="24"/>
        <v>1.1250000000000001E-2</v>
      </c>
    </row>
    <row r="96" spans="2:9" ht="15" hidden="1" customHeight="1" outlineLevel="1">
      <c r="B96" s="260"/>
      <c r="C96" s="260"/>
      <c r="D96" s="317"/>
      <c r="E96" s="317"/>
      <c r="F96" s="317"/>
      <c r="G96" s="317"/>
      <c r="H96" s="317"/>
      <c r="I96" s="317"/>
    </row>
    <row r="97" spans="1:9" ht="15" hidden="1" customHeight="1" outlineLevel="1">
      <c r="B97" s="260"/>
      <c r="C97" s="260"/>
      <c r="D97" s="318">
        <f t="shared" ref="D97:H108" si="25">(D77*D$95)</f>
        <v>67.500000000000014</v>
      </c>
      <c r="E97" s="318">
        <f t="shared" si="25"/>
        <v>337.50000000000006</v>
      </c>
      <c r="F97" s="318">
        <f t="shared" si="25"/>
        <v>2711.0606816061172</v>
      </c>
      <c r="G97" s="318">
        <f t="shared" si="25"/>
        <v>5072.6250000000009</v>
      </c>
      <c r="H97" s="318">
        <f t="shared" si="25"/>
        <v>16875.000000000004</v>
      </c>
      <c r="I97" s="318">
        <f t="shared" ref="I97:I108" si="26">(I77*I$95)</f>
        <v>33750.000000000007</v>
      </c>
    </row>
    <row r="98" spans="1:9" ht="15" hidden="1" customHeight="1" outlineLevel="1">
      <c r="B98" s="260"/>
      <c r="C98" s="260"/>
      <c r="D98" s="318">
        <f t="shared" si="25"/>
        <v>0</v>
      </c>
      <c r="E98" s="318">
        <f t="shared" si="25"/>
        <v>8.1854523159563551E-14</v>
      </c>
      <c r="F98" s="318">
        <f t="shared" si="25"/>
        <v>2565.2530444056274</v>
      </c>
      <c r="G98" s="318">
        <f t="shared" si="25"/>
        <v>4795.0202987440089</v>
      </c>
      <c r="H98" s="318">
        <f t="shared" si="25"/>
        <v>15857.140978656009</v>
      </c>
      <c r="I98" s="318">
        <f t="shared" si="26"/>
        <v>31677.293324304192</v>
      </c>
    </row>
    <row r="99" spans="1:9" ht="15" hidden="1" customHeight="1" outlineLevel="1">
      <c r="B99" s="260"/>
      <c r="C99" s="260"/>
      <c r="D99" s="318">
        <f t="shared" si="25"/>
        <v>0</v>
      </c>
      <c r="E99" s="318">
        <f t="shared" si="25"/>
        <v>8.1854523159563551E-14</v>
      </c>
      <c r="F99" s="318">
        <f t="shared" si="25"/>
        <v>2408.2837119365445</v>
      </c>
      <c r="G99" s="318">
        <f t="shared" si="25"/>
        <v>4496.981868048817</v>
      </c>
      <c r="H99" s="318">
        <f t="shared" si="25"/>
        <v>14781.247949908717</v>
      </c>
      <c r="I99" s="318">
        <f t="shared" si="26"/>
        <v>29492.826714632909</v>
      </c>
    </row>
    <row r="100" spans="1:9" ht="15" hidden="1" customHeight="1" outlineLevel="1">
      <c r="B100" s="260"/>
      <c r="C100" s="260"/>
      <c r="D100" s="318">
        <f t="shared" si="25"/>
        <v>0</v>
      </c>
      <c r="E100" s="318">
        <f t="shared" si="25"/>
        <v>8.1854523159563551E-14</v>
      </c>
      <c r="F100" s="318">
        <f t="shared" si="25"/>
        <v>2239.2982471908967</v>
      </c>
      <c r="G100" s="318">
        <f t="shared" si="25"/>
        <v>4177.0056364887432</v>
      </c>
      <c r="H100" s="318">
        <f t="shared" si="25"/>
        <v>13644.01206062163</v>
      </c>
      <c r="I100" s="318">
        <f t="shared" si="26"/>
        <v>27190.574097452143</v>
      </c>
    </row>
    <row r="101" spans="1:9" ht="15" hidden="1" customHeight="1" outlineLevel="1">
      <c r="B101" s="260"/>
      <c r="C101" s="260"/>
      <c r="D101" s="318">
        <f t="shared" si="25"/>
        <v>0</v>
      </c>
      <c r="E101" s="318">
        <f t="shared" si="25"/>
        <v>8.1854523159563551E-14</v>
      </c>
      <c r="F101" s="318">
        <f t="shared" si="25"/>
        <v>2057.3768053007943</v>
      </c>
      <c r="G101" s="318">
        <f t="shared" si="25"/>
        <v>3833.4768220181818</v>
      </c>
      <c r="H101" s="318">
        <f t="shared" si="25"/>
        <v>12441.935800876323</v>
      </c>
      <c r="I101" s="318">
        <f t="shared" si="26"/>
        <v>24764.184474534864</v>
      </c>
    </row>
    <row r="102" spans="1:9" ht="15" hidden="1" customHeight="1" outlineLevel="1">
      <c r="B102" s="260"/>
      <c r="C102" s="260"/>
      <c r="D102" s="318">
        <f t="shared" si="25"/>
        <v>0</v>
      </c>
      <c r="E102" s="318">
        <f t="shared" si="25"/>
        <v>8.1854523159563551E-14</v>
      </c>
      <c r="F102" s="318">
        <f t="shared" si="25"/>
        <v>1861.5291265126314</v>
      </c>
      <c r="G102" s="318">
        <f t="shared" si="25"/>
        <v>3464.6617828630192</v>
      </c>
      <c r="H102" s="318">
        <f t="shared" si="25"/>
        <v>11171.32224756233</v>
      </c>
      <c r="I102" s="318">
        <f t="shared" si="26"/>
        <v>22206.964403085854</v>
      </c>
    </row>
    <row r="103" spans="1:9" ht="15" hidden="1" customHeight="1" outlineLevel="1">
      <c r="B103" s="260"/>
      <c r="C103" s="260"/>
      <c r="D103" s="318">
        <f t="shared" si="25"/>
        <v>0</v>
      </c>
      <c r="E103" s="318">
        <f t="shared" si="25"/>
        <v>8.1854523159563551E-14</v>
      </c>
      <c r="F103" s="318">
        <f t="shared" si="25"/>
        <v>1650.6891458693262</v>
      </c>
      <c r="G103" s="318">
        <f t="shared" si="25"/>
        <v>3068.6992685782675</v>
      </c>
      <c r="H103" s="318">
        <f t="shared" si="25"/>
        <v>9828.2636946821003</v>
      </c>
      <c r="I103" s="318">
        <f t="shared" si="26"/>
        <v>19511.859531198341</v>
      </c>
    </row>
    <row r="104" spans="1:9" ht="15" hidden="1" customHeight="1" outlineLevel="1">
      <c r="B104" s="260"/>
      <c r="C104" s="260"/>
      <c r="D104" s="318">
        <f t="shared" si="25"/>
        <v>0</v>
      </c>
      <c r="E104" s="318">
        <f t="shared" si="25"/>
        <v>8.1854523159563551E-14</v>
      </c>
      <c r="F104" s="318">
        <f t="shared" si="25"/>
        <v>1423.7091902592726</v>
      </c>
      <c r="G104" s="318">
        <f t="shared" si="25"/>
        <v>2643.5910271197572</v>
      </c>
      <c r="H104" s="318">
        <f t="shared" si="25"/>
        <v>8408.6296354041424</v>
      </c>
      <c r="I104" s="318">
        <f t="shared" si="26"/>
        <v>16671.435137706067</v>
      </c>
    </row>
    <row r="105" spans="1:9" ht="15" hidden="1" customHeight="1" outlineLevel="1">
      <c r="B105" s="260"/>
      <c r="C105" s="260"/>
      <c r="D105" s="318">
        <f t="shared" si="25"/>
        <v>0</v>
      </c>
      <c r="E105" s="318">
        <f t="shared" si="25"/>
        <v>8.1854523159563551E-14</v>
      </c>
      <c r="F105" s="318">
        <f t="shared" si="25"/>
        <v>1179.3537312445885</v>
      </c>
      <c r="G105" s="318">
        <f t="shared" si="25"/>
        <v>2187.191720527856</v>
      </c>
      <c r="H105" s="318">
        <f t="shared" si="25"/>
        <v>6908.0540589037601</v>
      </c>
      <c r="I105" s="318">
        <f t="shared" si="26"/>
        <v>13677.855622748073</v>
      </c>
    </row>
    <row r="106" spans="1:9" ht="15" hidden="1" customHeight="1" outlineLevel="1">
      <c r="B106" s="260"/>
      <c r="C106" s="260"/>
      <c r="D106" s="318">
        <f t="shared" si="25"/>
        <v>0</v>
      </c>
      <c r="E106" s="318">
        <f t="shared" si="25"/>
        <v>8.1854523159563551E-14</v>
      </c>
      <c r="F106" s="318">
        <f t="shared" si="25"/>
        <v>916.29265966319883</v>
      </c>
      <c r="G106" s="318">
        <f t="shared" si="25"/>
        <v>1697.1980983319934</v>
      </c>
      <c r="H106" s="318">
        <f t="shared" si="25"/>
        <v>5321.9220229235134</v>
      </c>
      <c r="I106" s="318">
        <f t="shared" si="26"/>
        <v>10522.862892468767</v>
      </c>
    </row>
    <row r="107" spans="1:9" ht="15" hidden="1" customHeight="1" outlineLevel="1">
      <c r="B107" s="260"/>
      <c r="C107" s="260"/>
      <c r="D107" s="318">
        <f t="shared" si="25"/>
        <v>0</v>
      </c>
      <c r="E107" s="318">
        <f t="shared" si="25"/>
        <v>8.1854523159563551E-14</v>
      </c>
      <c r="F107" s="318">
        <f t="shared" si="25"/>
        <v>633.09404539614229</v>
      </c>
      <c r="G107" s="318">
        <f t="shared" si="25"/>
        <v>1171.1373740388558</v>
      </c>
      <c r="H107" s="318">
        <f t="shared" si="25"/>
        <v>3645.3554607579567</v>
      </c>
      <c r="I107" s="318">
        <f t="shared" si="26"/>
        <v>7197.7535782252999</v>
      </c>
    </row>
    <row r="108" spans="1:9" ht="15" hidden="1" customHeight="1" outlineLevel="1">
      <c r="B108" s="260"/>
      <c r="C108" s="260"/>
      <c r="D108" s="318">
        <f t="shared" si="25"/>
        <v>0</v>
      </c>
      <c r="E108" s="318">
        <f t="shared" si="25"/>
        <v>8.1854523159563551E-14</v>
      </c>
      <c r="F108" s="318">
        <f t="shared" si="25"/>
        <v>328.21634288907575</v>
      </c>
      <c r="G108" s="318">
        <f t="shared" si="25"/>
        <v>606.35474604538172</v>
      </c>
      <c r="H108" s="318">
        <f t="shared" si="25"/>
        <v>1873.1981790128211</v>
      </c>
      <c r="I108" s="318">
        <f t="shared" si="26"/>
        <v>3693.3550274591071</v>
      </c>
    </row>
    <row r="109" spans="1:9" ht="15" hidden="1" customHeight="1" outlineLevel="1">
      <c r="A109" s="260"/>
      <c r="B109" s="260"/>
      <c r="C109" s="260"/>
      <c r="D109" s="310"/>
      <c r="E109" s="310"/>
      <c r="F109" s="310"/>
      <c r="G109" s="310"/>
      <c r="H109" s="310"/>
      <c r="I109" s="310"/>
    </row>
    <row r="110" spans="1:9" collapsed="1">
      <c r="A110" s="260"/>
      <c r="B110" s="2" t="s">
        <v>37</v>
      </c>
      <c r="C110" s="2"/>
      <c r="D110" s="54">
        <f t="shared" ref="D110:I110" si="27">SUM(D97:D109)</f>
        <v>67.500000000000014</v>
      </c>
      <c r="E110" s="54">
        <f t="shared" si="27"/>
        <v>337.50000000000068</v>
      </c>
      <c r="F110" s="54">
        <f t="shared" si="27"/>
        <v>19974.156732274212</v>
      </c>
      <c r="G110" s="54">
        <f t="shared" si="27"/>
        <v>37213.943642804894</v>
      </c>
      <c r="H110" s="54">
        <f t="shared" si="27"/>
        <v>120756.0820893093</v>
      </c>
      <c r="I110" s="54">
        <f t="shared" si="27"/>
        <v>240356.96480381564</v>
      </c>
    </row>
    <row r="111" spans="1:9" ht="4" customHeight="1">
      <c r="A111" s="260"/>
      <c r="B111" s="8"/>
      <c r="C111" s="273"/>
      <c r="D111" s="310"/>
      <c r="E111" s="310"/>
      <c r="F111" s="310"/>
      <c r="G111" s="310"/>
      <c r="H111" s="310"/>
      <c r="I111" s="310"/>
    </row>
    <row r="112" spans="1:9">
      <c r="A112" s="260"/>
      <c r="B112" s="8" t="s">
        <v>39</v>
      </c>
      <c r="C112" s="273"/>
      <c r="D112" s="313">
        <f t="shared" ref="D112:I112" si="28">D4</f>
        <v>0.22500000000000028</v>
      </c>
      <c r="E112" s="313">
        <f t="shared" si="28"/>
        <v>0.22500000000000028</v>
      </c>
      <c r="F112" s="313">
        <f t="shared" si="28"/>
        <v>7.6550827397645904E-2</v>
      </c>
      <c r="G112" s="313">
        <f t="shared" si="28"/>
        <v>7.3607288877850674E-2</v>
      </c>
      <c r="H112" s="313">
        <f t="shared" si="28"/>
        <v>5.7015761698186812E-2</v>
      </c>
      <c r="I112" s="313">
        <f t="shared" si="28"/>
        <v>5.391980220160545E-2</v>
      </c>
    </row>
    <row r="113" spans="1:9">
      <c r="A113" s="260"/>
      <c r="B113" s="260" t="s">
        <v>40</v>
      </c>
      <c r="C113" s="273"/>
      <c r="D113" s="319">
        <f t="shared" ref="D113:I113" si="29">ROUND(D6,0)</f>
        <v>1</v>
      </c>
      <c r="E113" s="319">
        <f t="shared" si="29"/>
        <v>1</v>
      </c>
      <c r="F113" s="319">
        <f t="shared" si="29"/>
        <v>12</v>
      </c>
      <c r="G113" s="319">
        <f t="shared" si="29"/>
        <v>12</v>
      </c>
      <c r="H113" s="319">
        <f t="shared" si="29"/>
        <v>12</v>
      </c>
      <c r="I113" s="319">
        <f t="shared" si="29"/>
        <v>12</v>
      </c>
    </row>
    <row r="114" spans="1:9">
      <c r="A114" s="260"/>
      <c r="B114" s="260" t="s">
        <v>41</v>
      </c>
      <c r="C114" s="260"/>
      <c r="D114" s="320">
        <f t="shared" ref="D114:I114" si="30">D17+D13</f>
        <v>6000</v>
      </c>
      <c r="E114" s="320">
        <f t="shared" si="30"/>
        <v>30000</v>
      </c>
      <c r="F114" s="320">
        <f t="shared" si="30"/>
        <v>240983.1716983215</v>
      </c>
      <c r="G114" s="320">
        <f t="shared" si="30"/>
        <v>450900</v>
      </c>
      <c r="H114" s="320">
        <f t="shared" si="30"/>
        <v>1500000</v>
      </c>
      <c r="I114" s="320">
        <f t="shared" si="30"/>
        <v>3000000</v>
      </c>
    </row>
    <row r="115" spans="1:9" hidden="1" outlineLevel="1">
      <c r="A115" s="753" t="s">
        <v>21</v>
      </c>
      <c r="B115" s="7" t="s">
        <v>22</v>
      </c>
      <c r="C115" s="260">
        <v>1</v>
      </c>
      <c r="D115" s="321">
        <f>IFERROR(IPMT($D$4,C115,$D$6,$D$11),0)</f>
        <v>-1350.0000000000016</v>
      </c>
      <c r="E115" s="321">
        <f>IFERROR(IPMT($E$4,C115,$E$6,$E$11),0)</f>
        <v>-6750.0000000000073</v>
      </c>
      <c r="F115" s="321">
        <f>IFERROR(IPMT($F$4,C115,$F$6,$F$11),0)</f>
        <v>-18447.461182415478</v>
      </c>
      <c r="G115" s="321">
        <f>IFERROR(IPMT($G$4,C115,$G$6,$G$11),0)</f>
        <v>-33189.526555022865</v>
      </c>
      <c r="H115" s="321">
        <f>IFERROR(IPMT($H$4,C115,$H$6,$H$11),0)</f>
        <v>-85523.642547280222</v>
      </c>
      <c r="I115" s="321">
        <f>IFERROR(IPMT($I$4,C115,$I$6,$I$11),0)</f>
        <v>-161759.40660481635</v>
      </c>
    </row>
    <row r="116" spans="1:9" hidden="1" outlineLevel="1">
      <c r="A116" s="753"/>
      <c r="B116" s="7" t="s">
        <v>23</v>
      </c>
      <c r="C116" s="260">
        <v>2</v>
      </c>
      <c r="D116" s="321">
        <f t="shared" ref="D116:D138" si="31">IFERROR(IPMT($D$4,C116,$D$6,$D$11),0)</f>
        <v>0</v>
      </c>
      <c r="E116" s="321">
        <f t="shared" ref="E116:E138" si="32">IFERROR(IPMT($E$4,C116,$E$6,$E$11),0)</f>
        <v>0</v>
      </c>
      <c r="F116" s="321">
        <f t="shared" ref="F116:F138" si="33">IFERROR(IPMT($F$4,C116,$F$6,$F$11),0)</f>
        <v>-17455.310491873854</v>
      </c>
      <c r="G116" s="321">
        <f t="shared" ref="G116:G138" si="34">IFERROR(IPMT($G$4,C116,$G$6,$G$11),0)</f>
        <v>-31373.195049316266</v>
      </c>
      <c r="H116" s="321">
        <f t="shared" ref="H116:H138" si="35">IFERROR(IPMT($H$4,C116,$H$6,$H$11),0)</f>
        <v>-80365.064111431435</v>
      </c>
      <c r="I116" s="321">
        <f t="shared" ref="I116:I138" si="36">IFERROR(IPMT($I$4,C116,$I$6,$I$11),0)</f>
        <v>-151825.19025144161</v>
      </c>
    </row>
    <row r="117" spans="1:9" hidden="1" outlineLevel="1">
      <c r="A117" s="753"/>
      <c r="B117" s="7" t="s">
        <v>24</v>
      </c>
      <c r="C117" s="260">
        <v>3</v>
      </c>
      <c r="D117" s="321">
        <f t="shared" si="31"/>
        <v>0</v>
      </c>
      <c r="E117" s="321">
        <f t="shared" si="32"/>
        <v>0</v>
      </c>
      <c r="F117" s="321">
        <f t="shared" si="33"/>
        <v>-16387.209845068119</v>
      </c>
      <c r="G117" s="321">
        <f t="shared" si="34"/>
        <v>-29423.168305771182</v>
      </c>
      <c r="H117" s="321">
        <f t="shared" si="35"/>
        <v>-74912.365396782901</v>
      </c>
      <c r="I117" s="321">
        <f t="shared" si="36"/>
        <v>-141355.32291726497</v>
      </c>
    </row>
    <row r="118" spans="1:9" hidden="1" outlineLevel="1">
      <c r="A118" s="753"/>
      <c r="B118" s="7" t="s">
        <v>25</v>
      </c>
      <c r="C118" s="260">
        <v>4</v>
      </c>
      <c r="D118" s="321">
        <f t="shared" si="31"/>
        <v>0</v>
      </c>
      <c r="E118" s="321">
        <f t="shared" si="32"/>
        <v>0</v>
      </c>
      <c r="F118" s="321">
        <f t="shared" si="33"/>
        <v>-15237.345210005449</v>
      </c>
      <c r="G118" s="321">
        <f t="shared" si="34"/>
        <v>-27329.605380394434</v>
      </c>
      <c r="H118" s="321">
        <f t="shared" si="35"/>
        <v>-69148.776911607958</v>
      </c>
      <c r="I118" s="321">
        <f t="shared" si="36"/>
        <v>-130320.92240735253</v>
      </c>
    </row>
    <row r="119" spans="1:9" hidden="1" outlineLevel="1">
      <c r="A119" s="753"/>
      <c r="B119" s="7" t="s">
        <v>26</v>
      </c>
      <c r="C119" s="260">
        <v>5</v>
      </c>
      <c r="D119" s="321">
        <f t="shared" si="31"/>
        <v>0</v>
      </c>
      <c r="E119" s="321">
        <f t="shared" si="32"/>
        <v>0</v>
      </c>
      <c r="F119" s="321">
        <f t="shared" si="33"/>
        <v>-13999.457485733439</v>
      </c>
      <c r="G119" s="321">
        <f t="shared" si="34"/>
        <v>-25081.940963985526</v>
      </c>
      <c r="H119" s="321">
        <f t="shared" si="35"/>
        <v>-63056.573038835857</v>
      </c>
      <c r="I119" s="321">
        <f t="shared" si="36"/>
        <v>-118691.54920453228</v>
      </c>
    </row>
    <row r="120" spans="1:9" hidden="1" outlineLevel="1">
      <c r="A120" s="753"/>
      <c r="B120" s="7" t="s">
        <v>27</v>
      </c>
      <c r="C120" s="260">
        <v>6</v>
      </c>
      <c r="D120" s="321">
        <f t="shared" si="31"/>
        <v>0</v>
      </c>
      <c r="E120" s="321">
        <f t="shared" si="32"/>
        <v>0</v>
      </c>
      <c r="F120" s="321">
        <f t="shared" si="33"/>
        <v>-12666.80843194302</v>
      </c>
      <c r="G120" s="321">
        <f t="shared" si="34"/>
        <v>-22668.832063577542</v>
      </c>
      <c r="H120" s="321">
        <f t="shared" si="35"/>
        <v>-56617.01752183702</v>
      </c>
      <c r="I120" s="321">
        <f t="shared" si="36"/>
        <v>-106435.12249888729</v>
      </c>
    </row>
    <row r="121" spans="1:9" hidden="1" outlineLevel="1">
      <c r="A121" s="753"/>
      <c r="B121" s="7" t="s">
        <v>28</v>
      </c>
      <c r="C121" s="260">
        <v>7</v>
      </c>
      <c r="D121" s="321">
        <f t="shared" si="31"/>
        <v>0</v>
      </c>
      <c r="E121" s="321">
        <f t="shared" si="32"/>
        <v>0</v>
      </c>
      <c r="F121" s="321">
        <f t="shared" si="33"/>
        <v>-11232.143990454251</v>
      </c>
      <c r="G121" s="321">
        <f t="shared" si="34"/>
        <v>-20078.100759243516</v>
      </c>
      <c r="H121" s="321">
        <f t="shared" si="35"/>
        <v>-49810.305842038731</v>
      </c>
      <c r="I121" s="321">
        <f t="shared" si="36"/>
        <v>-93517.831689575469</v>
      </c>
    </row>
    <row r="122" spans="1:9" hidden="1" outlineLevel="1">
      <c r="A122" s="753"/>
      <c r="B122" s="7" t="s">
        <v>29</v>
      </c>
      <c r="C122" s="260">
        <v>8</v>
      </c>
      <c r="D122" s="321">
        <f t="shared" si="31"/>
        <v>0</v>
      </c>
      <c r="E122" s="321">
        <f t="shared" si="32"/>
        <v>0</v>
      </c>
      <c r="F122" s="321">
        <f t="shared" si="33"/>
        <v>-9687.654798931535</v>
      </c>
      <c r="G122" s="321">
        <f t="shared" si="34"/>
        <v>-17296.672747386478</v>
      </c>
      <c r="H122" s="321">
        <f t="shared" si="35"/>
        <v>-42615.504311156794</v>
      </c>
      <c r="I122" s="321">
        <f t="shared" si="36"/>
        <v>-79904.043114844913</v>
      </c>
    </row>
    <row r="123" spans="1:9" hidden="1" outlineLevel="1">
      <c r="A123" s="753"/>
      <c r="B123" s="7" t="s">
        <v>30</v>
      </c>
      <c r="C123" s="260">
        <v>9</v>
      </c>
      <c r="D123" s="321">
        <f t="shared" si="31"/>
        <v>0</v>
      </c>
      <c r="E123" s="321">
        <f t="shared" si="32"/>
        <v>0</v>
      </c>
      <c r="F123" s="321">
        <f t="shared" si="33"/>
        <v>-8024.9336818910369</v>
      </c>
      <c r="G123" s="321">
        <f t="shared" si="34"/>
        <v>-14310.51136036774</v>
      </c>
      <c r="H123" s="321">
        <f t="shared" si="35"/>
        <v>-35010.485690724345</v>
      </c>
      <c r="I123" s="321">
        <f t="shared" si="36"/>
        <v>-65556.201752950437</v>
      </c>
    </row>
    <row r="124" spans="1:9" hidden="1" outlineLevel="1">
      <c r="A124" s="753"/>
      <c r="B124" s="7" t="s">
        <v>31</v>
      </c>
      <c r="C124" s="260">
        <v>10</v>
      </c>
      <c r="D124" s="321">
        <f t="shared" si="31"/>
        <v>0</v>
      </c>
      <c r="E124" s="321">
        <f t="shared" si="32"/>
        <v>0</v>
      </c>
      <c r="F124" s="321">
        <f t="shared" si="33"/>
        <v>-6234.929887609549</v>
      </c>
      <c r="G124" s="321">
        <f t="shared" si="34"/>
        <v>-11104.546729498827</v>
      </c>
      <c r="H124" s="321">
        <f t="shared" si="35"/>
        <v>-26971.861140919056</v>
      </c>
      <c r="I124" s="321">
        <f t="shared" si="36"/>
        <v>-50434.727622802602</v>
      </c>
    </row>
    <row r="125" spans="1:9" hidden="1" outlineLevel="1">
      <c r="A125" s="753" t="s">
        <v>32</v>
      </c>
      <c r="B125" s="7" t="s">
        <v>33</v>
      </c>
      <c r="C125" s="260">
        <v>11</v>
      </c>
      <c r="D125" s="321">
        <f t="shared" si="31"/>
        <v>0</v>
      </c>
      <c r="E125" s="321">
        <f t="shared" si="32"/>
        <v>0</v>
      </c>
      <c r="F125" s="321">
        <f t="shared" si="33"/>
        <v>-4307.899821830887</v>
      </c>
      <c r="G125" s="321">
        <f t="shared" si="34"/>
        <v>-7662.5997339133755</v>
      </c>
      <c r="H125" s="321">
        <f t="shared" si="35"/>
        <v>-18474.908289400864</v>
      </c>
      <c r="I125" s="321">
        <f t="shared" si="36"/>
        <v>-34497.90659856049</v>
      </c>
    </row>
    <row r="126" spans="1:9" hidden="1" outlineLevel="1">
      <c r="A126" s="753"/>
      <c r="B126" s="7" t="s">
        <v>34</v>
      </c>
      <c r="C126" s="260">
        <v>12</v>
      </c>
      <c r="D126" s="321">
        <f t="shared" si="31"/>
        <v>0</v>
      </c>
      <c r="E126" s="321">
        <f t="shared" si="32"/>
        <v>0</v>
      </c>
      <c r="F126" s="321">
        <f t="shared" si="33"/>
        <v>-2233.3540100967289</v>
      </c>
      <c r="G126" s="321">
        <f t="shared" si="34"/>
        <v>-3967.3003515216142</v>
      </c>
      <c r="H126" s="321">
        <f t="shared" si="35"/>
        <v>-9493.495198939785</v>
      </c>
      <c r="I126" s="321">
        <f t="shared" si="36"/>
        <v>-17701.775336968858</v>
      </c>
    </row>
    <row r="127" spans="1:9" hidden="1" outlineLevel="1">
      <c r="A127" s="753"/>
      <c r="B127" s="7" t="s">
        <v>22</v>
      </c>
      <c r="C127" s="260">
        <v>13</v>
      </c>
      <c r="D127" s="321">
        <f t="shared" si="31"/>
        <v>0</v>
      </c>
      <c r="E127" s="321">
        <f t="shared" si="32"/>
        <v>0</v>
      </c>
      <c r="F127" s="321">
        <f t="shared" si="33"/>
        <v>0</v>
      </c>
      <c r="G127" s="321">
        <f t="shared" si="34"/>
        <v>0</v>
      </c>
      <c r="H127" s="321">
        <f t="shared" si="35"/>
        <v>0</v>
      </c>
      <c r="I127" s="321">
        <f t="shared" si="36"/>
        <v>0</v>
      </c>
    </row>
    <row r="128" spans="1:9" hidden="1" outlineLevel="1">
      <c r="A128" s="753"/>
      <c r="B128" s="7" t="s">
        <v>23</v>
      </c>
      <c r="C128" s="260">
        <v>14</v>
      </c>
      <c r="D128" s="321">
        <f t="shared" si="31"/>
        <v>0</v>
      </c>
      <c r="E128" s="321">
        <f t="shared" si="32"/>
        <v>0</v>
      </c>
      <c r="F128" s="321">
        <f t="shared" si="33"/>
        <v>0</v>
      </c>
      <c r="G128" s="321">
        <f t="shared" si="34"/>
        <v>0</v>
      </c>
      <c r="H128" s="321">
        <f t="shared" si="35"/>
        <v>0</v>
      </c>
      <c r="I128" s="321">
        <f t="shared" si="36"/>
        <v>0</v>
      </c>
    </row>
    <row r="129" spans="1:9" hidden="1" outlineLevel="1">
      <c r="A129" s="753"/>
      <c r="B129" s="7" t="s">
        <v>24</v>
      </c>
      <c r="C129" s="260">
        <v>15</v>
      </c>
      <c r="D129" s="321">
        <f t="shared" si="31"/>
        <v>0</v>
      </c>
      <c r="E129" s="321">
        <f t="shared" si="32"/>
        <v>0</v>
      </c>
      <c r="F129" s="321">
        <f t="shared" si="33"/>
        <v>0</v>
      </c>
      <c r="G129" s="321">
        <f t="shared" si="34"/>
        <v>0</v>
      </c>
      <c r="H129" s="321">
        <f t="shared" si="35"/>
        <v>0</v>
      </c>
      <c r="I129" s="321">
        <f t="shared" si="36"/>
        <v>0</v>
      </c>
    </row>
    <row r="130" spans="1:9" hidden="1" outlineLevel="1">
      <c r="A130" s="753"/>
      <c r="B130" s="7" t="s">
        <v>25</v>
      </c>
      <c r="C130" s="260">
        <v>16</v>
      </c>
      <c r="D130" s="321">
        <f t="shared" si="31"/>
        <v>0</v>
      </c>
      <c r="E130" s="321">
        <f t="shared" si="32"/>
        <v>0</v>
      </c>
      <c r="F130" s="321">
        <f t="shared" si="33"/>
        <v>0</v>
      </c>
      <c r="G130" s="321">
        <f t="shared" si="34"/>
        <v>0</v>
      </c>
      <c r="H130" s="321">
        <f t="shared" si="35"/>
        <v>0</v>
      </c>
      <c r="I130" s="321">
        <f t="shared" si="36"/>
        <v>0</v>
      </c>
    </row>
    <row r="131" spans="1:9" hidden="1" outlineLevel="1">
      <c r="A131" s="753"/>
      <c r="B131" s="7" t="s">
        <v>26</v>
      </c>
      <c r="C131" s="260">
        <v>17</v>
      </c>
      <c r="D131" s="321">
        <f t="shared" si="31"/>
        <v>0</v>
      </c>
      <c r="E131" s="321">
        <f t="shared" si="32"/>
        <v>0</v>
      </c>
      <c r="F131" s="321">
        <f t="shared" si="33"/>
        <v>0</v>
      </c>
      <c r="G131" s="321">
        <f t="shared" si="34"/>
        <v>0</v>
      </c>
      <c r="H131" s="321">
        <f t="shared" si="35"/>
        <v>0</v>
      </c>
      <c r="I131" s="321">
        <f t="shared" si="36"/>
        <v>0</v>
      </c>
    </row>
    <row r="132" spans="1:9" hidden="1" outlineLevel="1">
      <c r="A132" s="753"/>
      <c r="B132" s="7" t="s">
        <v>27</v>
      </c>
      <c r="C132" s="260">
        <v>18</v>
      </c>
      <c r="D132" s="321">
        <f t="shared" si="31"/>
        <v>0</v>
      </c>
      <c r="E132" s="321">
        <f t="shared" si="32"/>
        <v>0</v>
      </c>
      <c r="F132" s="321">
        <f t="shared" si="33"/>
        <v>0</v>
      </c>
      <c r="G132" s="321">
        <f t="shared" si="34"/>
        <v>0</v>
      </c>
      <c r="H132" s="321">
        <f t="shared" si="35"/>
        <v>0</v>
      </c>
      <c r="I132" s="321">
        <f t="shared" si="36"/>
        <v>0</v>
      </c>
    </row>
    <row r="133" spans="1:9" hidden="1" outlineLevel="1">
      <c r="A133" s="260"/>
      <c r="B133" s="566" t="s">
        <v>28</v>
      </c>
      <c r="C133" s="260">
        <v>19</v>
      </c>
      <c r="D133" s="321">
        <f t="shared" si="31"/>
        <v>0</v>
      </c>
      <c r="E133" s="321">
        <f t="shared" si="32"/>
        <v>0</v>
      </c>
      <c r="F133" s="321">
        <f t="shared" si="33"/>
        <v>0</v>
      </c>
      <c r="G133" s="321">
        <f t="shared" si="34"/>
        <v>0</v>
      </c>
      <c r="H133" s="321">
        <f t="shared" si="35"/>
        <v>0</v>
      </c>
      <c r="I133" s="321">
        <f t="shared" si="36"/>
        <v>0</v>
      </c>
    </row>
    <row r="134" spans="1:9" hidden="1" outlineLevel="1">
      <c r="A134" s="260"/>
      <c r="B134" s="566" t="s">
        <v>29</v>
      </c>
      <c r="C134" s="260">
        <v>20</v>
      </c>
      <c r="D134" s="321">
        <f t="shared" si="31"/>
        <v>0</v>
      </c>
      <c r="E134" s="321">
        <f t="shared" si="32"/>
        <v>0</v>
      </c>
      <c r="F134" s="321">
        <f t="shared" si="33"/>
        <v>0</v>
      </c>
      <c r="G134" s="321">
        <f t="shared" si="34"/>
        <v>0</v>
      </c>
      <c r="H134" s="321">
        <f t="shared" si="35"/>
        <v>0</v>
      </c>
      <c r="I134" s="321">
        <f t="shared" si="36"/>
        <v>0</v>
      </c>
    </row>
    <row r="135" spans="1:9" hidden="1" outlineLevel="1">
      <c r="A135" s="260"/>
      <c r="B135" s="566" t="s">
        <v>30</v>
      </c>
      <c r="C135" s="260">
        <v>21</v>
      </c>
      <c r="D135" s="321">
        <f t="shared" si="31"/>
        <v>0</v>
      </c>
      <c r="E135" s="321">
        <f t="shared" si="32"/>
        <v>0</v>
      </c>
      <c r="F135" s="321">
        <f t="shared" si="33"/>
        <v>0</v>
      </c>
      <c r="G135" s="321">
        <f t="shared" si="34"/>
        <v>0</v>
      </c>
      <c r="H135" s="321">
        <f t="shared" si="35"/>
        <v>0</v>
      </c>
      <c r="I135" s="321">
        <f t="shared" si="36"/>
        <v>0</v>
      </c>
    </row>
    <row r="136" spans="1:9" hidden="1" outlineLevel="1">
      <c r="A136" s="260"/>
      <c r="B136" s="566" t="s">
        <v>31</v>
      </c>
      <c r="C136" s="260">
        <v>22</v>
      </c>
      <c r="D136" s="321">
        <f t="shared" si="31"/>
        <v>0</v>
      </c>
      <c r="E136" s="321">
        <f t="shared" si="32"/>
        <v>0</v>
      </c>
      <c r="F136" s="321">
        <f t="shared" si="33"/>
        <v>0</v>
      </c>
      <c r="G136" s="321">
        <f t="shared" si="34"/>
        <v>0</v>
      </c>
      <c r="H136" s="321">
        <f t="shared" si="35"/>
        <v>0</v>
      </c>
      <c r="I136" s="321">
        <f t="shared" si="36"/>
        <v>0</v>
      </c>
    </row>
    <row r="137" spans="1:9" hidden="1" outlineLevel="1">
      <c r="A137" s="260"/>
      <c r="B137" s="566" t="s">
        <v>33</v>
      </c>
      <c r="C137" s="260">
        <v>23</v>
      </c>
      <c r="D137" s="321">
        <f t="shared" si="31"/>
        <v>0</v>
      </c>
      <c r="E137" s="321">
        <f t="shared" si="32"/>
        <v>0</v>
      </c>
      <c r="F137" s="321">
        <f t="shared" si="33"/>
        <v>0</v>
      </c>
      <c r="G137" s="321">
        <f t="shared" si="34"/>
        <v>0</v>
      </c>
      <c r="H137" s="321">
        <f t="shared" si="35"/>
        <v>0</v>
      </c>
      <c r="I137" s="321">
        <f t="shared" si="36"/>
        <v>0</v>
      </c>
    </row>
    <row r="138" spans="1:9" hidden="1" outlineLevel="1">
      <c r="A138" s="753">
        <v>2016</v>
      </c>
      <c r="B138" s="566" t="s">
        <v>34</v>
      </c>
      <c r="C138" s="260">
        <v>24</v>
      </c>
      <c r="D138" s="321">
        <f t="shared" si="31"/>
        <v>0</v>
      </c>
      <c r="E138" s="321">
        <f t="shared" si="32"/>
        <v>0</v>
      </c>
      <c r="F138" s="321">
        <f t="shared" si="33"/>
        <v>0</v>
      </c>
      <c r="G138" s="321">
        <f t="shared" si="34"/>
        <v>0</v>
      </c>
      <c r="H138" s="321">
        <f t="shared" si="35"/>
        <v>0</v>
      </c>
      <c r="I138" s="321">
        <f t="shared" si="36"/>
        <v>0</v>
      </c>
    </row>
    <row r="139" spans="1:9" hidden="1" outlineLevel="1">
      <c r="A139" s="753"/>
      <c r="B139" s="7" t="s">
        <v>24</v>
      </c>
      <c r="C139" s="260">
        <v>3</v>
      </c>
      <c r="D139" s="321">
        <f t="shared" ref="D139:I152" si="37">IFERROR(IPMT(D$135,$C139,D$136,D$137),0)</f>
        <v>0</v>
      </c>
      <c r="E139" s="321">
        <f t="shared" si="37"/>
        <v>0</v>
      </c>
      <c r="F139" s="321">
        <f t="shared" si="37"/>
        <v>0</v>
      </c>
      <c r="G139" s="321">
        <f t="shared" si="37"/>
        <v>0</v>
      </c>
      <c r="H139" s="321">
        <f t="shared" si="37"/>
        <v>0</v>
      </c>
      <c r="I139" s="321">
        <f t="shared" si="37"/>
        <v>0</v>
      </c>
    </row>
    <row r="140" spans="1:9" hidden="1" outlineLevel="1">
      <c r="A140" s="753"/>
      <c r="B140" s="7" t="s">
        <v>25</v>
      </c>
      <c r="C140" s="260">
        <v>4</v>
      </c>
      <c r="D140" s="321">
        <f t="shared" si="37"/>
        <v>0</v>
      </c>
      <c r="E140" s="321">
        <f t="shared" si="37"/>
        <v>0</v>
      </c>
      <c r="F140" s="321">
        <f t="shared" si="37"/>
        <v>0</v>
      </c>
      <c r="G140" s="321">
        <f t="shared" si="37"/>
        <v>0</v>
      </c>
      <c r="H140" s="321">
        <f t="shared" si="37"/>
        <v>0</v>
      </c>
      <c r="I140" s="321">
        <f t="shared" si="37"/>
        <v>0</v>
      </c>
    </row>
    <row r="141" spans="1:9" hidden="1" outlineLevel="1">
      <c r="A141" s="753"/>
      <c r="B141" s="7" t="s">
        <v>26</v>
      </c>
      <c r="C141" s="260">
        <v>5</v>
      </c>
      <c r="D141" s="321">
        <f t="shared" si="37"/>
        <v>0</v>
      </c>
      <c r="E141" s="321">
        <f t="shared" si="37"/>
        <v>0</v>
      </c>
      <c r="F141" s="321">
        <f t="shared" si="37"/>
        <v>0</v>
      </c>
      <c r="G141" s="321">
        <f t="shared" si="37"/>
        <v>0</v>
      </c>
      <c r="H141" s="321">
        <f t="shared" si="37"/>
        <v>0</v>
      </c>
      <c r="I141" s="321">
        <f t="shared" si="37"/>
        <v>0</v>
      </c>
    </row>
    <row r="142" spans="1:9" hidden="1" outlineLevel="1">
      <c r="A142" s="753"/>
      <c r="B142" s="7" t="s">
        <v>27</v>
      </c>
      <c r="C142" s="260">
        <v>6</v>
      </c>
      <c r="D142" s="321">
        <f t="shared" si="37"/>
        <v>0</v>
      </c>
      <c r="E142" s="321">
        <f t="shared" si="37"/>
        <v>0</v>
      </c>
      <c r="F142" s="321">
        <f t="shared" si="37"/>
        <v>0</v>
      </c>
      <c r="G142" s="321">
        <f t="shared" si="37"/>
        <v>0</v>
      </c>
      <c r="H142" s="321">
        <f t="shared" si="37"/>
        <v>0</v>
      </c>
      <c r="I142" s="321">
        <f t="shared" si="37"/>
        <v>0</v>
      </c>
    </row>
    <row r="143" spans="1:9" hidden="1" outlineLevel="1">
      <c r="A143" s="753"/>
      <c r="B143" s="7" t="s">
        <v>28</v>
      </c>
      <c r="C143" s="260">
        <v>7</v>
      </c>
      <c r="D143" s="321">
        <f t="shared" si="37"/>
        <v>0</v>
      </c>
      <c r="E143" s="321">
        <f t="shared" si="37"/>
        <v>0</v>
      </c>
      <c r="F143" s="321">
        <f t="shared" si="37"/>
        <v>0</v>
      </c>
      <c r="G143" s="321">
        <f t="shared" si="37"/>
        <v>0</v>
      </c>
      <c r="H143" s="321">
        <f t="shared" si="37"/>
        <v>0</v>
      </c>
      <c r="I143" s="321">
        <f t="shared" si="37"/>
        <v>0</v>
      </c>
    </row>
    <row r="144" spans="1:9" hidden="1" outlineLevel="1">
      <c r="A144" s="753"/>
      <c r="B144" s="7" t="s">
        <v>29</v>
      </c>
      <c r="C144" s="260">
        <v>8</v>
      </c>
      <c r="D144" s="321">
        <f t="shared" si="37"/>
        <v>0</v>
      </c>
      <c r="E144" s="321">
        <f t="shared" si="37"/>
        <v>0</v>
      </c>
      <c r="F144" s="321">
        <f t="shared" si="37"/>
        <v>0</v>
      </c>
      <c r="G144" s="321">
        <f t="shared" si="37"/>
        <v>0</v>
      </c>
      <c r="H144" s="321">
        <f t="shared" si="37"/>
        <v>0</v>
      </c>
      <c r="I144" s="321">
        <f t="shared" si="37"/>
        <v>0</v>
      </c>
    </row>
    <row r="145" spans="1:9" hidden="1" outlineLevel="1">
      <c r="A145" s="753"/>
      <c r="B145" s="7" t="s">
        <v>30</v>
      </c>
      <c r="C145" s="260">
        <v>9</v>
      </c>
      <c r="D145" s="321">
        <f t="shared" si="37"/>
        <v>0</v>
      </c>
      <c r="E145" s="321">
        <f t="shared" si="37"/>
        <v>0</v>
      </c>
      <c r="F145" s="321">
        <f t="shared" si="37"/>
        <v>0</v>
      </c>
      <c r="G145" s="321">
        <f t="shared" si="37"/>
        <v>0</v>
      </c>
      <c r="H145" s="321">
        <f t="shared" si="37"/>
        <v>0</v>
      </c>
      <c r="I145" s="321">
        <f t="shared" si="37"/>
        <v>0</v>
      </c>
    </row>
    <row r="146" spans="1:9" hidden="1" outlineLevel="1">
      <c r="A146" s="753"/>
      <c r="B146" s="7" t="s">
        <v>31</v>
      </c>
      <c r="C146" s="260">
        <v>10</v>
      </c>
      <c r="D146" s="321">
        <f t="shared" si="37"/>
        <v>0</v>
      </c>
      <c r="E146" s="321">
        <f t="shared" si="37"/>
        <v>0</v>
      </c>
      <c r="F146" s="321">
        <f t="shared" si="37"/>
        <v>0</v>
      </c>
      <c r="G146" s="321">
        <f t="shared" si="37"/>
        <v>0</v>
      </c>
      <c r="H146" s="321">
        <f t="shared" si="37"/>
        <v>0</v>
      </c>
      <c r="I146" s="321">
        <f t="shared" si="37"/>
        <v>0</v>
      </c>
    </row>
    <row r="147" spans="1:9" hidden="1" outlineLevel="1">
      <c r="A147" s="753">
        <v>2017</v>
      </c>
      <c r="B147" s="7" t="s">
        <v>33</v>
      </c>
      <c r="C147" s="260">
        <v>11</v>
      </c>
      <c r="D147" s="321">
        <f t="shared" si="37"/>
        <v>0</v>
      </c>
      <c r="E147" s="321">
        <f t="shared" si="37"/>
        <v>0</v>
      </c>
      <c r="F147" s="321">
        <f t="shared" si="37"/>
        <v>0</v>
      </c>
      <c r="G147" s="321">
        <f t="shared" si="37"/>
        <v>0</v>
      </c>
      <c r="H147" s="321">
        <f t="shared" si="37"/>
        <v>0</v>
      </c>
      <c r="I147" s="321">
        <f t="shared" si="37"/>
        <v>0</v>
      </c>
    </row>
    <row r="148" spans="1:9" hidden="1" outlineLevel="1">
      <c r="A148" s="753"/>
      <c r="B148" s="7" t="s">
        <v>34</v>
      </c>
      <c r="C148" s="260">
        <v>12</v>
      </c>
      <c r="D148" s="321">
        <f t="shared" si="37"/>
        <v>0</v>
      </c>
      <c r="E148" s="321">
        <f t="shared" si="37"/>
        <v>0</v>
      </c>
      <c r="F148" s="321">
        <f t="shared" si="37"/>
        <v>0</v>
      </c>
      <c r="G148" s="321">
        <f t="shared" si="37"/>
        <v>0</v>
      </c>
      <c r="H148" s="321">
        <f t="shared" si="37"/>
        <v>0</v>
      </c>
      <c r="I148" s="321">
        <f t="shared" si="37"/>
        <v>0</v>
      </c>
    </row>
    <row r="149" spans="1:9" hidden="1" outlineLevel="1">
      <c r="A149" s="753"/>
      <c r="B149" s="7" t="s">
        <v>22</v>
      </c>
      <c r="C149" s="260">
        <v>13</v>
      </c>
      <c r="D149" s="321">
        <f t="shared" si="37"/>
        <v>0</v>
      </c>
      <c r="E149" s="321">
        <f t="shared" si="37"/>
        <v>0</v>
      </c>
      <c r="F149" s="321">
        <f t="shared" si="37"/>
        <v>0</v>
      </c>
      <c r="G149" s="321">
        <f t="shared" si="37"/>
        <v>0</v>
      </c>
      <c r="H149" s="321">
        <f t="shared" si="37"/>
        <v>0</v>
      </c>
      <c r="I149" s="321">
        <f t="shared" si="37"/>
        <v>0</v>
      </c>
    </row>
    <row r="150" spans="1:9" hidden="1" outlineLevel="1">
      <c r="A150" s="753"/>
      <c r="B150" s="7" t="s">
        <v>23</v>
      </c>
      <c r="C150" s="260">
        <v>14</v>
      </c>
      <c r="D150" s="321">
        <f t="shared" si="37"/>
        <v>0</v>
      </c>
      <c r="E150" s="321">
        <f t="shared" si="37"/>
        <v>0</v>
      </c>
      <c r="F150" s="321">
        <f t="shared" si="37"/>
        <v>0</v>
      </c>
      <c r="G150" s="321">
        <f t="shared" si="37"/>
        <v>0</v>
      </c>
      <c r="H150" s="321">
        <f t="shared" si="37"/>
        <v>0</v>
      </c>
      <c r="I150" s="321">
        <f t="shared" si="37"/>
        <v>0</v>
      </c>
    </row>
    <row r="151" spans="1:9" hidden="1" outlineLevel="1">
      <c r="A151" s="753"/>
      <c r="B151" s="7" t="s">
        <v>24</v>
      </c>
      <c r="C151" s="260">
        <v>15</v>
      </c>
      <c r="D151" s="321">
        <f t="shared" si="37"/>
        <v>0</v>
      </c>
      <c r="E151" s="321">
        <f t="shared" si="37"/>
        <v>0</v>
      </c>
      <c r="F151" s="321">
        <f t="shared" si="37"/>
        <v>0</v>
      </c>
      <c r="G151" s="321">
        <f t="shared" si="37"/>
        <v>0</v>
      </c>
      <c r="H151" s="321">
        <f t="shared" si="37"/>
        <v>0</v>
      </c>
      <c r="I151" s="321">
        <f t="shared" si="37"/>
        <v>0</v>
      </c>
    </row>
    <row r="152" spans="1:9" hidden="1" outlineLevel="1">
      <c r="A152" s="753"/>
      <c r="B152" s="7" t="s">
        <v>25</v>
      </c>
      <c r="C152" s="260">
        <v>16</v>
      </c>
      <c r="D152" s="321">
        <f t="shared" si="37"/>
        <v>0</v>
      </c>
      <c r="E152" s="321">
        <f t="shared" si="37"/>
        <v>0</v>
      </c>
      <c r="F152" s="321">
        <f t="shared" si="37"/>
        <v>0</v>
      </c>
      <c r="G152" s="321">
        <f t="shared" si="37"/>
        <v>0</v>
      </c>
      <c r="H152" s="321">
        <f t="shared" si="37"/>
        <v>0</v>
      </c>
      <c r="I152" s="321">
        <f t="shared" si="37"/>
        <v>0</v>
      </c>
    </row>
    <row r="153" spans="1:9" hidden="1" outlineLevel="1">
      <c r="A153" s="753"/>
      <c r="B153" s="7" t="s">
        <v>26</v>
      </c>
      <c r="C153" s="260">
        <v>17</v>
      </c>
      <c r="D153" s="321">
        <f t="shared" ref="D153:I154" si="38">IFERROR(IPMT(D$135,$C153,D$136,D$137),0)</f>
        <v>0</v>
      </c>
      <c r="E153" s="321">
        <f t="shared" si="38"/>
        <v>0</v>
      </c>
      <c r="F153" s="321">
        <f t="shared" si="38"/>
        <v>0</v>
      </c>
      <c r="G153" s="321">
        <f t="shared" si="38"/>
        <v>0</v>
      </c>
      <c r="H153" s="321">
        <f t="shared" si="38"/>
        <v>0</v>
      </c>
      <c r="I153" s="321">
        <f t="shared" si="38"/>
        <v>0</v>
      </c>
    </row>
    <row r="154" spans="1:9" hidden="1" outlineLevel="1">
      <c r="A154" s="753"/>
      <c r="B154" s="7" t="s">
        <v>27</v>
      </c>
      <c r="C154" s="260">
        <v>18</v>
      </c>
      <c r="D154" s="321">
        <f t="shared" si="38"/>
        <v>0</v>
      </c>
      <c r="E154" s="321">
        <f t="shared" si="38"/>
        <v>0</v>
      </c>
      <c r="F154" s="321">
        <f t="shared" si="38"/>
        <v>0</v>
      </c>
      <c r="G154" s="321">
        <f t="shared" si="38"/>
        <v>0</v>
      </c>
      <c r="H154" s="321">
        <f t="shared" si="38"/>
        <v>0</v>
      </c>
      <c r="I154" s="321">
        <f t="shared" si="38"/>
        <v>0</v>
      </c>
    </row>
    <row r="155" spans="1:9" collapsed="1">
      <c r="A155" s="260"/>
      <c r="B155" s="260"/>
      <c r="C155" s="260"/>
      <c r="D155" s="310"/>
      <c r="E155" s="310"/>
      <c r="F155" s="310"/>
      <c r="G155" s="310"/>
      <c r="H155" s="310"/>
      <c r="I155" s="310"/>
    </row>
    <row r="156" spans="1:9">
      <c r="A156" s="260"/>
      <c r="B156" s="288"/>
      <c r="C156" s="288"/>
      <c r="D156" s="323"/>
      <c r="E156" s="323"/>
      <c r="F156" s="323"/>
      <c r="G156" s="323"/>
      <c r="H156" s="323"/>
      <c r="I156" s="323"/>
    </row>
    <row r="157" spans="1:9">
      <c r="A157" s="260"/>
      <c r="B157" s="567" t="s">
        <v>44</v>
      </c>
      <c r="C157" s="273"/>
      <c r="D157" s="764"/>
      <c r="E157" s="764"/>
      <c r="F157" s="310"/>
      <c r="G157" s="310"/>
      <c r="H157" s="310"/>
      <c r="I157" s="310"/>
    </row>
    <row r="158" spans="1:9">
      <c r="A158" s="260"/>
      <c r="B158" s="273" t="s">
        <v>45</v>
      </c>
      <c r="C158" s="273"/>
      <c r="D158" s="324">
        <f t="shared" ref="D158:I158" si="39">(-PMT(D4,D6,D11,0))*D6-D11</f>
        <v>1350.0000000000009</v>
      </c>
      <c r="E158" s="324">
        <f t="shared" si="39"/>
        <v>6750</v>
      </c>
      <c r="F158" s="312">
        <f t="shared" si="39"/>
        <v>135914.50883785335</v>
      </c>
      <c r="G158" s="312">
        <f t="shared" si="39"/>
        <v>243485.99999999942</v>
      </c>
      <c r="H158" s="312">
        <f t="shared" si="39"/>
        <v>612000.00000095461</v>
      </c>
      <c r="I158" s="312">
        <f t="shared" si="39"/>
        <v>1151999.9999999981</v>
      </c>
    </row>
    <row r="159" spans="1:9">
      <c r="A159" s="260"/>
      <c r="B159" s="273" t="s">
        <v>12</v>
      </c>
      <c r="C159" s="273"/>
      <c r="D159" s="324">
        <f>-D8*(D13)-(D8*D158)</f>
        <v>-670.76100000000019</v>
      </c>
      <c r="E159" s="324">
        <f>-E8*(E13)-(E8*E158)</f>
        <v>-3353.8050000000003</v>
      </c>
      <c r="F159" s="312">
        <f t="shared" ref="F159:I159" si="40">-F8*(F13)</f>
        <v>-9398.3436962345386</v>
      </c>
      <c r="G159" s="312">
        <f t="shared" si="40"/>
        <v>-9198.36</v>
      </c>
      <c r="H159" s="312">
        <f t="shared" si="40"/>
        <v>-25200</v>
      </c>
      <c r="I159" s="312">
        <f t="shared" si="40"/>
        <v>-32399.999999999996</v>
      </c>
    </row>
    <row r="160" spans="1:9">
      <c r="A160" s="260"/>
      <c r="B160" s="23" t="s">
        <v>46</v>
      </c>
      <c r="C160" s="23"/>
      <c r="D160" s="55">
        <f t="shared" ref="D160:I160" si="41">SUM(D158:D159)</f>
        <v>679.23900000000071</v>
      </c>
      <c r="E160" s="55">
        <f t="shared" si="41"/>
        <v>3396.1949999999997</v>
      </c>
      <c r="F160" s="55">
        <f t="shared" si="41"/>
        <v>126516.16514161881</v>
      </c>
      <c r="G160" s="55">
        <f t="shared" si="41"/>
        <v>234287.63999999943</v>
      </c>
      <c r="H160" s="55">
        <f t="shared" si="41"/>
        <v>586800.00000095461</v>
      </c>
      <c r="I160" s="55">
        <f t="shared" si="41"/>
        <v>1119599.9999999981</v>
      </c>
    </row>
    <row r="161" spans="1:9" ht="4" customHeight="1">
      <c r="A161" s="260"/>
      <c r="B161" s="2"/>
      <c r="C161" s="2"/>
      <c r="D161" s="56"/>
      <c r="E161" s="56"/>
      <c r="F161" s="56"/>
      <c r="G161" s="56"/>
      <c r="H161" s="56"/>
      <c r="I161" s="56"/>
    </row>
    <row r="162" spans="1:9">
      <c r="A162" s="260"/>
      <c r="B162" s="2" t="s">
        <v>47</v>
      </c>
      <c r="C162" s="2"/>
      <c r="D162" s="56"/>
      <c r="E162" s="56"/>
      <c r="F162" s="56"/>
      <c r="G162" s="56"/>
      <c r="H162" s="56"/>
      <c r="I162" s="56"/>
    </row>
    <row r="163" spans="1:9">
      <c r="A163" s="260"/>
      <c r="B163" s="260" t="s">
        <v>37</v>
      </c>
      <c r="C163" s="260"/>
      <c r="D163" s="312">
        <f t="shared" ref="D163:I163" si="42">-D110</f>
        <v>-67.500000000000014</v>
      </c>
      <c r="E163" s="312">
        <f t="shared" si="42"/>
        <v>-337.50000000000068</v>
      </c>
      <c r="F163" s="312">
        <f t="shared" si="42"/>
        <v>-19974.156732274212</v>
      </c>
      <c r="G163" s="312">
        <f t="shared" si="42"/>
        <v>-37213.943642804894</v>
      </c>
      <c r="H163" s="312">
        <f t="shared" si="42"/>
        <v>-120756.0820893093</v>
      </c>
      <c r="I163" s="312">
        <f t="shared" si="42"/>
        <v>-240356.96480381564</v>
      </c>
    </row>
    <row r="164" spans="1:9">
      <c r="A164" s="260"/>
      <c r="B164" s="487" t="s">
        <v>408</v>
      </c>
      <c r="C164" s="66">
        <v>0</v>
      </c>
      <c r="D164" s="312">
        <f>-C164*D6</f>
        <v>0</v>
      </c>
      <c r="E164" s="312">
        <f>-C164*E6</f>
        <v>0</v>
      </c>
      <c r="F164" s="312">
        <f>-C164*F6</f>
        <v>0</v>
      </c>
      <c r="G164" s="312">
        <f>-C164*G6</f>
        <v>0</v>
      </c>
      <c r="H164" s="312">
        <f>-C164*H6</f>
        <v>0</v>
      </c>
      <c r="I164" s="312">
        <f>-C164*I6</f>
        <v>0</v>
      </c>
    </row>
    <row r="165" spans="1:9">
      <c r="A165" s="260"/>
      <c r="B165" s="10" t="s">
        <v>48</v>
      </c>
      <c r="C165" s="66">
        <v>5.5</v>
      </c>
      <c r="D165" s="312">
        <f t="shared" ref="D165:I165" si="43">-$C165*D10</f>
        <v>-5.5</v>
      </c>
      <c r="E165" s="312">
        <f t="shared" si="43"/>
        <v>-5.5</v>
      </c>
      <c r="F165" s="312">
        <f t="shared" si="43"/>
        <v>-5.5</v>
      </c>
      <c r="G165" s="312">
        <f t="shared" si="43"/>
        <v>-5.5</v>
      </c>
      <c r="H165" s="312">
        <f t="shared" si="43"/>
        <v>-5.5</v>
      </c>
      <c r="I165" s="312">
        <f t="shared" si="43"/>
        <v>-5.5</v>
      </c>
    </row>
    <row r="166" spans="1:9">
      <c r="A166" s="260"/>
      <c r="B166" s="569" t="s">
        <v>121</v>
      </c>
      <c r="C166" s="595">
        <v>8.9999999999999993E-3</v>
      </c>
      <c r="D166" s="312">
        <f>(IF(($C166*(-SUM(D50:D73)))&gt;(1000*D6),-1000*D6,($C166*SUM(D50:D73))))*(1-D8)</f>
        <v>-60.113151000000002</v>
      </c>
      <c r="E166" s="312">
        <f>(IF(($C166*(-SUM(E50:E73)))&gt;(1000*E6),-1000*E6,($C166*SUM(E50:E67))))*(1-E8)</f>
        <v>-300.56575500000002</v>
      </c>
      <c r="F166" s="312">
        <f t="shared" ref="F166:H166" si="44">(IF(($C166*(-SUM(F50:F73)))&gt;(2000*F6),-2000*F6,($C166*SUM(F50:F67))))*(1-F8)</f>
        <v>-3259.7880389573766</v>
      </c>
      <c r="G166" s="312">
        <f t="shared" si="44"/>
        <v>-6121.984730399995</v>
      </c>
      <c r="H166" s="312">
        <f t="shared" si="44"/>
        <v>-18688.665600008448</v>
      </c>
      <c r="I166" s="312">
        <f>(IF(($C166*(-SUM(I50:I73)))&gt;(2000*I6),-2000*I6,($C166*SUM(I50:I67))))*(1-I8)</f>
        <v>-23740.799999999999</v>
      </c>
    </row>
    <row r="167" spans="1:9">
      <c r="A167" s="260"/>
      <c r="B167" s="260" t="s">
        <v>49</v>
      </c>
      <c r="C167" s="67">
        <v>0</v>
      </c>
      <c r="D167" s="312">
        <f t="shared" ref="D167:I167" si="45">-$C167*D13</f>
        <v>0</v>
      </c>
      <c r="E167" s="312">
        <f t="shared" si="45"/>
        <v>0</v>
      </c>
      <c r="F167" s="312">
        <f t="shared" si="45"/>
        <v>0</v>
      </c>
      <c r="G167" s="312">
        <f t="shared" si="45"/>
        <v>0</v>
      </c>
      <c r="H167" s="312">
        <f t="shared" si="45"/>
        <v>0</v>
      </c>
      <c r="I167" s="312">
        <f t="shared" si="45"/>
        <v>0</v>
      </c>
    </row>
    <row r="168" spans="1:9">
      <c r="A168" s="273"/>
      <c r="B168" s="273"/>
      <c r="C168" s="289"/>
      <c r="D168" s="324"/>
      <c r="E168" s="324"/>
      <c r="F168" s="324"/>
      <c r="G168" s="324"/>
      <c r="H168" s="324"/>
      <c r="I168" s="324"/>
    </row>
    <row r="169" spans="1:9">
      <c r="A169" s="260"/>
      <c r="B169" s="23" t="s">
        <v>50</v>
      </c>
      <c r="C169" s="23"/>
      <c r="D169" s="55">
        <f t="shared" ref="D169:I169" si="46">SUM(D163:D168)</f>
        <v>-133.11315100000002</v>
      </c>
      <c r="E169" s="55">
        <f t="shared" si="46"/>
        <v>-643.56575500000076</v>
      </c>
      <c r="F169" s="55">
        <f t="shared" si="46"/>
        <v>-23239.444771231589</v>
      </c>
      <c r="G169" s="55">
        <f t="shared" si="46"/>
        <v>-43341.428373204886</v>
      </c>
      <c r="H169" s="55">
        <f t="shared" si="46"/>
        <v>-139450.24768931774</v>
      </c>
      <c r="I169" s="55">
        <f t="shared" si="46"/>
        <v>-264103.26480381563</v>
      </c>
    </row>
    <row r="170" spans="1:9" ht="4" customHeight="1">
      <c r="A170" s="260"/>
      <c r="B170" s="260"/>
      <c r="C170" s="260"/>
      <c r="D170" s="325"/>
      <c r="E170" s="325"/>
      <c r="F170" s="325"/>
      <c r="G170" s="325"/>
      <c r="H170" s="325"/>
      <c r="I170" s="325"/>
    </row>
    <row r="171" spans="1:9">
      <c r="A171" s="260"/>
      <c r="B171" s="4" t="s">
        <v>473</v>
      </c>
      <c r="C171" s="260"/>
      <c r="D171" s="325"/>
      <c r="E171" s="325"/>
      <c r="F171" s="325"/>
      <c r="G171" s="325"/>
      <c r="H171" s="325"/>
      <c r="I171" s="325"/>
    </row>
    <row r="172" spans="1:9">
      <c r="B172" s="260" t="s">
        <v>56</v>
      </c>
      <c r="C172" s="17">
        <v>0</v>
      </c>
      <c r="D172" s="312">
        <v>0</v>
      </c>
      <c r="E172" s="312">
        <v>0</v>
      </c>
      <c r="F172" s="277">
        <f>-$C$172*F11*0.74</f>
        <v>0</v>
      </c>
      <c r="G172" s="277">
        <f t="shared" ref="G172:I172" si="47">-$C$172*G11*0.74</f>
        <v>0</v>
      </c>
      <c r="H172" s="277">
        <f t="shared" si="47"/>
        <v>0</v>
      </c>
      <c r="I172" s="277">
        <f t="shared" si="47"/>
        <v>0</v>
      </c>
    </row>
    <row r="173" spans="1:9">
      <c r="B173" s="260" t="s">
        <v>57</v>
      </c>
      <c r="C173" s="17">
        <f>'Loan 1'!C190</f>
        <v>0</v>
      </c>
      <c r="D173" s="312">
        <v>0</v>
      </c>
      <c r="E173" s="312">
        <v>0</v>
      </c>
      <c r="F173" s="277">
        <f>-$C$173*F11*0.74</f>
        <v>0</v>
      </c>
      <c r="G173" s="277">
        <f t="shared" ref="G173:I173" si="48">-$C$173*G11*0.74</f>
        <v>0</v>
      </c>
      <c r="H173" s="277">
        <f t="shared" si="48"/>
        <v>0</v>
      </c>
      <c r="I173" s="277">
        <f t="shared" si="48"/>
        <v>0</v>
      </c>
    </row>
    <row r="174" spans="1:9">
      <c r="B174" s="260" t="s">
        <v>58</v>
      </c>
      <c r="C174" s="17">
        <f>'Loan 1'!C191</f>
        <v>0</v>
      </c>
      <c r="D174" s="312">
        <v>0</v>
      </c>
      <c r="E174" s="312">
        <v>0</v>
      </c>
      <c r="F174" s="312">
        <f>-$C$174*F11*0.74</f>
        <v>0</v>
      </c>
      <c r="G174" s="312">
        <f t="shared" ref="G174:I174" si="49">-$C$174*G11*0.74</f>
        <v>0</v>
      </c>
      <c r="H174" s="312">
        <f t="shared" si="49"/>
        <v>0</v>
      </c>
      <c r="I174" s="312">
        <f t="shared" si="49"/>
        <v>0</v>
      </c>
    </row>
    <row r="175" spans="1:9">
      <c r="B175" s="260"/>
      <c r="C175" s="260"/>
      <c r="D175" s="326">
        <f t="shared" ref="D175:I175" si="50">SUM(D172:D174)</f>
        <v>0</v>
      </c>
      <c r="E175" s="326">
        <f t="shared" si="50"/>
        <v>0</v>
      </c>
      <c r="F175" s="326">
        <f t="shared" si="50"/>
        <v>0</v>
      </c>
      <c r="G175" s="326">
        <f t="shared" si="50"/>
        <v>0</v>
      </c>
      <c r="H175" s="326">
        <f t="shared" si="50"/>
        <v>0</v>
      </c>
      <c r="I175" s="326">
        <f t="shared" si="50"/>
        <v>0</v>
      </c>
    </row>
    <row r="176" spans="1:9" s="62" customFormat="1">
      <c r="B176" s="23" t="s">
        <v>401</v>
      </c>
      <c r="C176" s="23"/>
      <c r="D176" s="57">
        <f t="shared" ref="D176:I176" si="51">SUM(D175:D175)</f>
        <v>0</v>
      </c>
      <c r="E176" s="57">
        <f t="shared" si="51"/>
        <v>0</v>
      </c>
      <c r="F176" s="57">
        <f t="shared" si="51"/>
        <v>0</v>
      </c>
      <c r="G176" s="57">
        <f t="shared" si="51"/>
        <v>0</v>
      </c>
      <c r="H176" s="57">
        <f t="shared" si="51"/>
        <v>0</v>
      </c>
      <c r="I176" s="57">
        <f t="shared" si="51"/>
        <v>0</v>
      </c>
    </row>
    <row r="177" spans="2:11" ht="4" customHeight="1">
      <c r="B177" s="260"/>
      <c r="C177" s="260"/>
      <c r="D177" s="310"/>
      <c r="E177" s="310"/>
      <c r="F177" s="310"/>
      <c r="G177" s="310"/>
      <c r="H177" s="310"/>
      <c r="I177" s="310"/>
    </row>
    <row r="178" spans="2:11" hidden="1">
      <c r="B178" s="4" t="s">
        <v>65</v>
      </c>
      <c r="C178" s="260"/>
      <c r="D178" s="310"/>
      <c r="E178" s="310"/>
      <c r="F178" s="310"/>
      <c r="G178" s="310"/>
      <c r="H178" s="310"/>
      <c r="I178" s="310"/>
    </row>
    <row r="179" spans="2:11" hidden="1">
      <c r="B179" s="260" t="s">
        <v>68</v>
      </c>
      <c r="C179" s="18">
        <v>0</v>
      </c>
      <c r="D179" s="277">
        <f t="shared" ref="D179:I179" si="52">-$C$179*D$15</f>
        <v>0</v>
      </c>
      <c r="E179" s="277">
        <f t="shared" si="52"/>
        <v>0</v>
      </c>
      <c r="F179" s="277">
        <f t="shared" si="52"/>
        <v>0</v>
      </c>
      <c r="G179" s="277">
        <f t="shared" si="52"/>
        <v>0</v>
      </c>
      <c r="H179" s="277">
        <f t="shared" si="52"/>
        <v>0</v>
      </c>
      <c r="I179" s="277">
        <f t="shared" si="52"/>
        <v>0</v>
      </c>
      <c r="J179" s="60" t="s">
        <v>499</v>
      </c>
    </row>
    <row r="180" spans="2:11" hidden="1">
      <c r="B180" s="23" t="s">
        <v>69</v>
      </c>
      <c r="C180" s="23"/>
      <c r="D180" s="57">
        <f t="shared" ref="D180:I180" si="53">SUM(D179:D179)</f>
        <v>0</v>
      </c>
      <c r="E180" s="57">
        <f t="shared" si="53"/>
        <v>0</v>
      </c>
      <c r="F180" s="57">
        <f t="shared" si="53"/>
        <v>0</v>
      </c>
      <c r="G180" s="57">
        <f t="shared" si="53"/>
        <v>0</v>
      </c>
      <c r="H180" s="57">
        <f t="shared" si="53"/>
        <v>0</v>
      </c>
      <c r="I180" s="57">
        <f t="shared" si="53"/>
        <v>0</v>
      </c>
    </row>
    <row r="181" spans="2:11" ht="4" customHeight="1">
      <c r="B181" s="260"/>
      <c r="C181" s="260"/>
      <c r="D181" s="310"/>
      <c r="E181" s="310"/>
      <c r="F181" s="310"/>
      <c r="G181" s="310"/>
      <c r="H181" s="310"/>
      <c r="I181" s="310"/>
    </row>
    <row r="182" spans="2:11">
      <c r="B182" s="4" t="s">
        <v>70</v>
      </c>
      <c r="C182" s="260"/>
      <c r="D182" s="310"/>
      <c r="E182" s="310"/>
      <c r="F182" s="310"/>
      <c r="G182" s="310"/>
      <c r="H182" s="310"/>
      <c r="I182" s="310"/>
    </row>
    <row r="183" spans="2:11">
      <c r="B183" s="4" t="s">
        <v>122</v>
      </c>
      <c r="C183" s="260"/>
      <c r="D183" s="260"/>
      <c r="E183" s="260"/>
      <c r="F183" s="260"/>
      <c r="G183" s="260"/>
      <c r="H183" s="260"/>
      <c r="I183" s="310"/>
    </row>
    <row r="184" spans="2:11">
      <c r="B184" s="223" t="s">
        <v>72</v>
      </c>
      <c r="C184" s="18">
        <v>0</v>
      </c>
      <c r="D184" s="277"/>
      <c r="E184" s="277"/>
      <c r="F184" s="277"/>
      <c r="G184" s="277"/>
      <c r="H184" s="277"/>
      <c r="I184" s="277"/>
    </row>
    <row r="185" spans="2:11">
      <c r="B185" s="260" t="s">
        <v>73</v>
      </c>
      <c r="C185" s="18">
        <v>118</v>
      </c>
      <c r="D185" s="277">
        <f>-$C$185*J185</f>
        <v>-236</v>
      </c>
      <c r="E185" s="277">
        <f>-$C$185*J185</f>
        <v>-236</v>
      </c>
      <c r="F185" s="277">
        <f>-$C$185*ROUNDUP(Assumption_Sheet!$D$237*F$15,0)</f>
        <v>-118</v>
      </c>
      <c r="G185" s="277">
        <f>-$C$185*ROUNDUP(Assumption_Sheet!$D$237*G$15,0)</f>
        <v>-118</v>
      </c>
      <c r="H185" s="277">
        <f>-$C$185*ROUNDUP(Assumption_Sheet!$D$237*H$15,0)</f>
        <v>-118</v>
      </c>
      <c r="I185" s="277">
        <f>-$C$185*ROUNDUP(Assumption_Sheet!$D$237*I$15,0)</f>
        <v>-118</v>
      </c>
      <c r="J185" s="60">
        <v>2</v>
      </c>
      <c r="K185" s="765" t="s">
        <v>536</v>
      </c>
    </row>
    <row r="186" spans="2:11">
      <c r="B186" s="260" t="s">
        <v>74</v>
      </c>
      <c r="C186" s="18">
        <v>0</v>
      </c>
      <c r="D186" s="312">
        <v>0</v>
      </c>
      <c r="E186" s="312">
        <v>0</v>
      </c>
      <c r="F186" s="312">
        <v>0</v>
      </c>
      <c r="G186" s="312">
        <v>0</v>
      </c>
      <c r="H186" s="312">
        <v>0</v>
      </c>
      <c r="I186" s="312">
        <v>0</v>
      </c>
    </row>
    <row r="187" spans="2:11">
      <c r="B187" s="741" t="s">
        <v>519</v>
      </c>
      <c r="C187" s="576">
        <v>0</v>
      </c>
      <c r="D187" s="277">
        <f>-$C$187</f>
        <v>0</v>
      </c>
      <c r="E187" s="277">
        <f>-C187</f>
        <v>0</v>
      </c>
      <c r="F187" s="312">
        <f>-Assumption_Sheet!$C$65*F$15*F14</f>
        <v>-500</v>
      </c>
      <c r="G187" s="312">
        <f>-Assumption_Sheet!$C$65*G$15*G14</f>
        <v>-500</v>
      </c>
      <c r="H187" s="312">
        <f>-Assumption_Sheet!$C$65*H$15*H14</f>
        <v>-500</v>
      </c>
      <c r="I187" s="312">
        <f>-Assumption_Sheet!$C$65*I$15*I14</f>
        <v>-500</v>
      </c>
    </row>
    <row r="188" spans="2:11">
      <c r="B188" s="260" t="s">
        <v>123</v>
      </c>
      <c r="C188" s="12"/>
      <c r="D188" s="312"/>
      <c r="E188" s="312"/>
      <c r="F188" s="312"/>
      <c r="G188" s="312"/>
      <c r="H188" s="312"/>
      <c r="I188" s="312"/>
      <c r="J188" s="260"/>
    </row>
    <row r="189" spans="2:11">
      <c r="B189" s="260" t="s">
        <v>77</v>
      </c>
      <c r="C189" s="12"/>
      <c r="D189" s="312">
        <v>0</v>
      </c>
      <c r="E189" s="312">
        <v>0</v>
      </c>
      <c r="F189" s="312">
        <v>0</v>
      </c>
      <c r="G189" s="312">
        <v>0</v>
      </c>
      <c r="H189" s="312">
        <v>0</v>
      </c>
      <c r="I189" s="312">
        <v>0</v>
      </c>
      <c r="J189" s="260"/>
    </row>
    <row r="190" spans="2:11" ht="4" customHeight="1">
      <c r="B190" s="260"/>
      <c r="C190" s="12"/>
      <c r="D190" s="311"/>
      <c r="E190" s="311"/>
      <c r="F190" s="311"/>
      <c r="G190" s="311"/>
      <c r="H190" s="311"/>
      <c r="I190" s="311"/>
      <c r="J190" s="260"/>
    </row>
    <row r="191" spans="2:11" s="62" customFormat="1">
      <c r="B191" s="11" t="s">
        <v>78</v>
      </c>
      <c r="C191" s="11"/>
      <c r="D191" s="57">
        <f t="shared" ref="D191:I191" si="54">SUM(D184:D190)</f>
        <v>-236</v>
      </c>
      <c r="E191" s="57">
        <f t="shared" si="54"/>
        <v>-236</v>
      </c>
      <c r="F191" s="57">
        <f t="shared" si="54"/>
        <v>-618</v>
      </c>
      <c r="G191" s="57">
        <f t="shared" si="54"/>
        <v>-618</v>
      </c>
      <c r="H191" s="57">
        <f t="shared" si="54"/>
        <v>-618</v>
      </c>
      <c r="I191" s="57">
        <f t="shared" si="54"/>
        <v>-618</v>
      </c>
      <c r="J191" s="273"/>
    </row>
    <row r="192" spans="2:11" s="62" customFormat="1" ht="4" customHeight="1">
      <c r="B192" s="12"/>
      <c r="C192" s="12"/>
      <c r="D192" s="58"/>
      <c r="E192" s="58"/>
      <c r="F192" s="58"/>
      <c r="G192" s="58"/>
      <c r="H192" s="58"/>
      <c r="I192" s="58"/>
      <c r="J192" s="273"/>
    </row>
    <row r="193" spans="2:10" s="62" customFormat="1">
      <c r="B193" s="11" t="s">
        <v>79</v>
      </c>
      <c r="C193" s="11"/>
      <c r="D193" s="57">
        <f t="shared" ref="D193:I193" si="55">D176+D191+D169+D180</f>
        <v>-369.11315100000002</v>
      </c>
      <c r="E193" s="57">
        <f t="shared" si="55"/>
        <v>-879.56575500000076</v>
      </c>
      <c r="F193" s="57">
        <f t="shared" si="55"/>
        <v>-23857.444771231589</v>
      </c>
      <c r="G193" s="57">
        <f t="shared" si="55"/>
        <v>-43959.428373204886</v>
      </c>
      <c r="H193" s="57">
        <f t="shared" si="55"/>
        <v>-140068.24768931774</v>
      </c>
      <c r="I193" s="57">
        <f t="shared" si="55"/>
        <v>-264721.26480381563</v>
      </c>
      <c r="J193" s="273"/>
    </row>
    <row r="194" spans="2:10" s="62" customFormat="1" ht="4" customHeight="1">
      <c r="B194" s="12"/>
      <c r="C194" s="12"/>
      <c r="D194" s="58"/>
      <c r="E194" s="58"/>
      <c r="F194" s="58"/>
      <c r="G194" s="58"/>
      <c r="H194" s="58"/>
      <c r="I194" s="58"/>
      <c r="J194" s="273"/>
    </row>
    <row r="195" spans="2:10" ht="15" thickBot="1">
      <c r="B195" s="13" t="s">
        <v>80</v>
      </c>
      <c r="C195" s="296"/>
      <c r="D195" s="59">
        <f t="shared" ref="D195:I195" si="56">D160+D193</f>
        <v>310.1258490000007</v>
      </c>
      <c r="E195" s="59">
        <f t="shared" si="56"/>
        <v>2516.6292449999992</v>
      </c>
      <c r="F195" s="59">
        <f t="shared" si="56"/>
        <v>102658.72037038722</v>
      </c>
      <c r="G195" s="59">
        <f t="shared" si="56"/>
        <v>190328.21162679454</v>
      </c>
      <c r="H195" s="59">
        <f t="shared" si="56"/>
        <v>446731.75231163687</v>
      </c>
      <c r="I195" s="59">
        <f t="shared" si="56"/>
        <v>854878.7351961825</v>
      </c>
      <c r="J195" s="297"/>
    </row>
    <row r="196" spans="2:10" s="62" customFormat="1" ht="10" customHeight="1" thickTop="1">
      <c r="B196" s="12"/>
      <c r="C196" s="12"/>
      <c r="D196" s="58"/>
      <c r="E196" s="58"/>
      <c r="F196" s="58"/>
      <c r="G196" s="58"/>
      <c r="H196" s="58"/>
      <c r="I196" s="58"/>
      <c r="J196" s="273"/>
    </row>
    <row r="197" spans="2:10">
      <c r="B197" s="260" t="s">
        <v>124</v>
      </c>
      <c r="C197" s="562">
        <v>0</v>
      </c>
      <c r="D197" s="277">
        <f>C197*D11</f>
        <v>0</v>
      </c>
      <c r="E197" s="277">
        <f>C197*E11</f>
        <v>0</v>
      </c>
      <c r="F197" s="277">
        <f>C197*F11</f>
        <v>0</v>
      </c>
      <c r="G197" s="277">
        <f>C197*G11</f>
        <v>0</v>
      </c>
      <c r="H197" s="277">
        <f>C197*H11</f>
        <v>0</v>
      </c>
      <c r="I197" s="277">
        <f>C197*I11</f>
        <v>0</v>
      </c>
      <c r="J197" s="260"/>
    </row>
    <row r="198" spans="2:10" ht="10" customHeight="1">
      <c r="B198" s="260"/>
      <c r="C198" s="260"/>
      <c r="D198" s="310"/>
      <c r="E198" s="310"/>
      <c r="F198" s="310"/>
      <c r="G198" s="310"/>
      <c r="H198" s="310"/>
      <c r="I198" s="310"/>
      <c r="J198" s="260"/>
    </row>
    <row r="199" spans="2:10" ht="15" thickBot="1">
      <c r="B199" s="13" t="s">
        <v>82</v>
      </c>
      <c r="C199" s="296"/>
      <c r="D199" s="59">
        <f t="shared" ref="D199:I199" si="57">D195+D197</f>
        <v>310.1258490000007</v>
      </c>
      <c r="E199" s="59">
        <f t="shared" si="57"/>
        <v>2516.6292449999992</v>
      </c>
      <c r="F199" s="59">
        <f t="shared" si="57"/>
        <v>102658.72037038722</v>
      </c>
      <c r="G199" s="59">
        <f t="shared" si="57"/>
        <v>190328.21162679454</v>
      </c>
      <c r="H199" s="59">
        <f t="shared" si="57"/>
        <v>446731.75231163687</v>
      </c>
      <c r="I199" s="59">
        <f t="shared" si="57"/>
        <v>854878.7351961825</v>
      </c>
      <c r="J199" s="260"/>
    </row>
    <row r="200" spans="2:10" ht="15" thickTop="1">
      <c r="B200" s="260"/>
      <c r="C200" s="260"/>
      <c r="D200" s="310"/>
      <c r="E200" s="327"/>
      <c r="F200" s="327"/>
      <c r="G200" s="327"/>
      <c r="H200" s="327"/>
      <c r="I200" s="327"/>
      <c r="J200" s="260"/>
    </row>
    <row r="201" spans="2:10">
      <c r="B201" s="260" t="s">
        <v>125</v>
      </c>
      <c r="C201" s="260"/>
      <c r="D201" s="307">
        <f t="shared" ref="D201:I201" si="58">IFERROR(D195/D11,0)</f>
        <v>5.1687641500000117E-2</v>
      </c>
      <c r="E201" s="307">
        <f t="shared" si="58"/>
        <v>8.3887641499999971E-2</v>
      </c>
      <c r="F201" s="307">
        <f t="shared" si="58"/>
        <v>0.42599954032849285</v>
      </c>
      <c r="G201" s="307">
        <f t="shared" si="58"/>
        <v>0.42210736665955761</v>
      </c>
      <c r="H201" s="307">
        <f t="shared" si="58"/>
        <v>0.29782116820775789</v>
      </c>
      <c r="I201" s="307">
        <f t="shared" si="58"/>
        <v>0.28495957839872749</v>
      </c>
      <c r="J201" s="260"/>
    </row>
    <row r="202" spans="2:10">
      <c r="B202" s="260"/>
      <c r="C202" s="260"/>
      <c r="D202" s="300">
        <f t="shared" ref="D202:I202" si="59">IFERROR(D199/D11,0)</f>
        <v>5.1687641500000117E-2</v>
      </c>
      <c r="E202" s="300">
        <f t="shared" si="59"/>
        <v>8.3887641499999971E-2</v>
      </c>
      <c r="F202" s="300">
        <f t="shared" si="59"/>
        <v>0.42599954032849285</v>
      </c>
      <c r="G202" s="300">
        <f t="shared" si="59"/>
        <v>0.42210736665955761</v>
      </c>
      <c r="H202" s="300">
        <f t="shared" si="59"/>
        <v>0.29782116820775789</v>
      </c>
      <c r="I202" s="300">
        <f t="shared" si="59"/>
        <v>0.28495957839872749</v>
      </c>
      <c r="J202" s="260"/>
    </row>
    <row r="203" spans="2:10">
      <c r="B203" s="260"/>
      <c r="C203" s="260"/>
      <c r="D203" s="328"/>
      <c r="E203" s="328"/>
      <c r="F203" s="328"/>
      <c r="G203" s="328"/>
      <c r="H203" s="328"/>
      <c r="I203" s="260"/>
      <c r="J203" s="260"/>
    </row>
    <row r="204" spans="2:10">
      <c r="B204" s="260"/>
      <c r="C204" s="260"/>
      <c r="D204" s="329"/>
      <c r="E204" s="329"/>
      <c r="F204" s="329"/>
      <c r="G204" s="329"/>
      <c r="H204" s="329"/>
      <c r="I204" s="308"/>
    </row>
    <row r="205" spans="2:10">
      <c r="B205" s="260"/>
      <c r="C205" s="260"/>
      <c r="D205" s="329"/>
      <c r="E205" s="329"/>
      <c r="F205" s="329"/>
      <c r="G205" s="329"/>
      <c r="H205" s="329"/>
      <c r="I205" s="308"/>
    </row>
    <row r="206" spans="2:10">
      <c r="B206" s="4"/>
      <c r="C206" s="260"/>
      <c r="D206" s="328"/>
      <c r="E206" s="328"/>
      <c r="F206" s="328"/>
      <c r="G206" s="328"/>
      <c r="H206" s="328"/>
      <c r="I206" s="260"/>
    </row>
    <row r="207" spans="2:10">
      <c r="B207" s="260"/>
      <c r="C207" s="260"/>
      <c r="D207" s="328"/>
      <c r="E207" s="328"/>
      <c r="F207" s="328"/>
      <c r="G207" s="328"/>
      <c r="H207" s="328"/>
      <c r="I207" s="301"/>
    </row>
    <row r="208" spans="2:10">
      <c r="B208" s="260"/>
      <c r="C208" s="260"/>
      <c r="D208" s="328"/>
      <c r="E208" s="328"/>
      <c r="F208" s="328"/>
      <c r="G208" s="328"/>
      <c r="H208" s="328"/>
      <c r="I208" s="260"/>
    </row>
    <row r="209" spans="2:9">
      <c r="B209" s="260"/>
      <c r="C209" s="260"/>
      <c r="D209" s="328"/>
      <c r="E209" s="328"/>
      <c r="F209" s="328"/>
      <c r="G209" s="328"/>
      <c r="H209" s="328"/>
      <c r="I209" s="260"/>
    </row>
    <row r="210" spans="2:9">
      <c r="B210" s="260"/>
      <c r="C210" s="260"/>
      <c r="D210" s="328"/>
      <c r="E210" s="328"/>
      <c r="F210" s="328"/>
      <c r="G210" s="328"/>
      <c r="H210" s="328"/>
      <c r="I210" s="260"/>
    </row>
    <row r="211" spans="2:9">
      <c r="B211" s="260"/>
      <c r="C211" s="260"/>
      <c r="D211" s="328"/>
      <c r="E211" s="328"/>
      <c r="F211" s="328"/>
      <c r="G211" s="328"/>
      <c r="H211" s="328"/>
      <c r="I211" s="260"/>
    </row>
    <row r="212" spans="2:9">
      <c r="B212" s="260"/>
      <c r="C212" s="260"/>
      <c r="D212" s="328"/>
      <c r="E212" s="328"/>
      <c r="F212" s="328"/>
      <c r="G212" s="328"/>
      <c r="H212" s="328"/>
      <c r="I212" s="260"/>
    </row>
    <row r="213" spans="2:9">
      <c r="B213" s="260"/>
      <c r="C213" s="260"/>
      <c r="D213" s="328"/>
      <c r="E213" s="328"/>
      <c r="F213" s="328"/>
      <c r="G213" s="328"/>
      <c r="H213" s="328"/>
      <c r="I213" s="260"/>
    </row>
    <row r="214" spans="2:9">
      <c r="B214" s="260"/>
      <c r="C214" s="260"/>
      <c r="D214" s="328"/>
      <c r="E214" s="328"/>
      <c r="F214" s="328"/>
      <c r="G214" s="328"/>
      <c r="H214" s="328"/>
      <c r="I214" s="260"/>
    </row>
    <row r="215" spans="2:9">
      <c r="B215" s="260"/>
      <c r="C215" s="260"/>
      <c r="D215" s="328"/>
      <c r="E215" s="328"/>
      <c r="F215" s="328"/>
      <c r="G215" s="328"/>
      <c r="H215" s="328"/>
      <c r="I215" s="260"/>
    </row>
    <row r="229" spans="4:8">
      <c r="D229" s="328"/>
      <c r="E229" s="328"/>
      <c r="F229" s="328"/>
      <c r="G229" s="328"/>
      <c r="H229" s="328"/>
    </row>
    <row r="230" spans="4:8">
      <c r="D230" s="328"/>
      <c r="E230" s="328"/>
      <c r="F230" s="328"/>
      <c r="G230" s="328"/>
      <c r="H230" s="328"/>
    </row>
    <row r="231" spans="4:8">
      <c r="D231" s="328"/>
      <c r="E231" s="328"/>
      <c r="F231" s="328"/>
      <c r="G231" s="328"/>
      <c r="H231" s="328"/>
    </row>
    <row r="232" spans="4:8">
      <c r="D232" s="328"/>
      <c r="E232" s="328"/>
      <c r="F232" s="328"/>
      <c r="G232" s="328"/>
      <c r="H232" s="328"/>
    </row>
    <row r="233" spans="4:8">
      <c r="D233" s="328"/>
      <c r="E233" s="328"/>
      <c r="F233" s="328"/>
      <c r="G233" s="328"/>
      <c r="H233" s="328"/>
    </row>
    <row r="234" spans="4:8">
      <c r="D234" s="328"/>
      <c r="E234" s="328"/>
      <c r="F234" s="328"/>
      <c r="G234" s="328"/>
      <c r="H234" s="328"/>
    </row>
    <row r="235" spans="4:8">
      <c r="D235" s="328"/>
      <c r="E235" s="328"/>
      <c r="F235" s="328"/>
      <c r="G235" s="328"/>
      <c r="H235" s="328"/>
    </row>
    <row r="236" spans="4:8">
      <c r="D236" s="328"/>
      <c r="E236" s="328"/>
      <c r="F236" s="328"/>
      <c r="G236" s="328"/>
      <c r="H236" s="328"/>
    </row>
    <row r="237" spans="4:8">
      <c r="D237" s="328"/>
      <c r="E237" s="328"/>
      <c r="F237" s="328"/>
      <c r="G237" s="328"/>
      <c r="H237" s="328"/>
    </row>
    <row r="238" spans="4:8">
      <c r="D238" s="328"/>
      <c r="E238" s="328"/>
      <c r="F238" s="328"/>
      <c r="G238" s="328"/>
      <c r="H238" s="328"/>
    </row>
    <row r="239" spans="4:8">
      <c r="D239" s="328"/>
      <c r="E239" s="328"/>
      <c r="F239" s="328"/>
      <c r="G239" s="328"/>
      <c r="H239" s="328"/>
    </row>
    <row r="240" spans="4:8">
      <c r="D240" s="328"/>
      <c r="E240" s="328"/>
      <c r="F240" s="328"/>
      <c r="G240" s="328"/>
      <c r="H240" s="328"/>
    </row>
    <row r="241" spans="1:8">
      <c r="D241" s="328"/>
      <c r="E241" s="328"/>
      <c r="F241" s="328"/>
      <c r="G241" s="328"/>
      <c r="H241" s="328"/>
    </row>
    <row r="242" spans="1:8">
      <c r="D242" s="328"/>
      <c r="E242" s="328"/>
      <c r="F242" s="328"/>
      <c r="G242" s="328"/>
      <c r="H242" s="328"/>
    </row>
    <row r="243" spans="1:8">
      <c r="D243" s="328"/>
      <c r="E243" s="328"/>
      <c r="F243" s="328"/>
      <c r="G243" s="328"/>
      <c r="H243" s="328"/>
    </row>
    <row r="244" spans="1:8">
      <c r="D244" s="328"/>
      <c r="E244" s="328"/>
      <c r="F244" s="328"/>
      <c r="G244" s="328"/>
      <c r="H244" s="328"/>
    </row>
    <row r="245" spans="1:8">
      <c r="D245" s="328"/>
      <c r="E245" s="328"/>
      <c r="F245" s="328"/>
      <c r="G245" s="328"/>
      <c r="H245" s="328"/>
    </row>
    <row r="246" spans="1:8">
      <c r="D246" s="328"/>
      <c r="E246" s="328"/>
      <c r="F246" s="328"/>
      <c r="G246" s="328"/>
      <c r="H246" s="328"/>
    </row>
    <row r="247" spans="1:8">
      <c r="D247" s="328"/>
      <c r="E247" s="328"/>
      <c r="F247" s="328"/>
      <c r="G247" s="328"/>
      <c r="H247" s="328"/>
    </row>
    <row r="248" spans="1:8">
      <c r="D248" s="328"/>
      <c r="E248" s="328"/>
      <c r="F248" s="328"/>
      <c r="G248" s="328"/>
      <c r="H248" s="328"/>
    </row>
    <row r="249" spans="1:8">
      <c r="D249" s="328"/>
      <c r="E249" s="328"/>
      <c r="F249" s="328"/>
      <c r="G249" s="328"/>
      <c r="H249" s="328"/>
    </row>
    <row r="250" spans="1:8">
      <c r="D250" s="328"/>
      <c r="E250" s="328"/>
      <c r="F250" s="328"/>
      <c r="G250" s="328"/>
      <c r="H250" s="328"/>
    </row>
    <row r="251" spans="1:8">
      <c r="D251" s="328"/>
      <c r="E251" s="328"/>
      <c r="F251" s="328"/>
      <c r="G251" s="328"/>
      <c r="H251" s="328"/>
    </row>
    <row r="252" spans="1:8">
      <c r="A252" s="260"/>
      <c r="B252" s="260"/>
      <c r="C252" s="260"/>
      <c r="D252" s="328"/>
      <c r="E252" s="328"/>
      <c r="F252" s="328"/>
      <c r="G252" s="328"/>
      <c r="H252" s="328"/>
    </row>
    <row r="253" spans="1:8">
      <c r="A253" s="260"/>
      <c r="B253" s="260"/>
      <c r="C253" s="260"/>
      <c r="D253" s="328"/>
      <c r="E253" s="328"/>
      <c r="F253" s="328"/>
      <c r="G253" s="328"/>
      <c r="H253" s="328"/>
    </row>
    <row r="254" spans="1:8">
      <c r="A254" s="260"/>
      <c r="B254" s="260"/>
      <c r="C254" s="260"/>
      <c r="D254" s="328"/>
      <c r="E254" s="328"/>
      <c r="F254" s="328"/>
      <c r="G254" s="328"/>
      <c r="H254" s="328"/>
    </row>
    <row r="255" spans="1:8">
      <c r="A255" s="260"/>
      <c r="B255" s="260"/>
      <c r="C255" s="260"/>
      <c r="D255" s="328"/>
      <c r="E255" s="328"/>
      <c r="F255" s="328"/>
      <c r="G255" s="328"/>
      <c r="H255" s="328"/>
    </row>
    <row r="256" spans="1:8">
      <c r="A256" s="260"/>
      <c r="B256" s="260"/>
      <c r="C256" s="260"/>
      <c r="D256" s="328"/>
      <c r="E256" s="328"/>
      <c r="F256" s="328"/>
      <c r="G256" s="328"/>
      <c r="H256" s="328"/>
    </row>
    <row r="257" spans="1:8">
      <c r="A257" s="260"/>
      <c r="B257" s="260"/>
      <c r="C257" s="260"/>
      <c r="D257" s="328"/>
      <c r="E257" s="328"/>
      <c r="F257" s="328"/>
      <c r="G257" s="328"/>
      <c r="H257" s="328"/>
    </row>
    <row r="258" spans="1:8">
      <c r="A258" s="260"/>
      <c r="B258" s="260"/>
      <c r="C258" s="260"/>
      <c r="D258" s="328"/>
      <c r="E258" s="328"/>
      <c r="F258" s="328"/>
      <c r="G258" s="328"/>
      <c r="H258" s="328"/>
    </row>
    <row r="259" spans="1:8">
      <c r="A259" s="260"/>
      <c r="B259" s="4" t="s">
        <v>92</v>
      </c>
      <c r="C259" s="260"/>
      <c r="D259" s="328"/>
      <c r="E259" s="328"/>
      <c r="F259" s="328"/>
      <c r="G259" s="328"/>
      <c r="H259" s="328"/>
    </row>
    <row r="260" spans="1:8">
      <c r="A260" s="260"/>
      <c r="B260" s="260"/>
      <c r="C260" s="260"/>
      <c r="D260" s="328"/>
      <c r="E260" s="328"/>
      <c r="F260" s="328"/>
      <c r="G260" s="328"/>
      <c r="H260" s="328"/>
    </row>
    <row r="261" spans="1:8" hidden="1">
      <c r="A261" s="2" t="s">
        <v>93</v>
      </c>
      <c r="B261" s="260"/>
      <c r="C261" s="260"/>
      <c r="D261" s="310"/>
      <c r="E261" s="310"/>
      <c r="F261" s="310"/>
      <c r="G261" s="310"/>
      <c r="H261" s="310"/>
    </row>
    <row r="262" spans="1:8" hidden="1">
      <c r="A262" s="4" t="s">
        <v>94</v>
      </c>
      <c r="B262" s="260"/>
      <c r="C262" s="260"/>
      <c r="D262" s="310"/>
      <c r="E262" s="310"/>
      <c r="F262" s="310"/>
      <c r="G262" s="310"/>
      <c r="H262" s="310"/>
    </row>
    <row r="263" spans="1:8" hidden="1">
      <c r="A263" s="303" t="s">
        <v>95</v>
      </c>
      <c r="B263" s="304">
        <v>0</v>
      </c>
      <c r="C263" s="304">
        <v>0</v>
      </c>
      <c r="D263" s="310"/>
      <c r="E263" s="310"/>
      <c r="F263" s="310"/>
      <c r="G263" s="310"/>
      <c r="H263" s="310"/>
    </row>
    <row r="264" spans="1:8" hidden="1">
      <c r="A264" s="303" t="s">
        <v>95</v>
      </c>
      <c r="B264" s="304">
        <v>250000</v>
      </c>
      <c r="C264" s="304">
        <v>0</v>
      </c>
      <c r="D264" s="310"/>
      <c r="E264" s="310"/>
      <c r="F264" s="310"/>
      <c r="G264" s="310"/>
      <c r="H264" s="310"/>
    </row>
    <row r="265" spans="1:8" hidden="1">
      <c r="A265" s="303"/>
      <c r="B265" s="304">
        <v>500000</v>
      </c>
      <c r="C265" s="304">
        <v>8000</v>
      </c>
      <c r="D265" s="310"/>
      <c r="E265" s="310"/>
      <c r="F265" s="310"/>
      <c r="G265" s="310"/>
      <c r="H265" s="310"/>
    </row>
    <row r="266" spans="1:8" hidden="1">
      <c r="A266" s="303"/>
      <c r="B266" s="304">
        <v>1000000</v>
      </c>
      <c r="C266" s="304">
        <v>24000</v>
      </c>
      <c r="D266" s="310"/>
      <c r="E266" s="310"/>
      <c r="F266" s="310"/>
      <c r="G266" s="310"/>
      <c r="H266" s="310"/>
    </row>
    <row r="267" spans="1:8" hidden="1">
      <c r="A267" s="303"/>
      <c r="B267" s="304">
        <v>2000000</v>
      </c>
      <c r="C267" s="304">
        <f>32000+C266</f>
        <v>56000</v>
      </c>
      <c r="D267" s="310"/>
      <c r="E267" s="310"/>
      <c r="F267" s="310"/>
      <c r="G267" s="310"/>
      <c r="H267" s="310"/>
    </row>
    <row r="268" spans="1:8" hidden="1">
      <c r="A268" s="303"/>
      <c r="B268" s="304">
        <v>3000000</v>
      </c>
      <c r="C268" s="304">
        <f>C267+32000</f>
        <v>88000</v>
      </c>
    </row>
    <row r="269" spans="1:8" hidden="1">
      <c r="A269" s="303"/>
      <c r="B269" s="304">
        <v>4000000</v>
      </c>
      <c r="C269" s="304">
        <f t="shared" ref="C269:C275" si="60">C268+32000</f>
        <v>120000</v>
      </c>
    </row>
    <row r="270" spans="1:8" hidden="1">
      <c r="A270" s="303"/>
      <c r="B270" s="304">
        <v>5000000</v>
      </c>
      <c r="C270" s="304">
        <f t="shared" si="60"/>
        <v>152000</v>
      </c>
    </row>
    <row r="271" spans="1:8" hidden="1">
      <c r="A271" s="303"/>
      <c r="B271" s="304">
        <f>B270+1000000</f>
        <v>6000000</v>
      </c>
      <c r="C271" s="304">
        <f t="shared" si="60"/>
        <v>184000</v>
      </c>
    </row>
    <row r="272" spans="1:8" hidden="1">
      <c r="A272" s="303"/>
      <c r="B272" s="304">
        <f>B271+1000000</f>
        <v>7000000</v>
      </c>
      <c r="C272" s="304">
        <f t="shared" si="60"/>
        <v>216000</v>
      </c>
    </row>
    <row r="273" spans="1:3" hidden="1">
      <c r="A273" s="303"/>
      <c r="B273" s="304">
        <f>B272+1000000</f>
        <v>8000000</v>
      </c>
      <c r="C273" s="304">
        <f t="shared" si="60"/>
        <v>248000</v>
      </c>
    </row>
    <row r="274" spans="1:3" hidden="1">
      <c r="A274" s="303"/>
      <c r="B274" s="304">
        <f>B273+1000000</f>
        <v>9000000</v>
      </c>
      <c r="C274" s="304">
        <f t="shared" si="60"/>
        <v>280000</v>
      </c>
    </row>
    <row r="275" spans="1:3" hidden="1">
      <c r="A275" s="305"/>
      <c r="B275" s="306">
        <f>B274+1000000</f>
        <v>10000000</v>
      </c>
      <c r="C275" s="306">
        <f t="shared" si="60"/>
        <v>312000</v>
      </c>
    </row>
    <row r="276" spans="1:3" hidden="1">
      <c r="A276" s="303"/>
      <c r="B276" s="304">
        <v>0</v>
      </c>
      <c r="C276" s="304">
        <v>0</v>
      </c>
    </row>
    <row r="277" spans="1:3" hidden="1">
      <c r="A277" s="303" t="s">
        <v>96</v>
      </c>
      <c r="B277" s="304">
        <v>250000</v>
      </c>
      <c r="C277" s="304">
        <v>0</v>
      </c>
    </row>
    <row r="278" spans="1:3" hidden="1">
      <c r="A278" s="303"/>
      <c r="B278" s="304">
        <v>500000</v>
      </c>
      <c r="C278" s="304">
        <v>2000</v>
      </c>
    </row>
    <row r="279" spans="1:3" hidden="1">
      <c r="A279" s="260"/>
      <c r="B279" s="276">
        <v>1000000</v>
      </c>
      <c r="C279" s="276">
        <v>6000</v>
      </c>
    </row>
    <row r="280" spans="1:3" hidden="1">
      <c r="A280" s="260"/>
      <c r="B280" s="276">
        <v>2000000</v>
      </c>
      <c r="C280" s="276">
        <f>8000+C279</f>
        <v>14000</v>
      </c>
    </row>
    <row r="281" spans="1:3" hidden="1">
      <c r="A281" s="260"/>
      <c r="B281" s="276">
        <v>3000000</v>
      </c>
      <c r="C281" s="287">
        <f>8000+C280</f>
        <v>22000</v>
      </c>
    </row>
    <row r="282" spans="1:3" hidden="1">
      <c r="A282" s="260"/>
      <c r="B282" s="276">
        <v>4000000</v>
      </c>
      <c r="C282" s="287">
        <f t="shared" ref="C282:C288" si="61">8000+C281</f>
        <v>30000</v>
      </c>
    </row>
    <row r="283" spans="1:3" hidden="1">
      <c r="A283" s="260"/>
      <c r="B283" s="276">
        <v>5000000</v>
      </c>
      <c r="C283" s="287">
        <f t="shared" si="61"/>
        <v>38000</v>
      </c>
    </row>
    <row r="284" spans="1:3" hidden="1">
      <c r="B284" s="287">
        <f>B283+1000000</f>
        <v>6000000</v>
      </c>
      <c r="C284" s="287">
        <f t="shared" si="61"/>
        <v>46000</v>
      </c>
    </row>
    <row r="285" spans="1:3" hidden="1">
      <c r="B285" s="287">
        <f>B284+1000000</f>
        <v>7000000</v>
      </c>
      <c r="C285" s="287">
        <f t="shared" si="61"/>
        <v>54000</v>
      </c>
    </row>
    <row r="286" spans="1:3" hidden="1">
      <c r="B286" s="287">
        <f>B285+1000000</f>
        <v>8000000</v>
      </c>
      <c r="C286" s="287">
        <f t="shared" si="61"/>
        <v>62000</v>
      </c>
    </row>
    <row r="287" spans="1:3" hidden="1">
      <c r="B287" s="287">
        <f>B286+1000000</f>
        <v>9000000</v>
      </c>
      <c r="C287" s="287">
        <f t="shared" si="61"/>
        <v>70000</v>
      </c>
    </row>
    <row r="288" spans="1:3" hidden="1">
      <c r="B288" s="287">
        <f>B287+1000000</f>
        <v>10000000</v>
      </c>
      <c r="C288" s="287">
        <f t="shared" si="61"/>
        <v>78000</v>
      </c>
    </row>
    <row r="289" spans="2:3" hidden="1">
      <c r="B289" s="287"/>
      <c r="C289" s="287"/>
    </row>
    <row r="290" spans="2:3" hidden="1">
      <c r="B290" s="260"/>
      <c r="C290" s="260"/>
    </row>
    <row r="291" spans="2:3" hidden="1">
      <c r="B291" s="260"/>
      <c r="C291" s="260"/>
    </row>
    <row r="292" spans="2:3" hidden="1">
      <c r="B292" s="260"/>
      <c r="C292" s="260"/>
    </row>
    <row r="293" spans="2:3" hidden="1">
      <c r="B293" s="260"/>
      <c r="C293" s="260"/>
    </row>
    <row r="294" spans="2:3" hidden="1">
      <c r="B294" s="260"/>
      <c r="C294" s="260"/>
    </row>
    <row r="295" spans="2:3" hidden="1">
      <c r="B295" s="4" t="s">
        <v>97</v>
      </c>
      <c r="C295" s="260"/>
    </row>
    <row r="296" spans="2:3" hidden="1">
      <c r="B296" s="260" t="s">
        <v>98</v>
      </c>
      <c r="C296" s="260"/>
    </row>
    <row r="297" spans="2:3" hidden="1">
      <c r="B297" s="260" t="s">
        <v>99</v>
      </c>
      <c r="C297" s="260"/>
    </row>
    <row r="298" spans="2:3" hidden="1">
      <c r="B298" s="260" t="s">
        <v>100</v>
      </c>
      <c r="C298" s="260"/>
    </row>
    <row r="299" spans="2:3" hidden="1">
      <c r="B299" s="260" t="s">
        <v>101</v>
      </c>
      <c r="C299" s="276">
        <v>35000</v>
      </c>
    </row>
    <row r="300" spans="2:3" hidden="1">
      <c r="B300" s="260"/>
    </row>
    <row r="301" spans="2:3" hidden="1">
      <c r="B301" s="260"/>
    </row>
    <row r="302" spans="2:3" hidden="1">
      <c r="B302" s="4" t="s">
        <v>102</v>
      </c>
    </row>
    <row r="303" spans="2:3" hidden="1">
      <c r="B303" s="260" t="s">
        <v>67</v>
      </c>
    </row>
    <row r="304" spans="2:3" hidden="1">
      <c r="B304" s="260" t="s">
        <v>68</v>
      </c>
    </row>
    <row r="305" spans="2:5" hidden="1">
      <c r="B305" s="260" t="s">
        <v>103</v>
      </c>
    </row>
    <row r="306" spans="2:5" hidden="1">
      <c r="B306" s="260"/>
    </row>
    <row r="307" spans="2:5" hidden="1">
      <c r="B307" s="260"/>
    </row>
    <row r="308" spans="2:5" hidden="1">
      <c r="B308" s="260"/>
    </row>
    <row r="309" spans="2:5">
      <c r="B309" s="260"/>
    </row>
    <row r="310" spans="2:5">
      <c r="B310" s="260" t="s">
        <v>104</v>
      </c>
    </row>
    <row r="312" spans="2:5">
      <c r="B312" s="260" t="s">
        <v>105</v>
      </c>
    </row>
    <row r="314" spans="2:5">
      <c r="B314" s="260" t="s">
        <v>106</v>
      </c>
    </row>
    <row r="316" spans="2:5">
      <c r="B316" s="260" t="s">
        <v>107</v>
      </c>
      <c r="C316" s="276">
        <v>5168.7251661157843</v>
      </c>
      <c r="D316" s="310"/>
      <c r="E316" s="310"/>
    </row>
    <row r="317" spans="2:5">
      <c r="B317" s="260"/>
      <c r="C317" s="276">
        <v>1926137650.6707556</v>
      </c>
      <c r="D317" s="310"/>
      <c r="E317" s="310"/>
    </row>
    <row r="318" spans="2:5">
      <c r="B318" s="260" t="s">
        <v>108</v>
      </c>
      <c r="C318" s="260"/>
      <c r="D318" s="310"/>
      <c r="E318" s="310"/>
    </row>
    <row r="319" spans="2:5">
      <c r="B319" s="260" t="s">
        <v>109</v>
      </c>
      <c r="C319" s="260"/>
      <c r="D319" s="310"/>
      <c r="E319" s="310"/>
    </row>
    <row r="320" spans="2:5">
      <c r="B320" s="260" t="s">
        <v>110</v>
      </c>
      <c r="C320" s="260"/>
      <c r="D320" s="310"/>
      <c r="E320" s="311">
        <f>20000*341</f>
        <v>6820000</v>
      </c>
    </row>
    <row r="322" spans="2:5">
      <c r="B322" s="14" t="s">
        <v>111</v>
      </c>
      <c r="C322" s="17"/>
      <c r="D322" s="310"/>
      <c r="E322" s="310"/>
    </row>
    <row r="323" spans="2:5">
      <c r="B323" s="260"/>
      <c r="C323" s="18"/>
      <c r="D323" s="310"/>
      <c r="E323" s="310"/>
    </row>
    <row r="325" spans="2:5">
      <c r="B325" s="260"/>
      <c r="C325" s="260"/>
      <c r="D325" s="322">
        <f>D193*2722</f>
        <v>-1004725.997022</v>
      </c>
      <c r="E325" s="310"/>
    </row>
    <row r="326" spans="2:5">
      <c r="B326" s="260"/>
      <c r="C326" s="260"/>
      <c r="D326" s="322">
        <f>D328+D325</f>
        <v>280500770.36259419</v>
      </c>
      <c r="E326" s="315">
        <f>D326/2722</f>
        <v>103049.51152189352</v>
      </c>
    </row>
    <row r="327" spans="2:5">
      <c r="B327" s="260" t="s">
        <v>112</v>
      </c>
      <c r="C327" s="260"/>
      <c r="D327" s="311">
        <f>(D193+D197)*(-2722)</f>
        <v>1004725.997022</v>
      </c>
      <c r="E327" s="310"/>
    </row>
    <row r="328" spans="2:5">
      <c r="B328" s="260" t="s">
        <v>113</v>
      </c>
      <c r="C328" s="260"/>
      <c r="D328" s="311">
        <v>281505496.35961616</v>
      </c>
      <c r="E328" s="310"/>
    </row>
    <row r="332" spans="2:5">
      <c r="D332" s="311">
        <v>5842.054961732525</v>
      </c>
    </row>
    <row r="334" spans="2:5">
      <c r="D334" s="311">
        <f>D332*D193</f>
        <v>-2156379.315240277</v>
      </c>
    </row>
  </sheetData>
  <mergeCells count="8">
    <mergeCell ref="A138:A146"/>
    <mergeCell ref="A147:A154"/>
    <mergeCell ref="A22:A31"/>
    <mergeCell ref="A32:A39"/>
    <mergeCell ref="A50:A59"/>
    <mergeCell ref="A60:A67"/>
    <mergeCell ref="A115:A124"/>
    <mergeCell ref="A125:A13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23A-8902-49F3-959A-E4086DA474AD}">
  <dimension ref="A1:J342"/>
  <sheetViews>
    <sheetView showGridLines="0" zoomScale="57" zoomScaleNormal="57" workbookViewId="0">
      <pane xSplit="3" ySplit="13" topLeftCell="D175" activePane="bottomRight" state="frozen"/>
      <selection pane="topRight" activeCell="C171" sqref="C171:C175"/>
      <selection pane="bottomLeft" activeCell="C171" sqref="C171:C175"/>
      <selection pane="bottomRight" activeCell="O195" sqref="O195"/>
    </sheetView>
  </sheetViews>
  <sheetFormatPr defaultColWidth="8.58203125" defaultRowHeight="14.5" outlineLevelRow="1"/>
  <cols>
    <col min="1" max="1" width="3.83203125" style="60" customWidth="1"/>
    <col min="2" max="2" width="31.33203125" style="60" customWidth="1"/>
    <col min="3" max="3" width="10.58203125" style="60" customWidth="1"/>
    <col min="4" max="4" width="18.33203125" style="60" customWidth="1"/>
    <col min="5" max="5" width="18.83203125" style="60" customWidth="1"/>
    <col min="6" max="7" width="18.58203125" style="60" hidden="1" customWidth="1"/>
    <col min="8" max="8" width="17.33203125" style="60" hidden="1" customWidth="1"/>
    <col min="9" max="9" width="13.08203125" style="60" hidden="1" customWidth="1"/>
    <col min="10" max="16384" width="8.58203125" style="60"/>
  </cols>
  <sheetData>
    <row r="1" spans="2:9" s="62" customFormat="1" ht="18" customHeight="1">
      <c r="B1" s="15" t="s">
        <v>0</v>
      </c>
      <c r="C1" s="15"/>
      <c r="D1" s="47"/>
      <c r="E1" s="47"/>
      <c r="F1" s="34" t="s">
        <v>127</v>
      </c>
      <c r="G1" s="47"/>
      <c r="H1" s="47"/>
      <c r="I1" s="273"/>
    </row>
    <row r="2" spans="2:9" s="64" customFormat="1">
      <c r="B2" s="24" t="s">
        <v>1</v>
      </c>
      <c r="C2" s="63"/>
      <c r="D2" s="48" t="s">
        <v>530</v>
      </c>
      <c r="E2" s="48" t="s">
        <v>531</v>
      </c>
      <c r="F2" s="48" t="str">
        <f>'Loan 1'!F2</f>
        <v>200k-319k</v>
      </c>
      <c r="G2" s="48" t="str">
        <f>'Loan 1'!G2</f>
        <v>320k-679k</v>
      </c>
      <c r="H2" s="48" t="str">
        <f>'Loan 1'!H2</f>
        <v>680k-1.999m</v>
      </c>
      <c r="I2" s="48" t="str">
        <f>'Loan 1'!I2</f>
        <v>Above 2m</v>
      </c>
    </row>
    <row r="3" spans="2:9" ht="6.75" customHeight="1">
      <c r="B3" s="260"/>
      <c r="C3" s="260"/>
      <c r="D3" s="260"/>
      <c r="E3" s="260"/>
      <c r="F3" s="260"/>
      <c r="G3" s="260"/>
      <c r="H3" s="260"/>
      <c r="I3" s="260"/>
    </row>
    <row r="4" spans="2:9">
      <c r="B4" s="260" t="s">
        <v>8</v>
      </c>
      <c r="C4" s="4"/>
      <c r="D4" s="17">
        <f>Model_Summary!F$214</f>
        <v>0.17999999999999994</v>
      </c>
      <c r="E4" s="17">
        <f>Model_Summary!G$214</f>
        <v>0.17999999999999994</v>
      </c>
      <c r="F4" s="17">
        <f>Model_Summary!H$214</f>
        <v>8.8123555729852698E-2</v>
      </c>
      <c r="G4" s="17">
        <f>Model_Summary!I$214</f>
        <v>8.5259380039840502E-2</v>
      </c>
      <c r="H4" s="17">
        <f>Model_Summary!J$214</f>
        <v>6.6153226409019689E-2</v>
      </c>
      <c r="I4" s="17">
        <f>Model_Summary!K$214</f>
        <v>6.3131644929473762E-2</v>
      </c>
    </row>
    <row r="5" spans="2:9" ht="15" customHeight="1">
      <c r="B5" s="260" t="s">
        <v>9</v>
      </c>
      <c r="C5" s="4"/>
      <c r="D5" s="17">
        <f>Model_Summary!F$215</f>
        <v>0.18</v>
      </c>
      <c r="E5" s="17">
        <f>Model_Summary!G$215</f>
        <v>0.18</v>
      </c>
      <c r="F5" s="17">
        <f>Model_Summary!H$215</f>
        <v>5.5E-2</v>
      </c>
      <c r="G5" s="17">
        <f>Model_Summary!I$215</f>
        <v>5.2999999999999999E-2</v>
      </c>
      <c r="H5" s="17">
        <f>Model_Summary!J$215</f>
        <v>0.04</v>
      </c>
      <c r="I5" s="17">
        <f>Model_Summary!K$215</f>
        <v>3.7999999999999999E-2</v>
      </c>
    </row>
    <row r="6" spans="2:9" ht="15" customHeight="1">
      <c r="B6" s="260" t="s">
        <v>10</v>
      </c>
      <c r="C6" s="4"/>
      <c r="D6" s="18">
        <f>Model_Summary!F$218</f>
        <v>1</v>
      </c>
      <c r="E6" s="18">
        <f>Model_Summary!G$218</f>
        <v>1</v>
      </c>
      <c r="F6" s="18">
        <f>Model_Summary!H$218</f>
        <v>12</v>
      </c>
      <c r="G6" s="18">
        <f>Model_Summary!I$218</f>
        <v>12</v>
      </c>
      <c r="H6" s="18">
        <f>Model_Summary!J$218</f>
        <v>12</v>
      </c>
      <c r="I6" s="18">
        <f>Model_Summary!K$218</f>
        <v>12</v>
      </c>
    </row>
    <row r="7" spans="2:9" ht="15" customHeight="1">
      <c r="B7" s="260" t="s">
        <v>11</v>
      </c>
      <c r="C7" s="4"/>
      <c r="D7" s="17">
        <f>Model_Summary!F$219</f>
        <v>0.13500000000000001</v>
      </c>
      <c r="E7" s="17">
        <f>Model_Summary!G$219</f>
        <v>0.13500000000000001</v>
      </c>
      <c r="F7" s="17">
        <f>Model_Summary!H$219</f>
        <v>0.13500000000000001</v>
      </c>
      <c r="G7" s="17">
        <f>Model_Summary!I$219</f>
        <v>0.13500000000000001</v>
      </c>
      <c r="H7" s="17">
        <f>Model_Summary!J$219</f>
        <v>0.13500000000000001</v>
      </c>
      <c r="I7" s="17">
        <f>Model_Summary!K$219</f>
        <v>0.13500000000000001</v>
      </c>
    </row>
    <row r="8" spans="2:9">
      <c r="B8" s="274" t="s">
        <v>12</v>
      </c>
      <c r="C8" s="274"/>
      <c r="D8" s="27">
        <f>Model_Summary!F$220</f>
        <v>5.4756000000000006E-2</v>
      </c>
      <c r="E8" s="27">
        <f>Model_Summary!G$220</f>
        <v>5.4756000000000006E-2</v>
      </c>
      <c r="F8" s="27">
        <f>Model_Summary!H$220</f>
        <v>4.6800000000000001E-2</v>
      </c>
      <c r="G8" s="27">
        <f>Model_Summary!I$220</f>
        <v>2.4E-2</v>
      </c>
      <c r="H8" s="27">
        <f>Model_Summary!J$220</f>
        <v>1.9199999999999998E-2</v>
      </c>
      <c r="I8" s="27">
        <f>Model_Summary!K$220</f>
        <v>2.76E-2</v>
      </c>
    </row>
    <row r="9" spans="2:9" ht="4.5" customHeight="1">
      <c r="B9" s="260"/>
      <c r="C9" s="260"/>
      <c r="D9" s="2"/>
      <c r="E9" s="2"/>
      <c r="F9" s="2"/>
      <c r="G9" s="2"/>
      <c r="H9" s="2"/>
      <c r="I9" s="2"/>
    </row>
    <row r="10" spans="2:9">
      <c r="B10" s="260" t="s">
        <v>13</v>
      </c>
      <c r="C10" s="260"/>
      <c r="D10" s="18">
        <f>Model_Summary!F$212</f>
        <v>1</v>
      </c>
      <c r="E10" s="18">
        <f>Model_Summary!G$212</f>
        <v>1</v>
      </c>
      <c r="F10" s="18">
        <f>Model_Summary!H$212</f>
        <v>1</v>
      </c>
      <c r="G10" s="18">
        <f>Model_Summary!I$212</f>
        <v>1</v>
      </c>
      <c r="H10" s="18">
        <f>Model_Summary!J$212</f>
        <v>1</v>
      </c>
      <c r="I10" s="18">
        <f>Model_Summary!K$212</f>
        <v>1</v>
      </c>
    </row>
    <row r="11" spans="2:9">
      <c r="B11" s="260" t="s">
        <v>14</v>
      </c>
      <c r="C11" s="276"/>
      <c r="D11" s="18">
        <f>Model_Summary!F$211</f>
        <v>6000</v>
      </c>
      <c r="E11" s="18">
        <f>Model_Summary!G$211</f>
        <v>50000</v>
      </c>
      <c r="F11" s="18">
        <f>Model_Summary!H$211</f>
        <v>246142.17346831577</v>
      </c>
      <c r="G11" s="18">
        <f>Model_Summary!I$211</f>
        <v>466508.40336322115</v>
      </c>
      <c r="H11" s="18">
        <f>Model_Summary!J$211</f>
        <v>1500000</v>
      </c>
      <c r="I11" s="18">
        <f>Model_Summary!K$211</f>
        <v>3000000</v>
      </c>
    </row>
    <row r="12" spans="2:9" ht="7.5" customHeight="1">
      <c r="B12" s="260"/>
      <c r="C12" s="276"/>
      <c r="D12" s="276"/>
      <c r="E12" s="276"/>
      <c r="F12" s="276"/>
      <c r="G12" s="276"/>
      <c r="H12" s="276"/>
      <c r="I12" s="276"/>
    </row>
    <row r="13" spans="2:9" ht="15" thickBot="1">
      <c r="B13" s="2" t="s">
        <v>15</v>
      </c>
      <c r="C13" s="260"/>
      <c r="D13" s="19">
        <f t="shared" ref="D13:I13" si="0">D10*D11</f>
        <v>6000</v>
      </c>
      <c r="E13" s="19">
        <f t="shared" si="0"/>
        <v>50000</v>
      </c>
      <c r="F13" s="19">
        <f t="shared" si="0"/>
        <v>246142.17346831577</v>
      </c>
      <c r="G13" s="19">
        <f t="shared" si="0"/>
        <v>466508.40336322115</v>
      </c>
      <c r="H13" s="19">
        <f t="shared" si="0"/>
        <v>1500000</v>
      </c>
      <c r="I13" s="19">
        <f t="shared" si="0"/>
        <v>3000000</v>
      </c>
    </row>
    <row r="14" spans="2:9" ht="15" thickTop="1">
      <c r="B14" s="260" t="s">
        <v>16</v>
      </c>
      <c r="C14" s="260"/>
      <c r="D14" s="68">
        <f>Model_Summary!F213</f>
        <v>0.84571428571428575</v>
      </c>
      <c r="E14" s="68">
        <f>Model_Summary!G213</f>
        <v>0.891156462585034</v>
      </c>
      <c r="F14" s="68">
        <f>Model_Summary!H213</f>
        <v>0.92535211267605633</v>
      </c>
      <c r="G14" s="68">
        <f>Model_Summary!I213</f>
        <v>0.91745283018867929</v>
      </c>
      <c r="H14" s="68">
        <f>Model_Summary!J213</f>
        <v>0.90884718498659522</v>
      </c>
      <c r="I14" s="68">
        <f>Model_Summary!K213</f>
        <v>0.84168336673346689</v>
      </c>
    </row>
    <row r="15" spans="2:9">
      <c r="B15" s="260" t="s">
        <v>17</v>
      </c>
      <c r="C15" s="260"/>
      <c r="D15" s="277">
        <f t="shared" ref="D15:I15" si="1">(D10/D14)</f>
        <v>1.1824324324324325</v>
      </c>
      <c r="E15" s="277">
        <f t="shared" si="1"/>
        <v>1.1221374045801527</v>
      </c>
      <c r="F15" s="277">
        <f t="shared" si="1"/>
        <v>1.0806697108066972</v>
      </c>
      <c r="G15" s="277">
        <f t="shared" si="1"/>
        <v>1.0899742930591259</v>
      </c>
      <c r="H15" s="277">
        <f t="shared" si="1"/>
        <v>1.1002949852507373</v>
      </c>
      <c r="I15" s="277">
        <f t="shared" si="1"/>
        <v>1.1880952380952381</v>
      </c>
    </row>
    <row r="16" spans="2:9">
      <c r="B16" s="2" t="s">
        <v>18</v>
      </c>
      <c r="C16" s="260"/>
      <c r="D16" s="17"/>
      <c r="E16" s="17"/>
      <c r="F16" s="17"/>
      <c r="G16" s="17"/>
      <c r="H16" s="17"/>
      <c r="I16" s="17"/>
    </row>
    <row r="17" spans="1:9">
      <c r="A17" s="260"/>
      <c r="B17" s="2" t="s">
        <v>19</v>
      </c>
      <c r="C17" s="260"/>
      <c r="D17" s="277">
        <f t="shared" ref="D17:I17" si="2">D$16*D13</f>
        <v>0</v>
      </c>
      <c r="E17" s="277">
        <f t="shared" si="2"/>
        <v>0</v>
      </c>
      <c r="F17" s="277">
        <f t="shared" si="2"/>
        <v>0</v>
      </c>
      <c r="G17" s="277">
        <f t="shared" si="2"/>
        <v>0</v>
      </c>
      <c r="H17" s="277">
        <f t="shared" si="2"/>
        <v>0</v>
      </c>
      <c r="I17" s="277">
        <f t="shared" si="2"/>
        <v>0</v>
      </c>
    </row>
    <row r="18" spans="1:9" s="62" customFormat="1" ht="4" customHeight="1">
      <c r="A18" s="273"/>
      <c r="B18" s="26"/>
      <c r="C18" s="260"/>
      <c r="D18" s="260"/>
      <c r="E18" s="260"/>
      <c r="F18" s="260"/>
      <c r="G18" s="260"/>
      <c r="H18" s="260"/>
      <c r="I18" s="260"/>
    </row>
    <row r="19" spans="1:9">
      <c r="A19" s="260"/>
      <c r="B19" s="2" t="s">
        <v>11</v>
      </c>
      <c r="C19" s="260"/>
      <c r="D19" s="278">
        <f t="shared" ref="D19:I19" si="3">D7</f>
        <v>0.13500000000000001</v>
      </c>
      <c r="E19" s="278">
        <f t="shared" si="3"/>
        <v>0.13500000000000001</v>
      </c>
      <c r="F19" s="278">
        <f t="shared" si="3"/>
        <v>0.13500000000000001</v>
      </c>
      <c r="G19" s="278">
        <f t="shared" si="3"/>
        <v>0.13500000000000001</v>
      </c>
      <c r="H19" s="278">
        <f t="shared" si="3"/>
        <v>0.13500000000000001</v>
      </c>
      <c r="I19" s="278">
        <f t="shared" si="3"/>
        <v>0.13500000000000001</v>
      </c>
    </row>
    <row r="20" spans="1:9" ht="4" customHeight="1">
      <c r="A20" s="260"/>
      <c r="B20" s="260"/>
      <c r="C20" s="260"/>
      <c r="D20" s="260"/>
      <c r="E20" s="260"/>
      <c r="F20" s="260"/>
      <c r="G20" s="260"/>
      <c r="H20" s="260"/>
      <c r="I20" s="260"/>
    </row>
    <row r="21" spans="1:9" ht="15" hidden="1" customHeight="1" outlineLevel="1">
      <c r="A21" s="260"/>
      <c r="B21" s="6" t="s">
        <v>20</v>
      </c>
      <c r="C21" s="2"/>
      <c r="D21" s="260"/>
      <c r="E21" s="260"/>
      <c r="F21" s="260"/>
      <c r="G21" s="260"/>
      <c r="H21" s="260"/>
      <c r="I21" s="260"/>
    </row>
    <row r="22" spans="1:9" ht="15" hidden="1" customHeight="1" outlineLevel="1">
      <c r="A22" s="753" t="s">
        <v>21</v>
      </c>
      <c r="B22" s="7" t="s">
        <v>22</v>
      </c>
      <c r="C22" s="260">
        <v>1</v>
      </c>
      <c r="D22" s="279">
        <f t="shared" ref="D22:H32" si="4">IFERROR(PPMT(D$112,$C22,D$113,D$114),0)</f>
        <v>-5999.9999999999982</v>
      </c>
      <c r="E22" s="279">
        <f t="shared" si="4"/>
        <v>-49999.999999999985</v>
      </c>
      <c r="F22" s="279">
        <f t="shared" si="4"/>
        <v>-12358.743788681579</v>
      </c>
      <c r="G22" s="279">
        <f t="shared" si="4"/>
        <v>-23826.428404397491</v>
      </c>
      <c r="H22" s="279">
        <f t="shared" si="4"/>
        <v>-85770.160386471398</v>
      </c>
      <c r="I22" s="279">
        <f>IFERROR(PPMT($I$4,C22,$I$6,$I$11),0)</f>
        <v>-174605.06521158814</v>
      </c>
    </row>
    <row r="23" spans="1:9" ht="15" hidden="1" customHeight="1" outlineLevel="1">
      <c r="A23" s="753"/>
      <c r="B23" s="7" t="s">
        <v>23</v>
      </c>
      <c r="C23" s="260">
        <v>2</v>
      </c>
      <c r="D23" s="279">
        <f t="shared" si="4"/>
        <v>0</v>
      </c>
      <c r="E23" s="279">
        <f t="shared" si="4"/>
        <v>0</v>
      </c>
      <c r="F23" s="279">
        <f t="shared" si="4"/>
        <v>-13447.840235694428</v>
      </c>
      <c r="G23" s="279">
        <f t="shared" si="4"/>
        <v>-25857.85491872007</v>
      </c>
      <c r="H23" s="279">
        <f t="shared" si="4"/>
        <v>-91444.133225655562</v>
      </c>
      <c r="I23" s="279">
        <f t="shared" ref="I23:I45" si="5">IFERROR(PPMT($I$4,C23,$I$6,$I$11),0)</f>
        <v>-185628.17019141369</v>
      </c>
    </row>
    <row r="24" spans="1:9" ht="15" hidden="1" customHeight="1" outlineLevel="1">
      <c r="A24" s="753"/>
      <c r="B24" s="7" t="s">
        <v>24</v>
      </c>
      <c r="C24" s="260">
        <v>3</v>
      </c>
      <c r="D24" s="279">
        <f t="shared" si="4"/>
        <v>0</v>
      </c>
      <c r="E24" s="279">
        <f t="shared" si="4"/>
        <v>0</v>
      </c>
      <c r="F24" s="279">
        <f t="shared" si="4"/>
        <v>-14632.911734150801</v>
      </c>
      <c r="G24" s="279">
        <f t="shared" si="4"/>
        <v>-28062.47959825028</v>
      </c>
      <c r="H24" s="279">
        <f t="shared" si="4"/>
        <v>-97493.457674708945</v>
      </c>
      <c r="I24" s="279">
        <f t="shared" si="5"/>
        <v>-197347.18192084596</v>
      </c>
    </row>
    <row r="25" spans="1:9" ht="15" hidden="1" customHeight="1" outlineLevel="1">
      <c r="A25" s="753"/>
      <c r="B25" s="7" t="s">
        <v>25</v>
      </c>
      <c r="C25" s="260">
        <v>4</v>
      </c>
      <c r="D25" s="279">
        <f t="shared" si="4"/>
        <v>0</v>
      </c>
      <c r="E25" s="279">
        <f t="shared" si="4"/>
        <v>0</v>
      </c>
      <c r="F25" s="279">
        <f t="shared" si="4"/>
        <v>-15922.415946845254</v>
      </c>
      <c r="G25" s="279">
        <f t="shared" si="4"/>
        <v>-30455.069211177772</v>
      </c>
      <c r="H25" s="279">
        <f t="shared" si="4"/>
        <v>-103942.96445366212</v>
      </c>
      <c r="I25" s="279">
        <f t="shared" si="5"/>
        <v>-209806.03413770511</v>
      </c>
    </row>
    <row r="26" spans="1:9" ht="15" hidden="1" customHeight="1" outlineLevel="1">
      <c r="A26" s="753"/>
      <c r="B26" s="7" t="s">
        <v>26</v>
      </c>
      <c r="C26" s="260">
        <v>5</v>
      </c>
      <c r="D26" s="279">
        <f t="shared" si="4"/>
        <v>0</v>
      </c>
      <c r="E26" s="279">
        <f t="shared" si="4"/>
        <v>0</v>
      </c>
      <c r="F26" s="279">
        <f t="shared" si="4"/>
        <v>-17325.555855890965</v>
      </c>
      <c r="G26" s="279">
        <f t="shared" si="4"/>
        <v>-33051.649531193223</v>
      </c>
      <c r="H26" s="279">
        <f t="shared" si="4"/>
        <v>-110819.12691478991</v>
      </c>
      <c r="I26" s="279">
        <f t="shared" si="5"/>
        <v>-223051.43418894769</v>
      </c>
    </row>
    <row r="27" spans="1:9" ht="15" hidden="1" customHeight="1" outlineLevel="1">
      <c r="A27" s="753"/>
      <c r="B27" s="7" t="s">
        <v>27</v>
      </c>
      <c r="C27" s="260">
        <v>6</v>
      </c>
      <c r="D27" s="279">
        <f t="shared" si="4"/>
        <v>0</v>
      </c>
      <c r="E27" s="279">
        <f t="shared" si="4"/>
        <v>0</v>
      </c>
      <c r="F27" s="279">
        <f t="shared" si="4"/>
        <v>-18852.345442908252</v>
      </c>
      <c r="G27" s="279">
        <f t="shared" si="4"/>
        <v>-35869.612679516846</v>
      </c>
      <c r="H27" s="279">
        <f t="shared" si="4"/>
        <v>-118150.16970803389</v>
      </c>
      <c r="I27" s="279">
        <f t="shared" si="5"/>
        <v>-237133.03813317424</v>
      </c>
    </row>
    <row r="28" spans="1:9" ht="15" hidden="1" customHeight="1" outlineLevel="1">
      <c r="A28" s="753"/>
      <c r="B28" s="7" t="s">
        <v>28</v>
      </c>
      <c r="C28" s="260">
        <v>7</v>
      </c>
      <c r="D28" s="279">
        <f t="shared" si="4"/>
        <v>0</v>
      </c>
      <c r="E28" s="279">
        <f t="shared" si="4"/>
        <v>0</v>
      </c>
      <c r="F28" s="279">
        <f t="shared" si="4"/>
        <v>-20513.681157184808</v>
      </c>
      <c r="G28" s="279">
        <f t="shared" si="4"/>
        <v>-38927.833618841643</v>
      </c>
      <c r="H28" s="279">
        <f t="shared" si="4"/>
        <v>-125966.18463499358</v>
      </c>
      <c r="I28" s="279">
        <f t="shared" si="5"/>
        <v>-252103.63689764519</v>
      </c>
    </row>
    <row r="29" spans="1:9" ht="15" hidden="1" customHeight="1" outlineLevel="1">
      <c r="A29" s="753"/>
      <c r="B29" s="7" t="s">
        <v>29</v>
      </c>
      <c r="C29" s="260">
        <v>8</v>
      </c>
      <c r="D29" s="279">
        <f t="shared" si="4"/>
        <v>0</v>
      </c>
      <c r="E29" s="279">
        <f t="shared" si="4"/>
        <v>0</v>
      </c>
      <c r="F29" s="279">
        <f t="shared" si="4"/>
        <v>-22321.41968186442</v>
      </c>
      <c r="G29" s="279">
        <f t="shared" si="4"/>
        <v>-42246.796579478148</v>
      </c>
      <c r="H29" s="279">
        <f t="shared" si="4"/>
        <v>-134299.25416703269</v>
      </c>
      <c r="I29" s="279">
        <f t="shared" si="5"/>
        <v>-268019.3541876963</v>
      </c>
    </row>
    <row r="30" spans="1:9" ht="15" hidden="1" customHeight="1" outlineLevel="1">
      <c r="A30" s="753"/>
      <c r="B30" s="7" t="s">
        <v>30</v>
      </c>
      <c r="C30" s="260">
        <v>9</v>
      </c>
      <c r="D30" s="279">
        <f t="shared" si="4"/>
        <v>0</v>
      </c>
      <c r="E30" s="279">
        <f t="shared" si="4"/>
        <v>0</v>
      </c>
      <c r="F30" s="279">
        <f t="shared" si="4"/>
        <v>-24288.462553168625</v>
      </c>
      <c r="G30" s="279">
        <f t="shared" si="4"/>
        <v>-45848.732264513717</v>
      </c>
      <c r="H30" s="279">
        <f t="shared" si="4"/>
        <v>-143183.58313450686</v>
      </c>
      <c r="I30" s="279">
        <f t="shared" si="5"/>
        <v>-284939.85689050081</v>
      </c>
    </row>
    <row r="31" spans="1:9" ht="15" hidden="1" customHeight="1" outlineLevel="1">
      <c r="A31" s="753"/>
      <c r="B31" s="7" t="s">
        <v>31</v>
      </c>
      <c r="C31" s="260">
        <v>10</v>
      </c>
      <c r="D31" s="279">
        <f t="shared" si="4"/>
        <v>0</v>
      </c>
      <c r="E31" s="279">
        <f t="shared" si="4"/>
        <v>0</v>
      </c>
      <c r="F31" s="279">
        <f t="shared" si="4"/>
        <v>-26428.848236565223</v>
      </c>
      <c r="G31" s="279">
        <f t="shared" si="4"/>
        <v>-49757.766752998781</v>
      </c>
      <c r="H31" s="279">
        <f t="shared" si="4"/>
        <v>-152655.63912765859</v>
      </c>
      <c r="I31" s="279">
        <f t="shared" si="5"/>
        <v>-302928.57876196696</v>
      </c>
    </row>
    <row r="32" spans="1:9" ht="15" hidden="1" customHeight="1" outlineLevel="1">
      <c r="A32" s="753" t="s">
        <v>32</v>
      </c>
      <c r="B32" s="7" t="s">
        <v>33</v>
      </c>
      <c r="C32" s="260">
        <v>11</v>
      </c>
      <c r="D32" s="279">
        <f t="shared" si="4"/>
        <v>0</v>
      </c>
      <c r="E32" s="279">
        <f t="shared" si="4"/>
        <v>0</v>
      </c>
      <c r="F32" s="279">
        <f t="shared" si="4"/>
        <v>-28757.852317016001</v>
      </c>
      <c r="G32" s="279">
        <f t="shared" si="4"/>
        <v>-54000.083098526447</v>
      </c>
      <c r="H32" s="279">
        <f t="shared" si="4"/>
        <v>-162754.30218548421</v>
      </c>
      <c r="I32" s="279">
        <f t="shared" si="5"/>
        <v>-322052.9582353576</v>
      </c>
    </row>
    <row r="33" spans="1:9" ht="15" hidden="1" customHeight="1" outlineLevel="1">
      <c r="A33" s="753"/>
      <c r="B33" s="7" t="s">
        <v>34</v>
      </c>
      <c r="C33" s="260">
        <v>12</v>
      </c>
      <c r="D33" s="279">
        <f t="shared" ref="D33:D45" si="6">IFERROR(PPMT(D$112,$C33,D$113,D$114),0)</f>
        <v>0</v>
      </c>
      <c r="E33" s="279">
        <f t="shared" ref="E33:E45" si="7">IFERROR(PPMT(E$112,$C33,E$113,E$114),0)</f>
        <v>0</v>
      </c>
      <c r="F33" s="279">
        <f t="shared" ref="F33:F45" si="8">IFERROR(PPMT(F$112,$C33,F$113,F$114),0)</f>
        <v>-31292.096518345432</v>
      </c>
      <c r="G33" s="279">
        <f t="shared" ref="G33:G45" si="9">IFERROR(PPMT(G$112,$C33,G$113,G$114),0)</f>
        <v>-58604.09670560668</v>
      </c>
      <c r="H33" s="279">
        <f>IFERROR(PPMT(H$112,$C33,H$113,H$114),0)</f>
        <v>-173521.02438700254</v>
      </c>
      <c r="I33" s="279">
        <f t="shared" si="5"/>
        <v>-342384.69124315883</v>
      </c>
    </row>
    <row r="34" spans="1:9" ht="15" hidden="1" customHeight="1" outlineLevel="1">
      <c r="A34" s="753"/>
      <c r="B34" s="7" t="s">
        <v>22</v>
      </c>
      <c r="C34" s="260">
        <v>13</v>
      </c>
      <c r="D34" s="279">
        <f t="shared" si="6"/>
        <v>0</v>
      </c>
      <c r="E34" s="279">
        <f t="shared" si="7"/>
        <v>0</v>
      </c>
      <c r="F34" s="279">
        <f t="shared" si="8"/>
        <v>0</v>
      </c>
      <c r="G34" s="279">
        <f t="shared" si="9"/>
        <v>0</v>
      </c>
      <c r="H34" s="279">
        <f t="shared" ref="H34:H45" si="10">IFERROR(PPMT(H$112,$C34,H$113,H$114),0)</f>
        <v>0</v>
      </c>
      <c r="I34" s="279">
        <f t="shared" si="5"/>
        <v>0</v>
      </c>
    </row>
    <row r="35" spans="1:9" ht="15" hidden="1" customHeight="1" outlineLevel="1">
      <c r="A35" s="753"/>
      <c r="B35" s="7" t="s">
        <v>23</v>
      </c>
      <c r="C35" s="260">
        <v>14</v>
      </c>
      <c r="D35" s="279">
        <f t="shared" si="6"/>
        <v>0</v>
      </c>
      <c r="E35" s="279">
        <f t="shared" si="7"/>
        <v>0</v>
      </c>
      <c r="F35" s="279">
        <f t="shared" si="8"/>
        <v>0</v>
      </c>
      <c r="G35" s="279">
        <f t="shared" si="9"/>
        <v>0</v>
      </c>
      <c r="H35" s="279">
        <f t="shared" si="10"/>
        <v>0</v>
      </c>
      <c r="I35" s="279">
        <f t="shared" si="5"/>
        <v>0</v>
      </c>
    </row>
    <row r="36" spans="1:9" ht="15" hidden="1" customHeight="1" outlineLevel="1">
      <c r="A36" s="753"/>
      <c r="B36" s="7" t="s">
        <v>24</v>
      </c>
      <c r="C36" s="260">
        <v>15</v>
      </c>
      <c r="D36" s="279">
        <f t="shared" si="6"/>
        <v>0</v>
      </c>
      <c r="E36" s="279">
        <f t="shared" si="7"/>
        <v>0</v>
      </c>
      <c r="F36" s="279">
        <f t="shared" si="8"/>
        <v>0</v>
      </c>
      <c r="G36" s="279">
        <f t="shared" si="9"/>
        <v>0</v>
      </c>
      <c r="H36" s="279">
        <f t="shared" si="10"/>
        <v>0</v>
      </c>
      <c r="I36" s="279">
        <f t="shared" si="5"/>
        <v>0</v>
      </c>
    </row>
    <row r="37" spans="1:9" ht="15" hidden="1" customHeight="1" outlineLevel="1">
      <c r="A37" s="753"/>
      <c r="B37" s="7" t="s">
        <v>25</v>
      </c>
      <c r="C37" s="260">
        <v>16</v>
      </c>
      <c r="D37" s="279">
        <f t="shared" si="6"/>
        <v>0</v>
      </c>
      <c r="E37" s="279">
        <f t="shared" si="7"/>
        <v>0</v>
      </c>
      <c r="F37" s="279">
        <f t="shared" si="8"/>
        <v>0</v>
      </c>
      <c r="G37" s="279">
        <f t="shared" si="9"/>
        <v>0</v>
      </c>
      <c r="H37" s="279">
        <f t="shared" si="10"/>
        <v>0</v>
      </c>
      <c r="I37" s="279">
        <f t="shared" si="5"/>
        <v>0</v>
      </c>
    </row>
    <row r="38" spans="1:9" ht="15" hidden="1" customHeight="1" outlineLevel="1">
      <c r="A38" s="753"/>
      <c r="B38" s="7" t="s">
        <v>26</v>
      </c>
      <c r="C38" s="260">
        <v>17</v>
      </c>
      <c r="D38" s="279">
        <f t="shared" si="6"/>
        <v>0</v>
      </c>
      <c r="E38" s="279">
        <f t="shared" si="7"/>
        <v>0</v>
      </c>
      <c r="F38" s="279">
        <f t="shared" si="8"/>
        <v>0</v>
      </c>
      <c r="G38" s="279">
        <f t="shared" si="9"/>
        <v>0</v>
      </c>
      <c r="H38" s="279">
        <f t="shared" si="10"/>
        <v>0</v>
      </c>
      <c r="I38" s="279">
        <f t="shared" si="5"/>
        <v>0</v>
      </c>
    </row>
    <row r="39" spans="1:9" ht="15" hidden="1" customHeight="1" outlineLevel="1">
      <c r="A39" s="753"/>
      <c r="B39" s="7" t="s">
        <v>27</v>
      </c>
      <c r="C39" s="260">
        <v>18</v>
      </c>
      <c r="D39" s="279">
        <f t="shared" si="6"/>
        <v>0</v>
      </c>
      <c r="E39" s="279">
        <f t="shared" si="7"/>
        <v>0</v>
      </c>
      <c r="F39" s="279">
        <f t="shared" si="8"/>
        <v>0</v>
      </c>
      <c r="G39" s="279">
        <f t="shared" si="9"/>
        <v>0</v>
      </c>
      <c r="H39" s="279">
        <f t="shared" si="10"/>
        <v>0</v>
      </c>
      <c r="I39" s="279">
        <f t="shared" si="5"/>
        <v>0</v>
      </c>
    </row>
    <row r="40" spans="1:9" ht="15" hidden="1" customHeight="1" outlineLevel="1">
      <c r="A40" s="637"/>
      <c r="B40" s="566" t="s">
        <v>28</v>
      </c>
      <c r="C40" s="260">
        <v>19</v>
      </c>
      <c r="D40" s="279">
        <f t="shared" si="6"/>
        <v>0</v>
      </c>
      <c r="E40" s="279">
        <f t="shared" si="7"/>
        <v>0</v>
      </c>
      <c r="F40" s="279">
        <f t="shared" si="8"/>
        <v>0</v>
      </c>
      <c r="G40" s="279">
        <f t="shared" si="9"/>
        <v>0</v>
      </c>
      <c r="H40" s="279">
        <f t="shared" si="10"/>
        <v>0</v>
      </c>
      <c r="I40" s="279">
        <f t="shared" si="5"/>
        <v>0</v>
      </c>
    </row>
    <row r="41" spans="1:9" ht="15" hidden="1" customHeight="1" outlineLevel="1">
      <c r="A41" s="637"/>
      <c r="B41" s="566" t="s">
        <v>29</v>
      </c>
      <c r="C41" s="260">
        <v>20</v>
      </c>
      <c r="D41" s="279">
        <f t="shared" si="6"/>
        <v>0</v>
      </c>
      <c r="E41" s="279">
        <f t="shared" si="7"/>
        <v>0</v>
      </c>
      <c r="F41" s="279">
        <f t="shared" si="8"/>
        <v>0</v>
      </c>
      <c r="G41" s="279">
        <f t="shared" si="9"/>
        <v>0</v>
      </c>
      <c r="H41" s="279">
        <f t="shared" si="10"/>
        <v>0</v>
      </c>
      <c r="I41" s="279">
        <f t="shared" si="5"/>
        <v>0</v>
      </c>
    </row>
    <row r="42" spans="1:9" ht="15" hidden="1" customHeight="1" outlineLevel="1">
      <c r="A42" s="637"/>
      <c r="B42" s="566" t="s">
        <v>30</v>
      </c>
      <c r="C42" s="260">
        <v>21</v>
      </c>
      <c r="D42" s="279">
        <f t="shared" si="6"/>
        <v>0</v>
      </c>
      <c r="E42" s="279">
        <f t="shared" si="7"/>
        <v>0</v>
      </c>
      <c r="F42" s="279">
        <f t="shared" si="8"/>
        <v>0</v>
      </c>
      <c r="G42" s="279">
        <f t="shared" si="9"/>
        <v>0</v>
      </c>
      <c r="H42" s="279">
        <f t="shared" si="10"/>
        <v>0</v>
      </c>
      <c r="I42" s="279">
        <f t="shared" si="5"/>
        <v>0</v>
      </c>
    </row>
    <row r="43" spans="1:9" ht="15" hidden="1" customHeight="1" outlineLevel="1">
      <c r="A43" s="637"/>
      <c r="B43" s="566" t="s">
        <v>31</v>
      </c>
      <c r="C43" s="260">
        <v>22</v>
      </c>
      <c r="D43" s="279">
        <f t="shared" si="6"/>
        <v>0</v>
      </c>
      <c r="E43" s="279">
        <f t="shared" si="7"/>
        <v>0</v>
      </c>
      <c r="F43" s="279">
        <f t="shared" si="8"/>
        <v>0</v>
      </c>
      <c r="G43" s="279">
        <f t="shared" si="9"/>
        <v>0</v>
      </c>
      <c r="H43" s="279">
        <f t="shared" si="10"/>
        <v>0</v>
      </c>
      <c r="I43" s="279">
        <f t="shared" si="5"/>
        <v>0</v>
      </c>
    </row>
    <row r="44" spans="1:9" ht="15" hidden="1" customHeight="1" outlineLevel="1">
      <c r="A44" s="637"/>
      <c r="B44" s="566" t="s">
        <v>33</v>
      </c>
      <c r="C44" s="260">
        <v>23</v>
      </c>
      <c r="D44" s="279">
        <f t="shared" si="6"/>
        <v>0</v>
      </c>
      <c r="E44" s="279">
        <f t="shared" si="7"/>
        <v>0</v>
      </c>
      <c r="F44" s="279">
        <f t="shared" si="8"/>
        <v>0</v>
      </c>
      <c r="G44" s="279">
        <f t="shared" si="9"/>
        <v>0</v>
      </c>
      <c r="H44" s="279">
        <f t="shared" si="10"/>
        <v>0</v>
      </c>
      <c r="I44" s="279">
        <f t="shared" si="5"/>
        <v>0</v>
      </c>
    </row>
    <row r="45" spans="1:9" ht="15" hidden="1" customHeight="1" outlineLevel="1">
      <c r="A45" s="637"/>
      <c r="B45" s="566" t="s">
        <v>34</v>
      </c>
      <c r="C45" s="260">
        <v>24</v>
      </c>
      <c r="D45" s="279">
        <f t="shared" si="6"/>
        <v>0</v>
      </c>
      <c r="E45" s="279">
        <f t="shared" si="7"/>
        <v>0</v>
      </c>
      <c r="F45" s="279">
        <f t="shared" si="8"/>
        <v>0</v>
      </c>
      <c r="G45" s="279">
        <f t="shared" si="9"/>
        <v>0</v>
      </c>
      <c r="H45" s="279">
        <f t="shared" si="10"/>
        <v>0</v>
      </c>
      <c r="I45" s="279">
        <f t="shared" si="5"/>
        <v>0</v>
      </c>
    </row>
    <row r="46" spans="1:9" ht="15" hidden="1" customHeight="1" outlineLevel="1">
      <c r="A46" s="260"/>
      <c r="B46" s="6"/>
      <c r="C46" s="2"/>
      <c r="D46" s="260"/>
      <c r="E46" s="260"/>
      <c r="F46" s="260"/>
      <c r="G46" s="260"/>
      <c r="H46" s="260"/>
      <c r="I46" s="260"/>
    </row>
    <row r="47" spans="1:9" ht="15" hidden="1" customHeight="1" outlineLevel="1">
      <c r="A47" s="260"/>
      <c r="B47" s="6"/>
      <c r="C47" s="2"/>
      <c r="D47" s="260"/>
      <c r="E47" s="260"/>
      <c r="F47" s="260"/>
      <c r="G47" s="260"/>
      <c r="H47" s="260"/>
      <c r="I47" s="260"/>
    </row>
    <row r="48" spans="1:9" ht="15" hidden="1" customHeight="1" outlineLevel="1">
      <c r="A48" s="260"/>
      <c r="B48" s="6"/>
      <c r="C48" s="2"/>
      <c r="D48" s="280"/>
      <c r="E48" s="260"/>
      <c r="F48" s="260"/>
      <c r="G48" s="260"/>
      <c r="H48" s="260"/>
      <c r="I48" s="260"/>
    </row>
    <row r="49" spans="1:9" ht="15" hidden="1" customHeight="1" outlineLevel="1">
      <c r="A49" s="260"/>
      <c r="B49" s="9" t="s">
        <v>35</v>
      </c>
      <c r="C49" s="2"/>
      <c r="D49" s="260"/>
      <c r="E49" s="260"/>
      <c r="F49" s="260"/>
      <c r="G49" s="260"/>
      <c r="H49" s="260"/>
      <c r="I49" s="260"/>
    </row>
    <row r="50" spans="1:9" ht="15" hidden="1" customHeight="1" outlineLevel="1">
      <c r="A50" s="753" t="s">
        <v>21</v>
      </c>
      <c r="B50" s="7" t="s">
        <v>22</v>
      </c>
      <c r="C50" s="260">
        <v>1</v>
      </c>
      <c r="D50" s="279">
        <f t="shared" ref="D50:H50" si="11">D22+D138</f>
        <v>-7079.9999999999982</v>
      </c>
      <c r="E50" s="279">
        <f t="shared" si="11"/>
        <v>-58999.999999999985</v>
      </c>
      <c r="F50" s="279">
        <f t="shared" si="11"/>
        <v>-34049.66732978377</v>
      </c>
      <c r="G50" s="279">
        <f t="shared" si="11"/>
        <v>-63600.645658521571</v>
      </c>
      <c r="H50" s="279">
        <f t="shared" si="11"/>
        <v>-185000.00000000093</v>
      </c>
      <c r="I50" s="279">
        <f>I22+I138</f>
        <v>-364000.00000000943</v>
      </c>
    </row>
    <row r="51" spans="1:9" ht="15" hidden="1" customHeight="1" outlineLevel="1">
      <c r="A51" s="753"/>
      <c r="B51" s="7" t="s">
        <v>23</v>
      </c>
      <c r="C51" s="260">
        <v>2</v>
      </c>
      <c r="D51" s="279">
        <f t="shared" ref="D51:I51" si="12">D23+D139</f>
        <v>0</v>
      </c>
      <c r="E51" s="279">
        <f t="shared" si="12"/>
        <v>0</v>
      </c>
      <c r="F51" s="279">
        <f t="shared" si="12"/>
        <v>-34049.667329783777</v>
      </c>
      <c r="G51" s="279">
        <f t="shared" si="12"/>
        <v>-63600.645658521571</v>
      </c>
      <c r="H51" s="279">
        <f t="shared" si="12"/>
        <v>-185000.00000000093</v>
      </c>
      <c r="I51" s="279">
        <f t="shared" si="12"/>
        <v>-364000.00000000943</v>
      </c>
    </row>
    <row r="52" spans="1:9" ht="15" hidden="1" customHeight="1" outlineLevel="1">
      <c r="A52" s="753"/>
      <c r="B52" s="7" t="s">
        <v>24</v>
      </c>
      <c r="C52" s="260">
        <v>3</v>
      </c>
      <c r="D52" s="279">
        <f t="shared" ref="D52:I52" si="13">D24+D140</f>
        <v>0</v>
      </c>
      <c r="E52" s="279">
        <f t="shared" si="13"/>
        <v>0</v>
      </c>
      <c r="F52" s="279">
        <f t="shared" si="13"/>
        <v>-34049.667329783777</v>
      </c>
      <c r="G52" s="279">
        <f t="shared" si="13"/>
        <v>-63600.645658521564</v>
      </c>
      <c r="H52" s="279">
        <f t="shared" si="13"/>
        <v>-185000.00000000096</v>
      </c>
      <c r="I52" s="279">
        <f t="shared" si="13"/>
        <v>-364000.00000000943</v>
      </c>
    </row>
    <row r="53" spans="1:9" ht="15" hidden="1" customHeight="1" outlineLevel="1">
      <c r="A53" s="753"/>
      <c r="B53" s="7" t="s">
        <v>25</v>
      </c>
      <c r="C53" s="260">
        <v>4</v>
      </c>
      <c r="D53" s="279">
        <f t="shared" ref="D53:I53" si="14">D25+D141</f>
        <v>0</v>
      </c>
      <c r="E53" s="279">
        <f t="shared" si="14"/>
        <v>0</v>
      </c>
      <c r="F53" s="279">
        <f t="shared" si="14"/>
        <v>-34049.66732978377</v>
      </c>
      <c r="G53" s="279">
        <f t="shared" si="14"/>
        <v>-63600.645658521564</v>
      </c>
      <c r="H53" s="279">
        <f t="shared" si="14"/>
        <v>-185000.00000000093</v>
      </c>
      <c r="I53" s="279">
        <f t="shared" si="14"/>
        <v>-364000.00000000943</v>
      </c>
    </row>
    <row r="54" spans="1:9" ht="15" hidden="1" customHeight="1" outlineLevel="1">
      <c r="A54" s="753"/>
      <c r="B54" s="7" t="s">
        <v>26</v>
      </c>
      <c r="C54" s="260">
        <v>5</v>
      </c>
      <c r="D54" s="279">
        <f t="shared" ref="D54:I54" si="15">D26+D142</f>
        <v>0</v>
      </c>
      <c r="E54" s="279">
        <f t="shared" si="15"/>
        <v>0</v>
      </c>
      <c r="F54" s="279">
        <f t="shared" si="15"/>
        <v>-34049.66732978377</v>
      </c>
      <c r="G54" s="279">
        <f t="shared" si="15"/>
        <v>-63600.645658521571</v>
      </c>
      <c r="H54" s="279">
        <f t="shared" si="15"/>
        <v>-185000.00000000093</v>
      </c>
      <c r="I54" s="279">
        <f t="shared" si="15"/>
        <v>-364000.00000000943</v>
      </c>
    </row>
    <row r="55" spans="1:9" ht="15" hidden="1" customHeight="1" outlineLevel="1">
      <c r="A55" s="753"/>
      <c r="B55" s="7" t="s">
        <v>27</v>
      </c>
      <c r="C55" s="260">
        <v>6</v>
      </c>
      <c r="D55" s="279">
        <f t="shared" ref="D55:I55" si="16">D27+D143</f>
        <v>0</v>
      </c>
      <c r="E55" s="279">
        <f t="shared" si="16"/>
        <v>0</v>
      </c>
      <c r="F55" s="279">
        <f t="shared" si="16"/>
        <v>-34049.667329783777</v>
      </c>
      <c r="G55" s="279">
        <f t="shared" si="16"/>
        <v>-63600.645658521578</v>
      </c>
      <c r="H55" s="279">
        <f t="shared" si="16"/>
        <v>-185000.00000000093</v>
      </c>
      <c r="I55" s="279">
        <f t="shared" si="16"/>
        <v>-364000.00000000943</v>
      </c>
    </row>
    <row r="56" spans="1:9" ht="15" hidden="1" customHeight="1" outlineLevel="1">
      <c r="A56" s="753"/>
      <c r="B56" s="7" t="s">
        <v>28</v>
      </c>
      <c r="C56" s="260">
        <v>7</v>
      </c>
      <c r="D56" s="279">
        <f t="shared" ref="D56:I56" si="17">D28+D144</f>
        <v>0</v>
      </c>
      <c r="E56" s="279">
        <f t="shared" si="17"/>
        <v>0</v>
      </c>
      <c r="F56" s="279">
        <f t="shared" si="17"/>
        <v>-34049.66732978377</v>
      </c>
      <c r="G56" s="279">
        <f t="shared" si="17"/>
        <v>-63600.645658521556</v>
      </c>
      <c r="H56" s="279">
        <f t="shared" si="17"/>
        <v>-185000.00000000096</v>
      </c>
      <c r="I56" s="279">
        <f t="shared" si="17"/>
        <v>-364000.00000000943</v>
      </c>
    </row>
    <row r="57" spans="1:9" ht="15" hidden="1" customHeight="1" outlineLevel="1">
      <c r="A57" s="753"/>
      <c r="B57" s="7" t="s">
        <v>29</v>
      </c>
      <c r="C57" s="260">
        <v>8</v>
      </c>
      <c r="D57" s="279">
        <f t="shared" ref="D57:I57" si="18">D29+D145</f>
        <v>0</v>
      </c>
      <c r="E57" s="279">
        <f t="shared" si="18"/>
        <v>0</v>
      </c>
      <c r="F57" s="279">
        <f t="shared" si="18"/>
        <v>-34049.667329783777</v>
      </c>
      <c r="G57" s="279">
        <f t="shared" si="18"/>
        <v>-63600.645658521564</v>
      </c>
      <c r="H57" s="279">
        <f t="shared" si="18"/>
        <v>-185000.00000000096</v>
      </c>
      <c r="I57" s="279">
        <f t="shared" si="18"/>
        <v>-364000.00000000943</v>
      </c>
    </row>
    <row r="58" spans="1:9" ht="15" hidden="1" customHeight="1" outlineLevel="1">
      <c r="A58" s="753"/>
      <c r="B58" s="7" t="s">
        <v>30</v>
      </c>
      <c r="C58" s="260">
        <v>9</v>
      </c>
      <c r="D58" s="279">
        <f t="shared" ref="D58:I58" si="19">D30+D146</f>
        <v>0</v>
      </c>
      <c r="E58" s="279">
        <f t="shared" si="19"/>
        <v>0</v>
      </c>
      <c r="F58" s="279">
        <f t="shared" si="19"/>
        <v>-34049.66732978377</v>
      </c>
      <c r="G58" s="279">
        <f t="shared" si="19"/>
        <v>-63600.645658521578</v>
      </c>
      <c r="H58" s="279">
        <f t="shared" si="19"/>
        <v>-185000.00000000093</v>
      </c>
      <c r="I58" s="279">
        <f t="shared" si="19"/>
        <v>-364000.00000000943</v>
      </c>
    </row>
    <row r="59" spans="1:9" ht="15" hidden="1" customHeight="1" outlineLevel="1">
      <c r="A59" s="753"/>
      <c r="B59" s="7" t="s">
        <v>31</v>
      </c>
      <c r="C59" s="260">
        <v>10</v>
      </c>
      <c r="D59" s="279">
        <f t="shared" ref="D59:I59" si="20">D31+D147</f>
        <v>0</v>
      </c>
      <c r="E59" s="279">
        <f t="shared" si="20"/>
        <v>0</v>
      </c>
      <c r="F59" s="279">
        <f t="shared" si="20"/>
        <v>-34049.66732978377</v>
      </c>
      <c r="G59" s="279">
        <f t="shared" si="20"/>
        <v>-63600.645658521564</v>
      </c>
      <c r="H59" s="279">
        <f t="shared" si="20"/>
        <v>-185000.00000000093</v>
      </c>
      <c r="I59" s="279">
        <f t="shared" si="20"/>
        <v>-364000.00000000943</v>
      </c>
    </row>
    <row r="60" spans="1:9" ht="15" hidden="1" customHeight="1" outlineLevel="1">
      <c r="A60" s="753" t="s">
        <v>32</v>
      </c>
      <c r="B60" s="7" t="s">
        <v>33</v>
      </c>
      <c r="C60" s="260">
        <v>11</v>
      </c>
      <c r="D60" s="279">
        <f t="shared" ref="D60:I60" si="21">D32+D148</f>
        <v>0</v>
      </c>
      <c r="E60" s="279">
        <f t="shared" si="21"/>
        <v>0</v>
      </c>
      <c r="F60" s="279">
        <f t="shared" si="21"/>
        <v>-34049.667329783777</v>
      </c>
      <c r="G60" s="279">
        <f t="shared" si="21"/>
        <v>-63600.645658521564</v>
      </c>
      <c r="H60" s="279">
        <f t="shared" si="21"/>
        <v>-185000.00000000096</v>
      </c>
      <c r="I60" s="279">
        <f t="shared" si="21"/>
        <v>-364000.00000000943</v>
      </c>
    </row>
    <row r="61" spans="1:9" ht="15" hidden="1" customHeight="1" outlineLevel="1">
      <c r="A61" s="753"/>
      <c r="B61" s="7" t="s">
        <v>34</v>
      </c>
      <c r="C61" s="260">
        <v>12</v>
      </c>
      <c r="D61" s="279">
        <f t="shared" ref="D61:I61" si="22">D33+D149</f>
        <v>0</v>
      </c>
      <c r="E61" s="279">
        <f t="shared" si="22"/>
        <v>0</v>
      </c>
      <c r="F61" s="279">
        <f t="shared" si="22"/>
        <v>-34049.667329783777</v>
      </c>
      <c r="G61" s="279">
        <f t="shared" si="22"/>
        <v>-63600.645658521564</v>
      </c>
      <c r="H61" s="279">
        <f t="shared" si="22"/>
        <v>-185000.00000000096</v>
      </c>
      <c r="I61" s="279">
        <f t="shared" si="22"/>
        <v>-364000.00000000943</v>
      </c>
    </row>
    <row r="62" spans="1:9" ht="15" hidden="1" customHeight="1" outlineLevel="1">
      <c r="A62" s="753"/>
      <c r="B62" s="7" t="s">
        <v>22</v>
      </c>
      <c r="C62" s="260">
        <v>13</v>
      </c>
      <c r="D62" s="279">
        <f t="shared" ref="D62:I62" si="23">D34+D150</f>
        <v>0</v>
      </c>
      <c r="E62" s="279">
        <f t="shared" si="23"/>
        <v>0</v>
      </c>
      <c r="F62" s="279">
        <f t="shared" si="23"/>
        <v>0</v>
      </c>
      <c r="G62" s="279">
        <f t="shared" si="23"/>
        <v>0</v>
      </c>
      <c r="H62" s="279">
        <f t="shared" si="23"/>
        <v>0</v>
      </c>
      <c r="I62" s="279">
        <f t="shared" si="23"/>
        <v>0</v>
      </c>
    </row>
    <row r="63" spans="1:9" ht="15" hidden="1" customHeight="1" outlineLevel="1">
      <c r="A63" s="753"/>
      <c r="B63" s="7" t="s">
        <v>23</v>
      </c>
      <c r="C63" s="260">
        <v>14</v>
      </c>
      <c r="D63" s="279">
        <f t="shared" ref="D63:I63" si="24">D35+D151</f>
        <v>0</v>
      </c>
      <c r="E63" s="279">
        <f t="shared" si="24"/>
        <v>0</v>
      </c>
      <c r="F63" s="279">
        <f t="shared" si="24"/>
        <v>0</v>
      </c>
      <c r="G63" s="279">
        <f t="shared" si="24"/>
        <v>0</v>
      </c>
      <c r="H63" s="279">
        <f t="shared" si="24"/>
        <v>0</v>
      </c>
      <c r="I63" s="279">
        <f t="shared" si="24"/>
        <v>0</v>
      </c>
    </row>
    <row r="64" spans="1:9" ht="15" hidden="1" customHeight="1" outlineLevel="1">
      <c r="A64" s="753"/>
      <c r="B64" s="7" t="s">
        <v>24</v>
      </c>
      <c r="C64" s="260">
        <v>15</v>
      </c>
      <c r="D64" s="279">
        <f t="shared" ref="D64:I64" si="25">D36+D152</f>
        <v>0</v>
      </c>
      <c r="E64" s="279">
        <f t="shared" si="25"/>
        <v>0</v>
      </c>
      <c r="F64" s="279">
        <f t="shared" si="25"/>
        <v>0</v>
      </c>
      <c r="G64" s="279">
        <f t="shared" si="25"/>
        <v>0</v>
      </c>
      <c r="H64" s="279">
        <f t="shared" si="25"/>
        <v>0</v>
      </c>
      <c r="I64" s="279">
        <f t="shared" si="25"/>
        <v>0</v>
      </c>
    </row>
    <row r="65" spans="1:9" ht="15" hidden="1" customHeight="1" outlineLevel="1">
      <c r="A65" s="753"/>
      <c r="B65" s="7" t="s">
        <v>25</v>
      </c>
      <c r="C65" s="260">
        <v>16</v>
      </c>
      <c r="D65" s="279">
        <f t="shared" ref="D65:I65" si="26">D37+D153</f>
        <v>0</v>
      </c>
      <c r="E65" s="279">
        <f t="shared" si="26"/>
        <v>0</v>
      </c>
      <c r="F65" s="279">
        <f t="shared" si="26"/>
        <v>0</v>
      </c>
      <c r="G65" s="279">
        <f t="shared" si="26"/>
        <v>0</v>
      </c>
      <c r="H65" s="279">
        <f t="shared" si="26"/>
        <v>0</v>
      </c>
      <c r="I65" s="279">
        <f t="shared" si="26"/>
        <v>0</v>
      </c>
    </row>
    <row r="66" spans="1:9" ht="15" hidden="1" customHeight="1" outlineLevel="1">
      <c r="A66" s="753"/>
      <c r="B66" s="7" t="s">
        <v>26</v>
      </c>
      <c r="C66" s="260">
        <v>17</v>
      </c>
      <c r="D66" s="279">
        <f t="shared" ref="D66:I66" si="27">D38+D154</f>
        <v>0</v>
      </c>
      <c r="E66" s="279">
        <f t="shared" si="27"/>
        <v>0</v>
      </c>
      <c r="F66" s="279">
        <f t="shared" si="27"/>
        <v>0</v>
      </c>
      <c r="G66" s="279">
        <f t="shared" si="27"/>
        <v>0</v>
      </c>
      <c r="H66" s="279">
        <f t="shared" si="27"/>
        <v>0</v>
      </c>
      <c r="I66" s="279">
        <f t="shared" si="27"/>
        <v>0</v>
      </c>
    </row>
    <row r="67" spans="1:9" ht="15" hidden="1" customHeight="1" outlineLevel="1">
      <c r="A67" s="753"/>
      <c r="B67" s="7" t="s">
        <v>27</v>
      </c>
      <c r="C67" s="260">
        <v>18</v>
      </c>
      <c r="D67" s="279">
        <f t="shared" ref="D67:I67" si="28">D39+D155</f>
        <v>0</v>
      </c>
      <c r="E67" s="279">
        <f t="shared" si="28"/>
        <v>0</v>
      </c>
      <c r="F67" s="279">
        <f t="shared" si="28"/>
        <v>0</v>
      </c>
      <c r="G67" s="279">
        <f t="shared" si="28"/>
        <v>0</v>
      </c>
      <c r="H67" s="279">
        <f t="shared" si="28"/>
        <v>0</v>
      </c>
      <c r="I67" s="279">
        <f t="shared" si="28"/>
        <v>0</v>
      </c>
    </row>
    <row r="68" spans="1:9" ht="15" hidden="1" customHeight="1" outlineLevel="1">
      <c r="A68" s="637"/>
      <c r="B68" s="566" t="s">
        <v>28</v>
      </c>
      <c r="C68" s="260">
        <v>19</v>
      </c>
      <c r="D68" s="279">
        <f t="shared" ref="D68:I68" si="29">D40+D156</f>
        <v>0</v>
      </c>
      <c r="E68" s="279">
        <f t="shared" si="29"/>
        <v>0</v>
      </c>
      <c r="F68" s="279">
        <f t="shared" si="29"/>
        <v>0</v>
      </c>
      <c r="G68" s="279">
        <f t="shared" si="29"/>
        <v>0</v>
      </c>
      <c r="H68" s="279">
        <f t="shared" si="29"/>
        <v>0</v>
      </c>
      <c r="I68" s="279">
        <f t="shared" si="29"/>
        <v>0</v>
      </c>
    </row>
    <row r="69" spans="1:9" ht="15" hidden="1" customHeight="1" outlineLevel="1">
      <c r="A69" s="637"/>
      <c r="B69" s="566" t="s">
        <v>29</v>
      </c>
      <c r="C69" s="260">
        <v>20</v>
      </c>
      <c r="D69" s="279">
        <f t="shared" ref="D69:I69" si="30">D41+D157</f>
        <v>0</v>
      </c>
      <c r="E69" s="279">
        <f t="shared" si="30"/>
        <v>0</v>
      </c>
      <c r="F69" s="279">
        <f t="shared" si="30"/>
        <v>0</v>
      </c>
      <c r="G69" s="279">
        <f t="shared" si="30"/>
        <v>0</v>
      </c>
      <c r="H69" s="279">
        <f t="shared" si="30"/>
        <v>0</v>
      </c>
      <c r="I69" s="279">
        <f t="shared" si="30"/>
        <v>0</v>
      </c>
    </row>
    <row r="70" spans="1:9" ht="15" hidden="1" customHeight="1" outlineLevel="1">
      <c r="A70" s="637"/>
      <c r="B70" s="566" t="s">
        <v>30</v>
      </c>
      <c r="C70" s="260">
        <v>21</v>
      </c>
      <c r="D70" s="279">
        <f t="shared" ref="D70:I70" si="31">D42+D158</f>
        <v>0</v>
      </c>
      <c r="E70" s="279">
        <f t="shared" si="31"/>
        <v>0</v>
      </c>
      <c r="F70" s="279">
        <f t="shared" si="31"/>
        <v>0</v>
      </c>
      <c r="G70" s="279">
        <f t="shared" si="31"/>
        <v>0</v>
      </c>
      <c r="H70" s="279">
        <f t="shared" si="31"/>
        <v>0</v>
      </c>
      <c r="I70" s="279">
        <f t="shared" si="31"/>
        <v>0</v>
      </c>
    </row>
    <row r="71" spans="1:9" ht="15" hidden="1" customHeight="1" outlineLevel="1">
      <c r="A71" s="637"/>
      <c r="B71" s="566" t="s">
        <v>31</v>
      </c>
      <c r="C71" s="260">
        <v>22</v>
      </c>
      <c r="D71" s="279">
        <f t="shared" ref="D71:I71" si="32">D43+D159</f>
        <v>0</v>
      </c>
      <c r="E71" s="279">
        <f t="shared" si="32"/>
        <v>0</v>
      </c>
      <c r="F71" s="279">
        <f t="shared" si="32"/>
        <v>0</v>
      </c>
      <c r="G71" s="279">
        <f t="shared" si="32"/>
        <v>0</v>
      </c>
      <c r="H71" s="279">
        <f t="shared" si="32"/>
        <v>0</v>
      </c>
      <c r="I71" s="279">
        <f t="shared" si="32"/>
        <v>0</v>
      </c>
    </row>
    <row r="72" spans="1:9" ht="15" hidden="1" customHeight="1" outlineLevel="1">
      <c r="A72" s="637"/>
      <c r="B72" s="566" t="s">
        <v>33</v>
      </c>
      <c r="C72" s="260">
        <v>23</v>
      </c>
      <c r="D72" s="279">
        <f t="shared" ref="D72:I72" si="33">D44+D160</f>
        <v>0</v>
      </c>
      <c r="E72" s="279">
        <f t="shared" si="33"/>
        <v>0</v>
      </c>
      <c r="F72" s="279">
        <f t="shared" si="33"/>
        <v>0</v>
      </c>
      <c r="G72" s="279">
        <f t="shared" si="33"/>
        <v>0</v>
      </c>
      <c r="H72" s="279">
        <f t="shared" si="33"/>
        <v>0</v>
      </c>
      <c r="I72" s="279">
        <f t="shared" si="33"/>
        <v>0</v>
      </c>
    </row>
    <row r="73" spans="1:9" ht="15" hidden="1" customHeight="1" outlineLevel="1">
      <c r="A73" s="637"/>
      <c r="B73" s="566" t="s">
        <v>34</v>
      </c>
      <c r="C73" s="260">
        <v>24</v>
      </c>
      <c r="D73" s="279">
        <f t="shared" ref="D73:I73" si="34">D45+D161</f>
        <v>0</v>
      </c>
      <c r="E73" s="279">
        <f t="shared" si="34"/>
        <v>0</v>
      </c>
      <c r="F73" s="279">
        <f t="shared" si="34"/>
        <v>0</v>
      </c>
      <c r="G73" s="279">
        <f t="shared" si="34"/>
        <v>0</v>
      </c>
      <c r="H73" s="279">
        <f t="shared" si="34"/>
        <v>0</v>
      </c>
      <c r="I73" s="279">
        <f t="shared" si="34"/>
        <v>0</v>
      </c>
    </row>
    <row r="74" spans="1:9" ht="15" hidden="1" customHeight="1" outlineLevel="1">
      <c r="A74" s="260"/>
      <c r="B74" s="260"/>
      <c r="C74" s="260"/>
      <c r="D74" s="260"/>
      <c r="E74" s="260"/>
      <c r="F74" s="260"/>
      <c r="G74" s="260"/>
      <c r="H74" s="260"/>
      <c r="I74" s="260"/>
    </row>
    <row r="75" spans="1:9" ht="15" hidden="1" customHeight="1" outlineLevel="1">
      <c r="A75" s="260"/>
      <c r="B75" s="260"/>
      <c r="C75" s="260"/>
      <c r="D75" s="260"/>
      <c r="E75" s="260"/>
      <c r="F75" s="260"/>
      <c r="G75" s="260"/>
      <c r="H75" s="260"/>
      <c r="I75" s="260"/>
    </row>
    <row r="76" spans="1:9" ht="15" hidden="1" customHeight="1" outlineLevel="1">
      <c r="A76" s="260"/>
      <c r="B76" s="2" t="s">
        <v>36</v>
      </c>
      <c r="C76" s="260"/>
      <c r="D76" s="260"/>
      <c r="E76" s="260"/>
      <c r="F76" s="260"/>
      <c r="G76" s="260"/>
      <c r="H76" s="260"/>
      <c r="I76" s="260"/>
    </row>
    <row r="77" spans="1:9" ht="15" hidden="1" customHeight="1" outlineLevel="1">
      <c r="D77" s="281">
        <f t="shared" ref="D77:I77" si="35">D114</f>
        <v>6000</v>
      </c>
      <c r="E77" s="281">
        <f t="shared" si="35"/>
        <v>50000</v>
      </c>
      <c r="F77" s="281">
        <f t="shared" si="35"/>
        <v>246142.17346831577</v>
      </c>
      <c r="G77" s="281">
        <f t="shared" si="35"/>
        <v>466508.40336322115</v>
      </c>
      <c r="H77" s="281">
        <f t="shared" si="35"/>
        <v>1500000</v>
      </c>
      <c r="I77" s="281">
        <f t="shared" si="35"/>
        <v>3000000</v>
      </c>
    </row>
    <row r="78" spans="1:9" ht="15" hidden="1" customHeight="1" outlineLevel="1">
      <c r="D78" s="281">
        <f t="shared" ref="D78:D92" si="36">IF((D77+D22)&lt;0,0,D77+D22)</f>
        <v>1.8189894035458565E-12</v>
      </c>
      <c r="E78" s="281">
        <f t="shared" ref="E78:E92" si="37">IF((E77+E22)&lt;0,0,E77+E22)</f>
        <v>1.4551915228366852E-11</v>
      </c>
      <c r="F78" s="281">
        <f t="shared" ref="F78:F92" si="38">IF((F77+F22)&lt;0,0,F77+F22)</f>
        <v>233783.4296796342</v>
      </c>
      <c r="G78" s="281">
        <f t="shared" ref="G78:G92" si="39">IF((G77+G22)&lt;0,0,G77+G22)</f>
        <v>442681.97495882364</v>
      </c>
      <c r="H78" s="281">
        <f t="shared" ref="H78:H92" si="40">IF((H77+H22)&lt;0,0,H77+H22)</f>
        <v>1414229.8396135287</v>
      </c>
      <c r="I78" s="281">
        <f t="shared" ref="I78:I92" si="41">IF((I77+I22)&lt;0,0,I77+I22)</f>
        <v>2825394.9347884119</v>
      </c>
    </row>
    <row r="79" spans="1:9" ht="15" hidden="1" customHeight="1" outlineLevel="1">
      <c r="D79" s="281">
        <f t="shared" si="36"/>
        <v>1.8189894035458565E-12</v>
      </c>
      <c r="E79" s="281">
        <f t="shared" si="37"/>
        <v>1.4551915228366852E-11</v>
      </c>
      <c r="F79" s="281">
        <f t="shared" si="38"/>
        <v>220335.58944393977</v>
      </c>
      <c r="G79" s="281">
        <f t="shared" si="39"/>
        <v>416824.12004010356</v>
      </c>
      <c r="H79" s="281">
        <f t="shared" si="40"/>
        <v>1322785.706387873</v>
      </c>
      <c r="I79" s="281">
        <f t="shared" si="41"/>
        <v>2639766.7645969982</v>
      </c>
    </row>
    <row r="80" spans="1:9" ht="15" hidden="1" customHeight="1" outlineLevel="1">
      <c r="D80" s="281">
        <f t="shared" si="36"/>
        <v>1.8189894035458565E-12</v>
      </c>
      <c r="E80" s="281">
        <f t="shared" si="37"/>
        <v>1.4551915228366852E-11</v>
      </c>
      <c r="F80" s="281">
        <f t="shared" si="38"/>
        <v>205702.67770978896</v>
      </c>
      <c r="G80" s="281">
        <f t="shared" si="39"/>
        <v>388761.64044185326</v>
      </c>
      <c r="H80" s="281">
        <f t="shared" si="40"/>
        <v>1225292.2487131641</v>
      </c>
      <c r="I80" s="281">
        <f t="shared" si="41"/>
        <v>2442419.5826761522</v>
      </c>
    </row>
    <row r="81" spans="2:9" ht="15" hidden="1" customHeight="1" outlineLevel="1">
      <c r="D81" s="281">
        <f t="shared" si="36"/>
        <v>1.8189894035458565E-12</v>
      </c>
      <c r="E81" s="281">
        <f t="shared" si="37"/>
        <v>1.4551915228366852E-11</v>
      </c>
      <c r="F81" s="281">
        <f t="shared" si="38"/>
        <v>189780.2617629437</v>
      </c>
      <c r="G81" s="281">
        <f t="shared" si="39"/>
        <v>358306.5712306755</v>
      </c>
      <c r="H81" s="281">
        <f t="shared" si="40"/>
        <v>1121349.2842595021</v>
      </c>
      <c r="I81" s="281">
        <f t="shared" si="41"/>
        <v>2232613.5485384474</v>
      </c>
    </row>
    <row r="82" spans="2:9" ht="15" hidden="1" customHeight="1" outlineLevel="1">
      <c r="D82" s="281">
        <f t="shared" si="36"/>
        <v>1.8189894035458565E-12</v>
      </c>
      <c r="E82" s="281">
        <f t="shared" si="37"/>
        <v>1.4551915228366852E-11</v>
      </c>
      <c r="F82" s="281">
        <f t="shared" si="38"/>
        <v>172454.70590705273</v>
      </c>
      <c r="G82" s="281">
        <f t="shared" si="39"/>
        <v>325254.92169948225</v>
      </c>
      <c r="H82" s="281">
        <f t="shared" si="40"/>
        <v>1010530.1573447122</v>
      </c>
      <c r="I82" s="281">
        <f t="shared" si="41"/>
        <v>2009562.1143494996</v>
      </c>
    </row>
    <row r="83" spans="2:9" ht="15" hidden="1" customHeight="1" outlineLevel="1">
      <c r="D83" s="281">
        <f t="shared" si="36"/>
        <v>1.8189894035458565E-12</v>
      </c>
      <c r="E83" s="281">
        <f t="shared" si="37"/>
        <v>1.4551915228366852E-11</v>
      </c>
      <c r="F83" s="281">
        <f t="shared" si="38"/>
        <v>153602.36046414447</v>
      </c>
      <c r="G83" s="281">
        <f t="shared" si="39"/>
        <v>289385.30901996541</v>
      </c>
      <c r="H83" s="281">
        <f t="shared" si="40"/>
        <v>892379.98763667827</v>
      </c>
      <c r="I83" s="281">
        <f t="shared" si="41"/>
        <v>1772429.0762163254</v>
      </c>
    </row>
    <row r="84" spans="2:9" ht="15" hidden="1" customHeight="1" outlineLevel="1">
      <c r="D84" s="281">
        <f t="shared" si="36"/>
        <v>1.8189894035458565E-12</v>
      </c>
      <c r="E84" s="281">
        <f t="shared" si="37"/>
        <v>1.4551915228366852E-11</v>
      </c>
      <c r="F84" s="281">
        <f t="shared" si="38"/>
        <v>133088.67930695968</v>
      </c>
      <c r="G84" s="281">
        <f t="shared" si="39"/>
        <v>250457.47540112375</v>
      </c>
      <c r="H84" s="281">
        <f t="shared" si="40"/>
        <v>766413.80300168472</v>
      </c>
      <c r="I84" s="281">
        <f t="shared" si="41"/>
        <v>1520325.4393186802</v>
      </c>
    </row>
    <row r="85" spans="2:9" ht="15" hidden="1" customHeight="1" outlineLevel="1">
      <c r="D85" s="281">
        <f t="shared" si="36"/>
        <v>1.8189894035458565E-12</v>
      </c>
      <c r="E85" s="281">
        <f t="shared" si="37"/>
        <v>1.4551915228366852E-11</v>
      </c>
      <c r="F85" s="281">
        <f t="shared" si="38"/>
        <v>110767.25962509526</v>
      </c>
      <c r="G85" s="281">
        <f t="shared" si="39"/>
        <v>208210.67882164562</v>
      </c>
      <c r="H85" s="281">
        <f t="shared" si="40"/>
        <v>632114.54883465206</v>
      </c>
      <c r="I85" s="281">
        <f t="shared" si="41"/>
        <v>1252306.085130984</v>
      </c>
    </row>
    <row r="86" spans="2:9" ht="15" hidden="1" customHeight="1" outlineLevel="1">
      <c r="D86" s="281">
        <f t="shared" si="36"/>
        <v>1.8189894035458565E-12</v>
      </c>
      <c r="E86" s="281">
        <f t="shared" si="37"/>
        <v>1.4551915228366852E-11</v>
      </c>
      <c r="F86" s="281">
        <f t="shared" si="38"/>
        <v>86478.797071926645</v>
      </c>
      <c r="G86" s="281">
        <f t="shared" si="39"/>
        <v>162361.94655713189</v>
      </c>
      <c r="H86" s="281">
        <f t="shared" si="40"/>
        <v>488930.96570014523</v>
      </c>
      <c r="I86" s="281">
        <f t="shared" si="41"/>
        <v>967366.22824048321</v>
      </c>
    </row>
    <row r="87" spans="2:9" ht="15" hidden="1" customHeight="1" outlineLevel="1">
      <c r="D87" s="281">
        <f t="shared" si="36"/>
        <v>1.8189894035458565E-12</v>
      </c>
      <c r="E87" s="281">
        <f t="shared" si="37"/>
        <v>1.4551915228366852E-11</v>
      </c>
      <c r="F87" s="281">
        <f t="shared" si="38"/>
        <v>60049.948835361422</v>
      </c>
      <c r="G87" s="281">
        <f t="shared" si="39"/>
        <v>112604.17980413311</v>
      </c>
      <c r="H87" s="281">
        <f t="shared" si="40"/>
        <v>336275.32657248667</v>
      </c>
      <c r="I87" s="281">
        <f t="shared" si="41"/>
        <v>664437.64947851631</v>
      </c>
    </row>
    <row r="88" spans="2:9" ht="15" hidden="1" customHeight="1" outlineLevel="1">
      <c r="D88" s="281">
        <f t="shared" si="36"/>
        <v>1.8189894035458565E-12</v>
      </c>
      <c r="E88" s="281">
        <f t="shared" si="37"/>
        <v>1.4551915228366852E-11</v>
      </c>
      <c r="F88" s="281">
        <f t="shared" si="38"/>
        <v>31292.096518345421</v>
      </c>
      <c r="G88" s="281">
        <f t="shared" si="39"/>
        <v>58604.096705606658</v>
      </c>
      <c r="H88" s="281">
        <f t="shared" si="40"/>
        <v>173521.02438700246</v>
      </c>
      <c r="I88" s="281">
        <f t="shared" si="41"/>
        <v>342384.69124315871</v>
      </c>
    </row>
    <row r="89" spans="2:9" ht="15" hidden="1" customHeight="1" outlineLevel="1">
      <c r="D89" s="281">
        <f t="shared" si="36"/>
        <v>1.8189894035458565E-12</v>
      </c>
      <c r="E89" s="281">
        <f t="shared" si="37"/>
        <v>1.4551915228366852E-11</v>
      </c>
      <c r="F89" s="281">
        <f t="shared" si="38"/>
        <v>0</v>
      </c>
      <c r="G89" s="281">
        <f t="shared" si="39"/>
        <v>0</v>
      </c>
      <c r="H89" s="281">
        <f t="shared" si="40"/>
        <v>0</v>
      </c>
      <c r="I89" s="281">
        <f t="shared" si="41"/>
        <v>0</v>
      </c>
    </row>
    <row r="90" spans="2:9" ht="15" hidden="1" customHeight="1" outlineLevel="1">
      <c r="D90" s="281">
        <f t="shared" si="36"/>
        <v>1.8189894035458565E-12</v>
      </c>
      <c r="E90" s="281">
        <f t="shared" si="37"/>
        <v>1.4551915228366852E-11</v>
      </c>
      <c r="F90" s="281">
        <f t="shared" si="38"/>
        <v>0</v>
      </c>
      <c r="G90" s="281">
        <f t="shared" si="39"/>
        <v>0</v>
      </c>
      <c r="H90" s="281">
        <f t="shared" si="40"/>
        <v>0</v>
      </c>
      <c r="I90" s="281">
        <f t="shared" si="41"/>
        <v>0</v>
      </c>
    </row>
    <row r="91" spans="2:9" ht="15" hidden="1" customHeight="1" outlineLevel="1">
      <c r="D91" s="281">
        <f t="shared" si="36"/>
        <v>1.8189894035458565E-12</v>
      </c>
      <c r="E91" s="281">
        <f t="shared" si="37"/>
        <v>1.4551915228366852E-11</v>
      </c>
      <c r="F91" s="281">
        <f t="shared" si="38"/>
        <v>0</v>
      </c>
      <c r="G91" s="281">
        <f t="shared" si="39"/>
        <v>0</v>
      </c>
      <c r="H91" s="281">
        <f t="shared" si="40"/>
        <v>0</v>
      </c>
      <c r="I91" s="281">
        <f t="shared" si="41"/>
        <v>0</v>
      </c>
    </row>
    <row r="92" spans="2:9" ht="15" hidden="1" customHeight="1" outlineLevel="1">
      <c r="D92" s="281">
        <f t="shared" si="36"/>
        <v>1.8189894035458565E-12</v>
      </c>
      <c r="E92" s="281">
        <f t="shared" si="37"/>
        <v>1.4551915228366852E-11</v>
      </c>
      <c r="F92" s="281">
        <f t="shared" si="38"/>
        <v>0</v>
      </c>
      <c r="G92" s="281">
        <f t="shared" si="39"/>
        <v>0</v>
      </c>
      <c r="H92" s="281">
        <f t="shared" si="40"/>
        <v>0</v>
      </c>
      <c r="I92" s="281">
        <f t="shared" si="41"/>
        <v>0</v>
      </c>
    </row>
    <row r="93" spans="2:9" ht="15" hidden="1" customHeight="1" outlineLevel="1">
      <c r="B93" s="260"/>
      <c r="C93" s="260"/>
      <c r="D93" s="260"/>
      <c r="E93" s="260"/>
      <c r="F93" s="260"/>
      <c r="G93" s="260"/>
      <c r="H93" s="260"/>
      <c r="I93" s="260"/>
    </row>
    <row r="94" spans="2:9" ht="15" hidden="1" customHeight="1" outlineLevel="1">
      <c r="B94" s="2" t="s">
        <v>37</v>
      </c>
      <c r="C94" s="260"/>
      <c r="D94" s="260"/>
      <c r="E94" s="260"/>
      <c r="F94" s="260"/>
      <c r="G94" s="260"/>
      <c r="H94" s="260"/>
      <c r="I94" s="260"/>
    </row>
    <row r="95" spans="2:9" ht="15" hidden="1" customHeight="1" outlineLevel="1">
      <c r="B95" s="2" t="s">
        <v>38</v>
      </c>
      <c r="C95" s="260"/>
      <c r="D95" s="278">
        <f t="shared" ref="D95:I95" si="42">D19/12</f>
        <v>1.1250000000000001E-2</v>
      </c>
      <c r="E95" s="278">
        <f t="shared" si="42"/>
        <v>1.1250000000000001E-2</v>
      </c>
      <c r="F95" s="278">
        <f t="shared" si="42"/>
        <v>1.1250000000000001E-2</v>
      </c>
      <c r="G95" s="278">
        <f t="shared" si="42"/>
        <v>1.1250000000000001E-2</v>
      </c>
      <c r="H95" s="278">
        <f t="shared" si="42"/>
        <v>1.1250000000000001E-2</v>
      </c>
      <c r="I95" s="278">
        <f t="shared" si="42"/>
        <v>1.1250000000000001E-2</v>
      </c>
    </row>
    <row r="96" spans="2:9" ht="15" hidden="1" customHeight="1" outlineLevel="1">
      <c r="B96" s="260"/>
      <c r="C96" s="260"/>
      <c r="D96" s="282"/>
      <c r="E96" s="282"/>
      <c r="F96" s="282"/>
      <c r="G96" s="282"/>
      <c r="H96" s="282"/>
      <c r="I96" s="282"/>
    </row>
    <row r="97" spans="1:9" ht="15" hidden="1" customHeight="1" outlineLevel="1">
      <c r="B97" s="260"/>
      <c r="C97" s="260"/>
      <c r="D97" s="283">
        <f t="shared" ref="D97:H108" si="43">(D77*D$95)</f>
        <v>67.500000000000014</v>
      </c>
      <c r="E97" s="283">
        <f t="shared" si="43"/>
        <v>562.50000000000011</v>
      </c>
      <c r="F97" s="283">
        <f t="shared" si="43"/>
        <v>2769.0994515185525</v>
      </c>
      <c r="G97" s="283">
        <f t="shared" si="43"/>
        <v>5248.2195378362385</v>
      </c>
      <c r="H97" s="283">
        <f t="shared" si="43"/>
        <v>16875.000000000004</v>
      </c>
      <c r="I97" s="283">
        <f t="shared" ref="I97:I108" si="44">(I77*I$95)</f>
        <v>33750.000000000007</v>
      </c>
    </row>
    <row r="98" spans="1:9" ht="15" hidden="1" customHeight="1" outlineLevel="1">
      <c r="B98" s="260"/>
      <c r="C98" s="260"/>
      <c r="D98" s="283">
        <f t="shared" si="43"/>
        <v>2.0463630789890888E-14</v>
      </c>
      <c r="E98" s="283">
        <f t="shared" si="43"/>
        <v>1.637090463191271E-13</v>
      </c>
      <c r="F98" s="283">
        <f t="shared" si="43"/>
        <v>2630.0635838958851</v>
      </c>
      <c r="G98" s="283">
        <f t="shared" si="43"/>
        <v>4980.172218286767</v>
      </c>
      <c r="H98" s="283">
        <f t="shared" si="43"/>
        <v>15910.0856956522</v>
      </c>
      <c r="I98" s="283">
        <f t="shared" si="44"/>
        <v>31785.693016369638</v>
      </c>
    </row>
    <row r="99" spans="1:9" ht="15" hidden="1" customHeight="1" outlineLevel="1">
      <c r="B99" s="260"/>
      <c r="C99" s="260"/>
      <c r="D99" s="283">
        <f t="shared" si="43"/>
        <v>2.0463630789890888E-14</v>
      </c>
      <c r="E99" s="283">
        <f t="shared" si="43"/>
        <v>1.637090463191271E-13</v>
      </c>
      <c r="F99" s="283">
        <f t="shared" si="43"/>
        <v>2478.7753812443225</v>
      </c>
      <c r="G99" s="283">
        <f t="shared" si="43"/>
        <v>4689.2713504511657</v>
      </c>
      <c r="H99" s="283">
        <f t="shared" si="43"/>
        <v>14881.339196863573</v>
      </c>
      <c r="I99" s="283">
        <f t="shared" si="44"/>
        <v>29697.376101716232</v>
      </c>
    </row>
    <row r="100" spans="1:9" ht="15" hidden="1" customHeight="1" outlineLevel="1">
      <c r="B100" s="260"/>
      <c r="C100" s="260"/>
      <c r="D100" s="283">
        <f t="shared" si="43"/>
        <v>2.0463630789890888E-14</v>
      </c>
      <c r="E100" s="283">
        <f t="shared" si="43"/>
        <v>1.637090463191271E-13</v>
      </c>
      <c r="F100" s="283">
        <f t="shared" si="43"/>
        <v>2314.1551242351261</v>
      </c>
      <c r="G100" s="283">
        <f t="shared" si="43"/>
        <v>4373.5684549708494</v>
      </c>
      <c r="H100" s="283">
        <f t="shared" si="43"/>
        <v>13784.537798023099</v>
      </c>
      <c r="I100" s="283">
        <f t="shared" si="44"/>
        <v>27477.220305106715</v>
      </c>
    </row>
    <row r="101" spans="1:9" ht="15" hidden="1" customHeight="1" outlineLevel="1">
      <c r="B101" s="260"/>
      <c r="C101" s="260"/>
      <c r="D101" s="283">
        <f t="shared" si="43"/>
        <v>2.0463630789890888E-14</v>
      </c>
      <c r="E101" s="283">
        <f t="shared" si="43"/>
        <v>1.637090463191271E-13</v>
      </c>
      <c r="F101" s="283">
        <f t="shared" si="43"/>
        <v>2135.0279448331171</v>
      </c>
      <c r="G101" s="283">
        <f t="shared" si="43"/>
        <v>4030.9489263451001</v>
      </c>
      <c r="H101" s="283">
        <f t="shared" si="43"/>
        <v>12615.1794479194</v>
      </c>
      <c r="I101" s="283">
        <f t="shared" si="44"/>
        <v>25116.902421057537</v>
      </c>
    </row>
    <row r="102" spans="1:9" ht="15" hidden="1" customHeight="1" outlineLevel="1">
      <c r="B102" s="260"/>
      <c r="C102" s="260"/>
      <c r="D102" s="283">
        <f t="shared" si="43"/>
        <v>2.0463630789890888E-14</v>
      </c>
      <c r="E102" s="283">
        <f t="shared" si="43"/>
        <v>1.637090463191271E-13</v>
      </c>
      <c r="F102" s="283">
        <f t="shared" si="43"/>
        <v>1940.1154414543435</v>
      </c>
      <c r="G102" s="283">
        <f t="shared" si="43"/>
        <v>3659.1178691191758</v>
      </c>
      <c r="H102" s="283">
        <f t="shared" si="43"/>
        <v>11368.464270128014</v>
      </c>
      <c r="I102" s="283">
        <f t="shared" si="44"/>
        <v>22607.573786431873</v>
      </c>
    </row>
    <row r="103" spans="1:9" ht="15" hidden="1" customHeight="1" outlineLevel="1">
      <c r="B103" s="260"/>
      <c r="C103" s="260"/>
      <c r="D103" s="283">
        <f t="shared" si="43"/>
        <v>2.0463630789890888E-14</v>
      </c>
      <c r="E103" s="283">
        <f t="shared" si="43"/>
        <v>1.637090463191271E-13</v>
      </c>
      <c r="F103" s="283">
        <f t="shared" si="43"/>
        <v>1728.0265552216256</v>
      </c>
      <c r="G103" s="283">
        <f t="shared" si="43"/>
        <v>3255.5847264746112</v>
      </c>
      <c r="H103" s="283">
        <f t="shared" si="43"/>
        <v>10039.274860912632</v>
      </c>
      <c r="I103" s="283">
        <f t="shared" si="44"/>
        <v>19939.827107433663</v>
      </c>
    </row>
    <row r="104" spans="1:9" ht="15" hidden="1" customHeight="1" outlineLevel="1">
      <c r="B104" s="260"/>
      <c r="C104" s="260"/>
      <c r="D104" s="283">
        <f t="shared" si="43"/>
        <v>2.0463630789890888E-14</v>
      </c>
      <c r="E104" s="283">
        <f t="shared" si="43"/>
        <v>1.637090463191271E-13</v>
      </c>
      <c r="F104" s="283">
        <f t="shared" si="43"/>
        <v>1497.2476422032964</v>
      </c>
      <c r="G104" s="283">
        <f t="shared" si="43"/>
        <v>2817.6465982626423</v>
      </c>
      <c r="H104" s="283">
        <f t="shared" si="43"/>
        <v>8622.1552837689542</v>
      </c>
      <c r="I104" s="283">
        <f t="shared" si="44"/>
        <v>17103.661192335156</v>
      </c>
    </row>
    <row r="105" spans="1:9" ht="15" hidden="1" customHeight="1" outlineLevel="1">
      <c r="B105" s="260"/>
      <c r="C105" s="260"/>
      <c r="D105" s="283">
        <f t="shared" si="43"/>
        <v>2.0463630789890888E-14</v>
      </c>
      <c r="E105" s="283">
        <f t="shared" si="43"/>
        <v>1.637090463191271E-13</v>
      </c>
      <c r="F105" s="283">
        <f t="shared" si="43"/>
        <v>1246.1316707823219</v>
      </c>
      <c r="G105" s="283">
        <f t="shared" si="43"/>
        <v>2342.3701367435133</v>
      </c>
      <c r="H105" s="283">
        <f t="shared" si="43"/>
        <v>7111.2886743898362</v>
      </c>
      <c r="I105" s="283">
        <f t="shared" si="44"/>
        <v>14088.443457723572</v>
      </c>
    </row>
    <row r="106" spans="1:9" ht="15" hidden="1" customHeight="1" outlineLevel="1">
      <c r="B106" s="260"/>
      <c r="C106" s="260"/>
      <c r="D106" s="283">
        <f t="shared" si="43"/>
        <v>2.0463630789890888E-14</v>
      </c>
      <c r="E106" s="283">
        <f t="shared" si="43"/>
        <v>1.637090463191271E-13</v>
      </c>
      <c r="F106" s="283">
        <f t="shared" si="43"/>
        <v>972.88646705917483</v>
      </c>
      <c r="G106" s="283">
        <f t="shared" si="43"/>
        <v>1826.571898767734</v>
      </c>
      <c r="H106" s="283">
        <f t="shared" si="43"/>
        <v>5500.4733641266348</v>
      </c>
      <c r="I106" s="283">
        <f t="shared" si="44"/>
        <v>10882.870067705437</v>
      </c>
    </row>
    <row r="107" spans="1:9" ht="15" hidden="1" customHeight="1" outlineLevel="1">
      <c r="B107" s="260"/>
      <c r="C107" s="260"/>
      <c r="D107" s="283">
        <f t="shared" si="43"/>
        <v>2.0463630789890888E-14</v>
      </c>
      <c r="E107" s="283">
        <f t="shared" si="43"/>
        <v>1.637090463191271E-13</v>
      </c>
      <c r="F107" s="283">
        <f t="shared" si="43"/>
        <v>675.56192439781603</v>
      </c>
      <c r="G107" s="283">
        <f t="shared" si="43"/>
        <v>1266.7970227964977</v>
      </c>
      <c r="H107" s="283">
        <f t="shared" si="43"/>
        <v>3783.0974239404754</v>
      </c>
      <c r="I107" s="283">
        <f t="shared" si="44"/>
        <v>7474.9235566333091</v>
      </c>
    </row>
    <row r="108" spans="1:9" ht="15" hidden="1" customHeight="1" outlineLevel="1">
      <c r="B108" s="260"/>
      <c r="C108" s="260"/>
      <c r="D108" s="283">
        <f t="shared" si="43"/>
        <v>2.0463630789890888E-14</v>
      </c>
      <c r="E108" s="283">
        <f t="shared" si="43"/>
        <v>1.637090463191271E-13</v>
      </c>
      <c r="F108" s="283">
        <f t="shared" si="43"/>
        <v>352.036085831386</v>
      </c>
      <c r="G108" s="283">
        <f t="shared" si="43"/>
        <v>659.29608793807495</v>
      </c>
      <c r="H108" s="283">
        <f t="shared" si="43"/>
        <v>1952.1115243537779</v>
      </c>
      <c r="I108" s="283">
        <f t="shared" si="44"/>
        <v>3851.8277764855361</v>
      </c>
    </row>
    <row r="109" spans="1:9" ht="15" hidden="1" customHeight="1" outlineLevel="1">
      <c r="A109" s="260"/>
      <c r="B109" s="260"/>
      <c r="C109" s="260"/>
      <c r="D109" s="260"/>
      <c r="E109" s="260"/>
      <c r="F109" s="260"/>
      <c r="G109" s="260"/>
      <c r="H109" s="260"/>
      <c r="I109" s="260"/>
    </row>
    <row r="110" spans="1:9" collapsed="1">
      <c r="A110" s="260"/>
      <c r="B110" s="2" t="s">
        <v>37</v>
      </c>
      <c r="C110" s="2"/>
      <c r="D110" s="25">
        <f t="shared" ref="D110:I110" si="45">SUM(D97:D109)</f>
        <v>67.500000000000171</v>
      </c>
      <c r="E110" s="25">
        <f t="shared" si="45"/>
        <v>562.50000000000136</v>
      </c>
      <c r="F110" s="25">
        <f t="shared" si="45"/>
        <v>20739.127272676968</v>
      </c>
      <c r="G110" s="25">
        <f t="shared" si="45"/>
        <v>39149.56482799237</v>
      </c>
      <c r="H110" s="25">
        <f t="shared" si="45"/>
        <v>122443.00754007859</v>
      </c>
      <c r="I110" s="25">
        <f t="shared" si="45"/>
        <v>243776.31878899867</v>
      </c>
    </row>
    <row r="111" spans="1:9" ht="4" customHeight="1">
      <c r="A111" s="260"/>
      <c r="B111" s="8"/>
      <c r="C111" s="273"/>
      <c r="D111" s="260"/>
      <c r="E111" s="260"/>
      <c r="F111" s="260"/>
      <c r="G111" s="260"/>
      <c r="H111" s="260"/>
      <c r="I111" s="260"/>
    </row>
    <row r="112" spans="1:9">
      <c r="A112" s="260"/>
      <c r="B112" s="8" t="s">
        <v>39</v>
      </c>
      <c r="C112" s="273"/>
      <c r="D112" s="278">
        <f t="shared" ref="D112:I112" si="46">D4</f>
        <v>0.17999999999999994</v>
      </c>
      <c r="E112" s="278">
        <f t="shared" si="46"/>
        <v>0.17999999999999994</v>
      </c>
      <c r="F112" s="278">
        <f t="shared" si="46"/>
        <v>8.8123555729852698E-2</v>
      </c>
      <c r="G112" s="278">
        <f t="shared" si="46"/>
        <v>8.5259380039840502E-2</v>
      </c>
      <c r="H112" s="278">
        <f t="shared" si="46"/>
        <v>6.6153226409019689E-2</v>
      </c>
      <c r="I112" s="278">
        <f t="shared" si="46"/>
        <v>6.3131644929473762E-2</v>
      </c>
    </row>
    <row r="113" spans="1:9">
      <c r="A113" s="260"/>
      <c r="B113" s="260" t="s">
        <v>40</v>
      </c>
      <c r="C113" s="273"/>
      <c r="D113" s="284">
        <f t="shared" ref="D113:I113" si="47">ROUND(D6,0)</f>
        <v>1</v>
      </c>
      <c r="E113" s="284">
        <f t="shared" si="47"/>
        <v>1</v>
      </c>
      <c r="F113" s="284">
        <f t="shared" si="47"/>
        <v>12</v>
      </c>
      <c r="G113" s="284">
        <f t="shared" si="47"/>
        <v>12</v>
      </c>
      <c r="H113" s="284">
        <f t="shared" si="47"/>
        <v>12</v>
      </c>
      <c r="I113" s="284">
        <f t="shared" si="47"/>
        <v>12</v>
      </c>
    </row>
    <row r="114" spans="1:9">
      <c r="A114" s="260"/>
      <c r="B114" s="260" t="s">
        <v>41</v>
      </c>
      <c r="C114" s="260"/>
      <c r="D114" s="285">
        <f t="shared" ref="D114:I114" si="48">D17+D13</f>
        <v>6000</v>
      </c>
      <c r="E114" s="285">
        <f t="shared" si="48"/>
        <v>50000</v>
      </c>
      <c r="F114" s="285">
        <f t="shared" si="48"/>
        <v>246142.17346831577</v>
      </c>
      <c r="G114" s="285">
        <f t="shared" si="48"/>
        <v>466508.40336322115</v>
      </c>
      <c r="H114" s="285">
        <f t="shared" si="48"/>
        <v>1500000</v>
      </c>
      <c r="I114" s="285">
        <f t="shared" si="48"/>
        <v>3000000</v>
      </c>
    </row>
    <row r="115" spans="1:9" hidden="1" outlineLevel="1">
      <c r="A115" s="753" t="s">
        <v>21</v>
      </c>
      <c r="B115" s="7" t="s">
        <v>22</v>
      </c>
      <c r="C115" s="260">
        <v>1</v>
      </c>
      <c r="D115" s="286">
        <f>IFERROR(IPMT(D$112,$C115,D$113,D$114),0)*Assumption_Sheet!$C82</f>
        <v>-1047.5660385087665</v>
      </c>
      <c r="E115" s="286">
        <f>IFERROR(IPMT(E$112,$C115,E$113,E$114),0)*Assumption_Sheet!$C82</f>
        <v>-8729.7169875730542</v>
      </c>
      <c r="F115" s="286">
        <f>IFERROR(IPMT(F$112,$C115,F$113,F$114),0)*Assumption_Sheet!$C82</f>
        <v>-21039.513745878685</v>
      </c>
      <c r="G115" s="286">
        <f>IFERROR(IPMT(G$112,$C115,G$113,G$114),0)*Assumption_Sheet!$C82</f>
        <v>-38579.740003416489</v>
      </c>
      <c r="H115" s="286">
        <f>IFERROR(IPMT(H$112,$C115,H$113,H$114),0)*Assumption_Sheet!$C82</f>
        <v>-96249.824060930972</v>
      </c>
      <c r="I115" s="286">
        <f>IFERROR(IPMT(I$112,$C115,I$113,I$114),0)*Assumption_Sheet!$C82</f>
        <v>-183707.13106475255</v>
      </c>
    </row>
    <row r="116" spans="1:9" hidden="1" outlineLevel="1">
      <c r="A116" s="753"/>
      <c r="B116" s="7" t="s">
        <v>23</v>
      </c>
      <c r="C116" s="260">
        <v>2</v>
      </c>
      <c r="D116" s="286">
        <f>IFERROR(IPMT(D$112,$C116,D$113,D$114),0)*Assumption_Sheet!$C83</f>
        <v>0</v>
      </c>
      <c r="E116" s="286">
        <f>IFERROR(IPMT(E$112,$C116,E$113,E$114),0)*Assumption_Sheet!$C83</f>
        <v>0</v>
      </c>
      <c r="F116" s="286">
        <f>IFERROR(IPMT(F$112,$C116,F$113,F$114),0)*Assumption_Sheet!$C83</f>
        <v>-19345.62381914202</v>
      </c>
      <c r="G116" s="286">
        <f>IFERROR(IPMT(G$112,$C116,G$113,G$114),0)*Assumption_Sheet!$C83</f>
        <v>-35441.411492395186</v>
      </c>
      <c r="H116" s="286">
        <f>IFERROR(IPMT(H$112,$C116,H$113,H$114),0)*Assumption_Sheet!$C83</f>
        <v>-87851.266609722763</v>
      </c>
      <c r="I116" s="286">
        <f>IFERROR(IPMT(I$112,$C116,I$113,I$114),0)*Assumption_Sheet!$C83</f>
        <v>-167495.54802346264</v>
      </c>
    </row>
    <row r="117" spans="1:9" hidden="1" outlineLevel="1">
      <c r="A117" s="753"/>
      <c r="B117" s="7" t="s">
        <v>24</v>
      </c>
      <c r="C117" s="260">
        <v>3</v>
      </c>
      <c r="D117" s="286">
        <f>IFERROR(IPMT(D$112,$C117,D$113,D$114),0)*Assumption_Sheet!$C84</f>
        <v>0</v>
      </c>
      <c r="E117" s="286">
        <f>IFERROR(IPMT(E$112,$C117,E$113,E$114),0)*Assumption_Sheet!$C84</f>
        <v>0</v>
      </c>
      <c r="F117" s="286">
        <f>IFERROR(IPMT(F$112,$C117,F$113,F$114),0)*Assumption_Sheet!$C84</f>
        <v>-17275.712913569692</v>
      </c>
      <c r="G117" s="286">
        <f>IFERROR(IPMT(G$112,$C117,G$113,G$114),0)*Assumption_Sheet!$C84</f>
        <v>-31619.451113145584</v>
      </c>
      <c r="H117" s="286">
        <f>IFERROR(IPMT(H$112,$C117,H$113,H$114),0)*Assumption_Sheet!$C84</f>
        <v>-77857.389501822094</v>
      </c>
      <c r="I117" s="286">
        <f>IFERROR(IPMT(I$112,$C117,I$113,I$114),0)*Assumption_Sheet!$C84</f>
        <v>-148276.38053087055</v>
      </c>
    </row>
    <row r="118" spans="1:9" hidden="1" outlineLevel="1">
      <c r="A118" s="753"/>
      <c r="B118" s="7" t="s">
        <v>25</v>
      </c>
      <c r="C118" s="260">
        <v>4</v>
      </c>
      <c r="D118" s="286">
        <f>IFERROR(IPMT(D$112,$C118,D$113,D$114),0)*Assumption_Sheet!$C85</f>
        <v>0</v>
      </c>
      <c r="E118" s="286">
        <f>IFERROR(IPMT(E$112,$C118,E$113,E$114),0)*Assumption_Sheet!$C85</f>
        <v>0</v>
      </c>
      <c r="F118" s="286">
        <f>IFERROR(IPMT(F$112,$C118,F$113,F$114),0)*Assumption_Sheet!$C85</f>
        <v>-14945.350144273094</v>
      </c>
      <c r="G118" s="286">
        <f>IFERROR(IPMT(G$112,$C118,G$113,G$114),0)*Assumption_Sheet!$C85</f>
        <v>-27327.488060631847</v>
      </c>
      <c r="H118" s="286">
        <f>IFERROR(IPMT(H$112,$C118,H$113,H$114),0)*Assumption_Sheet!$C85</f>
        <v>-66828.983186994679</v>
      </c>
      <c r="I118" s="286">
        <f>IFERROR(IPMT(I$112,$C118,I$113,I$114),0)*Assumption_Sheet!$C85</f>
        <v>-127128.08805173983</v>
      </c>
    </row>
    <row r="119" spans="1:9" hidden="1" outlineLevel="1">
      <c r="A119" s="753"/>
      <c r="B119" s="7" t="s">
        <v>26</v>
      </c>
      <c r="C119" s="260">
        <v>5</v>
      </c>
      <c r="D119" s="286">
        <f>IFERROR(IPMT(D$112,$C119,D$113,D$114),0)*Assumption_Sheet!$C86</f>
        <v>0</v>
      </c>
      <c r="E119" s="286">
        <f>IFERROR(IPMT(E$112,$C119,E$113,E$114),0)*Assumption_Sheet!$C86</f>
        <v>0</v>
      </c>
      <c r="F119" s="286">
        <f>IFERROR(IPMT(F$112,$C119,F$113,F$114),0)*Assumption_Sheet!$C86</f>
        <v>-12614.503288628097</v>
      </c>
      <c r="G119" s="286">
        <f>IFERROR(IPMT(G$112,$C119,G$113,G$114),0)*Assumption_Sheet!$C86</f>
        <v>-23042.205423830012</v>
      </c>
      <c r="H119" s="286">
        <f>IFERROR(IPMT(H$112,$C119,H$113,H$114),0)*Assumption_Sheet!$C86</f>
        <v>-55952.44141654158</v>
      </c>
      <c r="I119" s="286">
        <f>IFERROR(IPMT(I$112,$C119,I$113,I$114),0)*Assumption_Sheet!$C86</f>
        <v>-106313.33985823972</v>
      </c>
    </row>
    <row r="120" spans="1:9" hidden="1" outlineLevel="1">
      <c r="A120" s="753"/>
      <c r="B120" s="7" t="s">
        <v>27</v>
      </c>
      <c r="C120" s="260">
        <v>6</v>
      </c>
      <c r="D120" s="286">
        <f>IFERROR(IPMT(D$112,$C120,D$113,D$114),0)*Assumption_Sheet!$C87</f>
        <v>0</v>
      </c>
      <c r="E120" s="286">
        <f>IFERROR(IPMT(E$112,$C120,E$113,E$114),0)*Assumption_Sheet!$C87</f>
        <v>0</v>
      </c>
      <c r="F120" s="286">
        <f>IFERROR(IPMT(F$112,$C120,F$113,F$114),0)*Assumption_Sheet!$C87</f>
        <v>-10287.590976416448</v>
      </c>
      <c r="G120" s="286">
        <f>IFERROR(IPMT(G$112,$C120,G$113,G$114),0)*Assumption_Sheet!$C87</f>
        <v>-18772.09200180789</v>
      </c>
      <c r="H120" s="286">
        <f>IFERROR(IPMT(H$112,$C120,H$113,H$114),0)*Assumption_Sheet!$C87</f>
        <v>-45252.954172177684</v>
      </c>
      <c r="I120" s="286">
        <f>IFERROR(IPMT(I$112,$C120,I$113,I$114),0)*Assumption_Sheet!$C87</f>
        <v>-85880.619086824852</v>
      </c>
    </row>
    <row r="121" spans="1:9" hidden="1" outlineLevel="1">
      <c r="A121" s="753"/>
      <c r="B121" s="7" t="s">
        <v>28</v>
      </c>
      <c r="C121" s="260">
        <v>7</v>
      </c>
      <c r="D121" s="286">
        <f>IFERROR(IPMT(D$112,$C121,D$113,D$114),0)*Assumption_Sheet!$C88</f>
        <v>0</v>
      </c>
      <c r="E121" s="286">
        <f>IFERROR(IPMT(E$112,$C121,E$113,E$114),0)*Assumption_Sheet!$C88</f>
        <v>0</v>
      </c>
      <c r="F121" s="286">
        <f>IFERROR(IPMT(F$112,$C121,F$113,F$114),0)*Assumption_Sheet!$C88</f>
        <v>-8285.2867508466697</v>
      </c>
      <c r="G121" s="286">
        <f>IFERROR(IPMT(G$112,$C121,G$113,G$114),0)*Assumption_Sheet!$C88</f>
        <v>-15102.063498875495</v>
      </c>
      <c r="H121" s="286">
        <f>IFERROR(IPMT(H$112,$C121,H$113,H$114),0)*Assumption_Sheet!$C88</f>
        <v>-36134.204191619145</v>
      </c>
      <c r="I121" s="286">
        <f>IFERROR(IPMT(I$112,$C121,I$113,I$114),0)*Assumption_Sheet!$C88</f>
        <v>-68491.016676470303</v>
      </c>
    </row>
    <row r="122" spans="1:9" hidden="1" outlineLevel="1">
      <c r="A122" s="753"/>
      <c r="B122" s="7" t="s">
        <v>29</v>
      </c>
      <c r="C122" s="260">
        <v>8</v>
      </c>
      <c r="D122" s="286">
        <f>IFERROR(IPMT(D$112,$C122,D$113,D$114),0)*Assumption_Sheet!$C89</f>
        <v>0</v>
      </c>
      <c r="E122" s="286">
        <f>IFERROR(IPMT(E$112,$C122,E$113,E$114),0)*Assumption_Sheet!$C89</f>
        <v>0</v>
      </c>
      <c r="F122" s="286">
        <f>IFERROR(IPMT(F$112,$C122,F$113,F$114),0)*Assumption_Sheet!$C89</f>
        <v>-6453.4588731787189</v>
      </c>
      <c r="G122" s="286">
        <f>IFERROR(IPMT(G$112,$C122,G$113,G$114),0)*Assumption_Sheet!$C89</f>
        <v>-11749.938349922153</v>
      </c>
      <c r="H122" s="286">
        <f>IFERROR(IPMT(H$112,$C122,H$113,H$114),0)*Assumption_Sheet!$C89</f>
        <v>-27898.044779996937</v>
      </c>
      <c r="I122" s="286">
        <f>IFERROR(IPMT(I$112,$C122,I$113,I$114),0)*Assumption_Sheet!$C89</f>
        <v>-52813.273471487577</v>
      </c>
    </row>
    <row r="123" spans="1:9" hidden="1" outlineLevel="1">
      <c r="A123" s="753"/>
      <c r="B123" s="7" t="s">
        <v>30</v>
      </c>
      <c r="C123" s="260">
        <v>9</v>
      </c>
      <c r="D123" s="286">
        <f>IFERROR(IPMT(D$112,$C123,D$113,D$114),0)*Assumption_Sheet!$C90</f>
        <v>0</v>
      </c>
      <c r="E123" s="286">
        <f>IFERROR(IPMT(E$112,$C123,E$113,E$114),0)*Assumption_Sheet!$C90</f>
        <v>0</v>
      </c>
      <c r="F123" s="286">
        <f>IFERROR(IPMT(F$112,$C123,F$113,F$114),0)*Assumption_Sheet!$C90</f>
        <v>-5039.7905195310641</v>
      </c>
      <c r="G123" s="286">
        <f>IFERROR(IPMT(G$112,$C123,G$113,G$114),0)*Assumption_Sheet!$C90</f>
        <v>-9165.4592720962301</v>
      </c>
      <c r="H123" s="286">
        <f>IFERROR(IPMT(H$112,$C123,H$113,H$114),0)*Assumption_Sheet!$C90</f>
        <v>-21590.160856409719</v>
      </c>
      <c r="I123" s="286">
        <f>IFERROR(IPMT(I$112,$C123,I$113,I$114),0)*Assumption_Sheet!$C90</f>
        <v>-40819.40383738558</v>
      </c>
    </row>
    <row r="124" spans="1:9" hidden="1" outlineLevel="1">
      <c r="A124" s="753"/>
      <c r="B124" s="7" t="s">
        <v>31</v>
      </c>
      <c r="C124" s="260">
        <v>10</v>
      </c>
      <c r="D124" s="286">
        <f>IFERROR(IPMT(D$112,$C124,D$113,D$114),0)*Assumption_Sheet!$C91</f>
        <v>0</v>
      </c>
      <c r="E124" s="286">
        <f>IFERROR(IPMT(E$112,$C124,E$113,E$114),0)*Assumption_Sheet!$C91</f>
        <v>0</v>
      </c>
      <c r="F124" s="286">
        <f>IFERROR(IPMT(F$112,$C124,F$113,F$114),0)*Assumption_Sheet!$C91</f>
        <v>-3679.2204535766546</v>
      </c>
      <c r="G124" s="286">
        <f>IFERROR(IPMT(G$112,$C124,G$113,G$114),0)*Assumption_Sheet!$C91</f>
        <v>-6683.1403006148794</v>
      </c>
      <c r="H124" s="286">
        <f>IFERROR(IPMT(H$112,$C124,H$113,H$114),0)*Assumption_Sheet!$C91</f>
        <v>-15615.386302147153</v>
      </c>
      <c r="I124" s="286">
        <f>IFERROR(IPMT(I$112,$C124,I$113,I$114),0)*Assumption_Sheet!$C91</f>
        <v>-29484.392609181403</v>
      </c>
    </row>
    <row r="125" spans="1:9" hidden="1" outlineLevel="1">
      <c r="A125" s="753" t="s">
        <v>32</v>
      </c>
      <c r="B125" s="7" t="s">
        <v>33</v>
      </c>
      <c r="C125" s="260">
        <v>11</v>
      </c>
      <c r="D125" s="286">
        <f>IFERROR(IPMT(D$112,$C125,D$113,D$114),0)*Assumption_Sheet!$C92</f>
        <v>0</v>
      </c>
      <c r="E125" s="286">
        <f>IFERROR(IPMT(E$112,$C125,E$113,E$114),0)*Assumption_Sheet!$C92</f>
        <v>0</v>
      </c>
      <c r="F125" s="286">
        <f>IFERROR(IPMT(F$112,$C125,F$113,F$114),0)*Assumption_Sheet!$C92</f>
        <v>-2554.8112077407181</v>
      </c>
      <c r="G125" s="286">
        <f>IFERROR(IPMT(G$112,$C125,G$113,G$114),0)*Assumption_Sheet!$C92</f>
        <v>-4635.0117624506256</v>
      </c>
      <c r="H125" s="286">
        <f>IFERROR(IPMT(H$112,$C125,H$113,H$114),0)*Assumption_Sheet!$C92</f>
        <v>-10739.898874661332</v>
      </c>
      <c r="I125" s="286">
        <f>IFERROR(IPMT(I$112,$C125,I$113,I$114),0)*Assumption_Sheet!$C92</f>
        <v>-20251.420764583592</v>
      </c>
    </row>
    <row r="126" spans="1:9" hidden="1" outlineLevel="1">
      <c r="A126" s="753"/>
      <c r="B126" s="7" t="s">
        <v>34</v>
      </c>
      <c r="C126" s="260">
        <v>12</v>
      </c>
      <c r="D126" s="286">
        <f>IFERROR(IPMT(D$112,$C126,D$113,D$114),0)*Assumption_Sheet!$C93</f>
        <v>0</v>
      </c>
      <c r="E126" s="286">
        <f>IFERROR(IPMT(E$112,$C126,E$113,E$114),0)*Assumption_Sheet!$C93</f>
        <v>0</v>
      </c>
      <c r="F126" s="286">
        <f>IFERROR(IPMT(F$112,$C126,F$113,F$114),0)*Assumption_Sheet!$C93</f>
        <v>-1331.3150210661961</v>
      </c>
      <c r="G126" s="286">
        <f>IFERROR(IPMT(G$112,$C126,G$113,G$114),0)*Assumption_Sheet!$C93</f>
        <v>-2412.2610548805819</v>
      </c>
      <c r="H126" s="286">
        <f>IFERROR(IPMT(H$112,$C126,H$113,H$114),0)*Assumption_Sheet!$C93</f>
        <v>-5541.8822235307152</v>
      </c>
      <c r="I126" s="286">
        <f>IFERROR(IPMT(I$112,$C126,I$113,I$114),0)*Assumption_Sheet!$C93</f>
        <v>-10435.556219848799</v>
      </c>
    </row>
    <row r="127" spans="1:9" hidden="1" outlineLevel="1">
      <c r="A127" s="753"/>
      <c r="B127" s="7" t="s">
        <v>22</v>
      </c>
      <c r="C127" s="260">
        <v>13</v>
      </c>
      <c r="D127" s="286">
        <f t="shared" ref="D127:I132" si="49">IFERROR(IPMT(D$112,$C127,D$113,D$114),0)</f>
        <v>0</v>
      </c>
      <c r="E127" s="286">
        <f t="shared" si="49"/>
        <v>0</v>
      </c>
      <c r="F127" s="286">
        <f t="shared" si="49"/>
        <v>0</v>
      </c>
      <c r="G127" s="286">
        <f t="shared" si="49"/>
        <v>0</v>
      </c>
      <c r="H127" s="286">
        <f t="shared" si="49"/>
        <v>0</v>
      </c>
      <c r="I127" s="286">
        <f t="shared" si="49"/>
        <v>0</v>
      </c>
    </row>
    <row r="128" spans="1:9" hidden="1" outlineLevel="1">
      <c r="A128" s="753"/>
      <c r="B128" s="7" t="s">
        <v>23</v>
      </c>
      <c r="C128" s="260">
        <v>14</v>
      </c>
      <c r="D128" s="286">
        <f t="shared" si="49"/>
        <v>0</v>
      </c>
      <c r="E128" s="286">
        <f t="shared" si="49"/>
        <v>0</v>
      </c>
      <c r="F128" s="286">
        <f t="shared" si="49"/>
        <v>0</v>
      </c>
      <c r="G128" s="286">
        <f t="shared" si="49"/>
        <v>0</v>
      </c>
      <c r="H128" s="286">
        <f t="shared" si="49"/>
        <v>0</v>
      </c>
      <c r="I128" s="286">
        <f t="shared" si="49"/>
        <v>0</v>
      </c>
    </row>
    <row r="129" spans="1:9" hidden="1" outlineLevel="1">
      <c r="A129" s="753"/>
      <c r="B129" s="7" t="s">
        <v>24</v>
      </c>
      <c r="C129" s="260">
        <v>15</v>
      </c>
      <c r="D129" s="286">
        <f t="shared" si="49"/>
        <v>0</v>
      </c>
      <c r="E129" s="286">
        <f t="shared" si="49"/>
        <v>0</v>
      </c>
      <c r="F129" s="286">
        <f t="shared" si="49"/>
        <v>0</v>
      </c>
      <c r="G129" s="286">
        <f t="shared" si="49"/>
        <v>0</v>
      </c>
      <c r="H129" s="286">
        <f t="shared" si="49"/>
        <v>0</v>
      </c>
      <c r="I129" s="286">
        <f t="shared" si="49"/>
        <v>0</v>
      </c>
    </row>
    <row r="130" spans="1:9" hidden="1" outlineLevel="1">
      <c r="A130" s="753"/>
      <c r="B130" s="7" t="s">
        <v>25</v>
      </c>
      <c r="C130" s="260">
        <v>16</v>
      </c>
      <c r="D130" s="286">
        <f t="shared" si="49"/>
        <v>0</v>
      </c>
      <c r="E130" s="286">
        <f t="shared" si="49"/>
        <v>0</v>
      </c>
      <c r="F130" s="286">
        <f t="shared" si="49"/>
        <v>0</v>
      </c>
      <c r="G130" s="286">
        <f t="shared" si="49"/>
        <v>0</v>
      </c>
      <c r="H130" s="286">
        <f t="shared" si="49"/>
        <v>0</v>
      </c>
      <c r="I130" s="286">
        <f t="shared" si="49"/>
        <v>0</v>
      </c>
    </row>
    <row r="131" spans="1:9" hidden="1" outlineLevel="1">
      <c r="A131" s="753"/>
      <c r="B131" s="7" t="s">
        <v>26</v>
      </c>
      <c r="C131" s="260">
        <v>17</v>
      </c>
      <c r="D131" s="286">
        <f t="shared" si="49"/>
        <v>0</v>
      </c>
      <c r="E131" s="286">
        <f t="shared" si="49"/>
        <v>0</v>
      </c>
      <c r="F131" s="286">
        <f t="shared" si="49"/>
        <v>0</v>
      </c>
      <c r="G131" s="286">
        <f t="shared" si="49"/>
        <v>0</v>
      </c>
      <c r="H131" s="286">
        <f t="shared" si="49"/>
        <v>0</v>
      </c>
      <c r="I131" s="286">
        <f t="shared" si="49"/>
        <v>0</v>
      </c>
    </row>
    <row r="132" spans="1:9" hidden="1" outlineLevel="1">
      <c r="A132" s="753"/>
      <c r="B132" s="7" t="s">
        <v>27</v>
      </c>
      <c r="C132" s="260">
        <v>18</v>
      </c>
      <c r="D132" s="286">
        <f t="shared" si="49"/>
        <v>0</v>
      </c>
      <c r="E132" s="286">
        <f t="shared" si="49"/>
        <v>0</v>
      </c>
      <c r="F132" s="286">
        <f t="shared" si="49"/>
        <v>0</v>
      </c>
      <c r="G132" s="286">
        <f t="shared" si="49"/>
        <v>0</v>
      </c>
      <c r="H132" s="286">
        <f t="shared" si="49"/>
        <v>0</v>
      </c>
      <c r="I132" s="286">
        <f t="shared" si="49"/>
        <v>0</v>
      </c>
    </row>
    <row r="133" spans="1:9" collapsed="1">
      <c r="A133" s="260"/>
      <c r="B133" s="260"/>
      <c r="C133" s="260"/>
      <c r="D133" s="260"/>
      <c r="E133" s="260"/>
      <c r="F133" s="260"/>
      <c r="G133" s="260"/>
      <c r="H133" s="260"/>
      <c r="I133" s="260"/>
    </row>
    <row r="134" spans="1:9" ht="18.5" hidden="1" customHeight="1">
      <c r="A134" s="260"/>
      <c r="B134" s="8" t="s">
        <v>42</v>
      </c>
      <c r="C134" s="8"/>
      <c r="D134" s="260"/>
      <c r="E134" s="260"/>
      <c r="F134" s="260"/>
      <c r="G134" s="260"/>
      <c r="H134" s="260"/>
      <c r="I134" s="260"/>
    </row>
    <row r="135" spans="1:9" ht="18.5" hidden="1" customHeight="1">
      <c r="A135" s="260"/>
      <c r="B135" s="260" t="s">
        <v>43</v>
      </c>
      <c r="C135" s="17">
        <v>6.4500000000000002E-2</v>
      </c>
      <c r="D135" s="17">
        <v>6.4500000000000002E-2</v>
      </c>
      <c r="E135" s="17">
        <v>6.4500000000000002E-2</v>
      </c>
      <c r="F135" s="17">
        <v>6.4500000000000002E-2</v>
      </c>
      <c r="G135" s="17">
        <v>6.4500000000000002E-2</v>
      </c>
      <c r="H135" s="17">
        <v>6.4500000000000002E-2</v>
      </c>
      <c r="I135" s="17">
        <v>1.0645</v>
      </c>
    </row>
    <row r="136" spans="1:9" ht="23" hidden="1" customHeight="1">
      <c r="A136" s="260"/>
      <c r="B136" s="260" t="s">
        <v>40</v>
      </c>
      <c r="C136" s="18">
        <v>7.9</v>
      </c>
      <c r="D136" s="18">
        <v>7.9</v>
      </c>
      <c r="E136" s="18">
        <v>7.9</v>
      </c>
      <c r="F136" s="18">
        <v>7.9</v>
      </c>
      <c r="G136" s="18">
        <v>7.9</v>
      </c>
      <c r="H136" s="18">
        <v>7.9</v>
      </c>
      <c r="I136" s="18">
        <v>8.9</v>
      </c>
    </row>
    <row r="137" spans="1:9" ht="15" hidden="1" customHeight="1">
      <c r="A137" s="260"/>
      <c r="B137" s="260" t="s">
        <v>41</v>
      </c>
      <c r="C137" s="260"/>
      <c r="D137" s="287" t="e">
        <f>#REF!+D18</f>
        <v>#REF!</v>
      </c>
      <c r="E137" s="287" t="e">
        <f>#REF!+E18</f>
        <v>#REF!</v>
      </c>
      <c r="F137" s="287" t="e">
        <f>#REF!+F18</f>
        <v>#REF!</v>
      </c>
      <c r="G137" s="287" t="e">
        <f>#REF!+G18</f>
        <v>#REF!</v>
      </c>
      <c r="H137" s="287" t="e">
        <f>#REF!+H18</f>
        <v>#REF!</v>
      </c>
      <c r="I137" s="287" t="e">
        <f>#REF!+I18</f>
        <v>#REF!</v>
      </c>
    </row>
    <row r="138" spans="1:9" hidden="1" outlineLevel="1">
      <c r="A138" s="753">
        <v>2016</v>
      </c>
      <c r="B138" s="7" t="s">
        <v>22</v>
      </c>
      <c r="C138" s="260">
        <v>1</v>
      </c>
      <c r="D138" s="286">
        <f>IFERROR(IPMT($D$4,C138,$D$6,$D$11),0)</f>
        <v>-1079.9999999999995</v>
      </c>
      <c r="E138" s="286">
        <f>IFERROR(IPMT($E$4,C138,$E$6,$E$11),0)</f>
        <v>-8999.9999999999964</v>
      </c>
      <c r="F138" s="286">
        <f>IFERROR(IPMT($F$4,C138,$F$6,$F$11),0)</f>
        <v>-21690.923541102195</v>
      </c>
      <c r="G138" s="286">
        <f>IFERROR(IPMT($G$4,C138,$G$6,$G$11),0)</f>
        <v>-39774.21725412408</v>
      </c>
      <c r="H138" s="286">
        <f>IFERROR(IPMT($H$4,C138,$H$6,$H$11),0)</f>
        <v>-99229.839613529533</v>
      </c>
      <c r="I138" s="286">
        <f>IFERROR(IPMT($I$4,C138,$I$6,$I$11),0)</f>
        <v>-189394.93478842129</v>
      </c>
    </row>
    <row r="139" spans="1:9" hidden="1" outlineLevel="1">
      <c r="A139" s="753"/>
      <c r="B139" s="7" t="s">
        <v>23</v>
      </c>
      <c r="C139" s="260">
        <v>2</v>
      </c>
      <c r="D139" s="286">
        <f t="shared" ref="D139:D161" si="50">IFERROR(IPMT($D$4,C139,$D$6,$D$11),0)</f>
        <v>0</v>
      </c>
      <c r="E139" s="286">
        <f t="shared" ref="E139:E161" si="51">IFERROR(IPMT($E$4,C139,$E$6,$E$11),0)</f>
        <v>0</v>
      </c>
      <c r="F139" s="286">
        <f t="shared" ref="F139:F161" si="52">IFERROR(IPMT($F$4,C139,$F$6,$F$11),0)</f>
        <v>-20601.827094089349</v>
      </c>
      <c r="G139" s="286">
        <f t="shared" ref="G139:G161" si="53">IFERROR(IPMT($G$4,C139,$G$6,$G$11),0)</f>
        <v>-37742.790739801501</v>
      </c>
      <c r="H139" s="286">
        <f t="shared" ref="H139:H161" si="54">IFERROR(IPMT($H$4,C139,$H$6,$H$11),0)</f>
        <v>-93555.86677434537</v>
      </c>
      <c r="I139" s="286">
        <f t="shared" ref="I139:I161" si="55">IFERROR(IPMT($I$4,C139,$I$6,$I$11),0)</f>
        <v>-178371.82980859574</v>
      </c>
    </row>
    <row r="140" spans="1:9" hidden="1" outlineLevel="1">
      <c r="A140" s="753"/>
      <c r="B140" s="7" t="s">
        <v>24</v>
      </c>
      <c r="C140" s="260">
        <v>3</v>
      </c>
      <c r="D140" s="286">
        <f t="shared" si="50"/>
        <v>0</v>
      </c>
      <c r="E140" s="286">
        <f t="shared" si="51"/>
        <v>0</v>
      </c>
      <c r="F140" s="286">
        <f t="shared" si="52"/>
        <v>-19416.755595632974</v>
      </c>
      <c r="G140" s="286">
        <f t="shared" si="53"/>
        <v>-35538.166060271287</v>
      </c>
      <c r="H140" s="286">
        <f t="shared" si="54"/>
        <v>-87506.542325292015</v>
      </c>
      <c r="I140" s="286">
        <f t="shared" si="55"/>
        <v>-166652.81807916347</v>
      </c>
    </row>
    <row r="141" spans="1:9" hidden="1" outlineLevel="1">
      <c r="A141" s="753"/>
      <c r="B141" s="7" t="s">
        <v>25</v>
      </c>
      <c r="C141" s="260">
        <v>4</v>
      </c>
      <c r="D141" s="286">
        <f t="shared" si="50"/>
        <v>0</v>
      </c>
      <c r="E141" s="286">
        <f t="shared" si="51"/>
        <v>0</v>
      </c>
      <c r="F141" s="286">
        <f t="shared" si="52"/>
        <v>-18127.251382938517</v>
      </c>
      <c r="G141" s="286">
        <f t="shared" si="53"/>
        <v>-33145.576447343796</v>
      </c>
      <c r="H141" s="286">
        <f t="shared" si="54"/>
        <v>-81057.035546338826</v>
      </c>
      <c r="I141" s="286">
        <f t="shared" si="55"/>
        <v>-154193.96586230432</v>
      </c>
    </row>
    <row r="142" spans="1:9" hidden="1" outlineLevel="1">
      <c r="A142" s="753"/>
      <c r="B142" s="7" t="s">
        <v>26</v>
      </c>
      <c r="C142" s="260">
        <v>5</v>
      </c>
      <c r="D142" s="286">
        <f t="shared" si="50"/>
        <v>0</v>
      </c>
      <c r="E142" s="286">
        <f t="shared" si="51"/>
        <v>0</v>
      </c>
      <c r="F142" s="286">
        <f t="shared" si="52"/>
        <v>-16724.111473892801</v>
      </c>
      <c r="G142" s="286">
        <f t="shared" si="53"/>
        <v>-30548.996127328348</v>
      </c>
      <c r="H142" s="286">
        <f t="shared" si="54"/>
        <v>-74180.873085211017</v>
      </c>
      <c r="I142" s="286">
        <f t="shared" si="55"/>
        <v>-140948.56581106171</v>
      </c>
    </row>
    <row r="143" spans="1:9" hidden="1" outlineLevel="1">
      <c r="A143" s="753"/>
      <c r="B143" s="7" t="s">
        <v>27</v>
      </c>
      <c r="C143" s="260">
        <v>6</v>
      </c>
      <c r="D143" s="286">
        <f t="shared" si="50"/>
        <v>0</v>
      </c>
      <c r="E143" s="286">
        <f t="shared" si="51"/>
        <v>0</v>
      </c>
      <c r="F143" s="286">
        <f t="shared" si="52"/>
        <v>-15197.321886875525</v>
      </c>
      <c r="G143" s="286">
        <f t="shared" si="53"/>
        <v>-27731.032979004733</v>
      </c>
      <c r="H143" s="286">
        <f t="shared" si="54"/>
        <v>-66849.830291967039</v>
      </c>
      <c r="I143" s="286">
        <f t="shared" si="55"/>
        <v>-126866.96186683518</v>
      </c>
    </row>
    <row r="144" spans="1:9" hidden="1" outlineLevel="1">
      <c r="A144" s="753"/>
      <c r="B144" s="7" t="s">
        <v>28</v>
      </c>
      <c r="C144" s="260">
        <v>7</v>
      </c>
      <c r="D144" s="286">
        <f t="shared" si="50"/>
        <v>0</v>
      </c>
      <c r="E144" s="286">
        <f t="shared" si="51"/>
        <v>0</v>
      </c>
      <c r="F144" s="286">
        <f t="shared" si="52"/>
        <v>-13535.986172598961</v>
      </c>
      <c r="G144" s="286">
        <f t="shared" si="53"/>
        <v>-24672.812039679913</v>
      </c>
      <c r="H144" s="286">
        <f t="shared" si="54"/>
        <v>-59033.815365007373</v>
      </c>
      <c r="I144" s="286">
        <f t="shared" si="55"/>
        <v>-111896.36310236425</v>
      </c>
    </row>
    <row r="145" spans="1:9" hidden="1" outlineLevel="1">
      <c r="A145" s="753"/>
      <c r="B145" s="7" t="s">
        <v>29</v>
      </c>
      <c r="C145" s="260">
        <v>8</v>
      </c>
      <c r="D145" s="286">
        <f t="shared" si="50"/>
        <v>0</v>
      </c>
      <c r="E145" s="286">
        <f t="shared" si="51"/>
        <v>0</v>
      </c>
      <c r="F145" s="286">
        <f t="shared" si="52"/>
        <v>-11728.247647919357</v>
      </c>
      <c r="G145" s="286">
        <f t="shared" si="53"/>
        <v>-21353.849079043415</v>
      </c>
      <c r="H145" s="286">
        <f t="shared" si="54"/>
        <v>-50700.745832968263</v>
      </c>
      <c r="I145" s="286">
        <f t="shared" si="55"/>
        <v>-95980.645812313131</v>
      </c>
    </row>
    <row r="146" spans="1:9" hidden="1" outlineLevel="1">
      <c r="A146" s="753"/>
      <c r="B146" s="7" t="s">
        <v>30</v>
      </c>
      <c r="C146" s="260">
        <v>9</v>
      </c>
      <c r="D146" s="286">
        <f t="shared" si="50"/>
        <v>0</v>
      </c>
      <c r="E146" s="286">
        <f t="shared" si="51"/>
        <v>0</v>
      </c>
      <c r="F146" s="286">
        <f t="shared" si="52"/>
        <v>-9761.2047766151481</v>
      </c>
      <c r="G146" s="286">
        <f t="shared" si="53"/>
        <v>-17751.913394007857</v>
      </c>
      <c r="H146" s="286">
        <f t="shared" si="54"/>
        <v>-41816.416865494073</v>
      </c>
      <c r="I146" s="286">
        <f t="shared" si="55"/>
        <v>-79060.14310950863</v>
      </c>
    </row>
    <row r="147" spans="1:9" hidden="1" outlineLevel="1">
      <c r="A147" s="753"/>
      <c r="B147" s="7" t="s">
        <v>31</v>
      </c>
      <c r="C147" s="260">
        <v>10</v>
      </c>
      <c r="D147" s="286">
        <f t="shared" si="50"/>
        <v>0</v>
      </c>
      <c r="E147" s="286">
        <f t="shared" si="51"/>
        <v>0</v>
      </c>
      <c r="F147" s="286">
        <f t="shared" si="52"/>
        <v>-7620.8190932185498</v>
      </c>
      <c r="G147" s="286">
        <f t="shared" si="53"/>
        <v>-13842.878905522783</v>
      </c>
      <c r="H147" s="286">
        <f t="shared" si="54"/>
        <v>-32344.360872342353</v>
      </c>
      <c r="I147" s="286">
        <f t="shared" si="55"/>
        <v>-61071.421238042465</v>
      </c>
    </row>
    <row r="148" spans="1:9" hidden="1" outlineLevel="1">
      <c r="A148" s="753">
        <v>2017</v>
      </c>
      <c r="B148" s="7" t="s">
        <v>33</v>
      </c>
      <c r="C148" s="260">
        <v>11</v>
      </c>
      <c r="D148" s="286">
        <f t="shared" si="50"/>
        <v>0</v>
      </c>
      <c r="E148" s="286">
        <f t="shared" si="51"/>
        <v>0</v>
      </c>
      <c r="F148" s="286">
        <f t="shared" si="52"/>
        <v>-5291.8150127677764</v>
      </c>
      <c r="G148" s="286">
        <f t="shared" si="53"/>
        <v>-9600.56255999512</v>
      </c>
      <c r="H148" s="286">
        <f t="shared" si="54"/>
        <v>-22245.697814516749</v>
      </c>
      <c r="I148" s="286">
        <f t="shared" si="55"/>
        <v>-41947.041764651847</v>
      </c>
    </row>
    <row r="149" spans="1:9" hidden="1" outlineLevel="1">
      <c r="A149" s="753"/>
      <c r="B149" s="7" t="s">
        <v>34</v>
      </c>
      <c r="C149" s="260">
        <v>12</v>
      </c>
      <c r="D149" s="286">
        <f t="shared" si="50"/>
        <v>0</v>
      </c>
      <c r="E149" s="286">
        <f t="shared" si="51"/>
        <v>0</v>
      </c>
      <c r="F149" s="286">
        <f t="shared" si="52"/>
        <v>-2757.5708114383428</v>
      </c>
      <c r="G149" s="286">
        <f t="shared" si="53"/>
        <v>-4996.5489529148845</v>
      </c>
      <c r="H149" s="286">
        <f t="shared" si="54"/>
        <v>-11478.975612998405</v>
      </c>
      <c r="I149" s="286">
        <f t="shared" si="55"/>
        <v>-21615.308756850605</v>
      </c>
    </row>
    <row r="150" spans="1:9" hidden="1" outlineLevel="1">
      <c r="A150" s="753"/>
      <c r="B150" s="7" t="s">
        <v>22</v>
      </c>
      <c r="C150" s="260">
        <v>13</v>
      </c>
      <c r="D150" s="286">
        <f t="shared" si="50"/>
        <v>0</v>
      </c>
      <c r="E150" s="286">
        <f t="shared" si="51"/>
        <v>0</v>
      </c>
      <c r="F150" s="286">
        <f t="shared" si="52"/>
        <v>0</v>
      </c>
      <c r="G150" s="286">
        <f t="shared" si="53"/>
        <v>0</v>
      </c>
      <c r="H150" s="286">
        <f t="shared" si="54"/>
        <v>0</v>
      </c>
      <c r="I150" s="286">
        <f t="shared" si="55"/>
        <v>0</v>
      </c>
    </row>
    <row r="151" spans="1:9" hidden="1" outlineLevel="1">
      <c r="A151" s="753"/>
      <c r="B151" s="7" t="s">
        <v>23</v>
      </c>
      <c r="C151" s="260">
        <v>14</v>
      </c>
      <c r="D151" s="286">
        <f t="shared" si="50"/>
        <v>0</v>
      </c>
      <c r="E151" s="286">
        <f t="shared" si="51"/>
        <v>0</v>
      </c>
      <c r="F151" s="286">
        <f t="shared" si="52"/>
        <v>0</v>
      </c>
      <c r="G151" s="286">
        <f t="shared" si="53"/>
        <v>0</v>
      </c>
      <c r="H151" s="286">
        <f t="shared" si="54"/>
        <v>0</v>
      </c>
      <c r="I151" s="286">
        <f t="shared" si="55"/>
        <v>0</v>
      </c>
    </row>
    <row r="152" spans="1:9" hidden="1" outlineLevel="1">
      <c r="A152" s="753"/>
      <c r="B152" s="7" t="s">
        <v>24</v>
      </c>
      <c r="C152" s="260">
        <v>15</v>
      </c>
      <c r="D152" s="286">
        <f t="shared" si="50"/>
        <v>0</v>
      </c>
      <c r="E152" s="286">
        <f t="shared" si="51"/>
        <v>0</v>
      </c>
      <c r="F152" s="286">
        <f t="shared" si="52"/>
        <v>0</v>
      </c>
      <c r="G152" s="286">
        <f t="shared" si="53"/>
        <v>0</v>
      </c>
      <c r="H152" s="286">
        <f t="shared" si="54"/>
        <v>0</v>
      </c>
      <c r="I152" s="286">
        <f t="shared" si="55"/>
        <v>0</v>
      </c>
    </row>
    <row r="153" spans="1:9" hidden="1" outlineLevel="1">
      <c r="A153" s="753"/>
      <c r="B153" s="7" t="s">
        <v>25</v>
      </c>
      <c r="C153" s="260">
        <v>16</v>
      </c>
      <c r="D153" s="286">
        <f t="shared" si="50"/>
        <v>0</v>
      </c>
      <c r="E153" s="286">
        <f t="shared" si="51"/>
        <v>0</v>
      </c>
      <c r="F153" s="286">
        <f t="shared" si="52"/>
        <v>0</v>
      </c>
      <c r="G153" s="286">
        <f t="shared" si="53"/>
        <v>0</v>
      </c>
      <c r="H153" s="286">
        <f t="shared" si="54"/>
        <v>0</v>
      </c>
      <c r="I153" s="286">
        <f t="shared" si="55"/>
        <v>0</v>
      </c>
    </row>
    <row r="154" spans="1:9" hidden="1" outlineLevel="1">
      <c r="A154" s="753"/>
      <c r="B154" s="7" t="s">
        <v>26</v>
      </c>
      <c r="C154" s="260">
        <v>17</v>
      </c>
      <c r="D154" s="286">
        <f t="shared" si="50"/>
        <v>0</v>
      </c>
      <c r="E154" s="286">
        <f t="shared" si="51"/>
        <v>0</v>
      </c>
      <c r="F154" s="286">
        <f t="shared" si="52"/>
        <v>0</v>
      </c>
      <c r="G154" s="286">
        <f t="shared" si="53"/>
        <v>0</v>
      </c>
      <c r="H154" s="286">
        <f t="shared" si="54"/>
        <v>0</v>
      </c>
      <c r="I154" s="286">
        <f t="shared" si="55"/>
        <v>0</v>
      </c>
    </row>
    <row r="155" spans="1:9" hidden="1" outlineLevel="1">
      <c r="A155" s="753"/>
      <c r="B155" s="7" t="s">
        <v>27</v>
      </c>
      <c r="C155" s="260">
        <v>18</v>
      </c>
      <c r="D155" s="286">
        <f t="shared" si="50"/>
        <v>0</v>
      </c>
      <c r="E155" s="286">
        <f t="shared" si="51"/>
        <v>0</v>
      </c>
      <c r="F155" s="286">
        <f t="shared" si="52"/>
        <v>0</v>
      </c>
      <c r="G155" s="286">
        <f t="shared" si="53"/>
        <v>0</v>
      </c>
      <c r="H155" s="286">
        <f t="shared" si="54"/>
        <v>0</v>
      </c>
      <c r="I155" s="286">
        <f t="shared" si="55"/>
        <v>0</v>
      </c>
    </row>
    <row r="156" spans="1:9" hidden="1" outlineLevel="1">
      <c r="A156" s="637"/>
      <c r="B156" s="566" t="s">
        <v>28</v>
      </c>
      <c r="C156" s="260">
        <v>19</v>
      </c>
      <c r="D156" s="286">
        <f t="shared" si="50"/>
        <v>0</v>
      </c>
      <c r="E156" s="286">
        <f t="shared" si="51"/>
        <v>0</v>
      </c>
      <c r="F156" s="286">
        <f t="shared" si="52"/>
        <v>0</v>
      </c>
      <c r="G156" s="286">
        <f t="shared" si="53"/>
        <v>0</v>
      </c>
      <c r="H156" s="286">
        <f t="shared" si="54"/>
        <v>0</v>
      </c>
      <c r="I156" s="286">
        <f t="shared" si="55"/>
        <v>0</v>
      </c>
    </row>
    <row r="157" spans="1:9" hidden="1" outlineLevel="1">
      <c r="A157" s="637"/>
      <c r="B157" s="566" t="s">
        <v>29</v>
      </c>
      <c r="C157" s="260">
        <v>20</v>
      </c>
      <c r="D157" s="286">
        <f t="shared" si="50"/>
        <v>0</v>
      </c>
      <c r="E157" s="286">
        <f t="shared" si="51"/>
        <v>0</v>
      </c>
      <c r="F157" s="286">
        <f t="shared" si="52"/>
        <v>0</v>
      </c>
      <c r="G157" s="286">
        <f t="shared" si="53"/>
        <v>0</v>
      </c>
      <c r="H157" s="286">
        <f t="shared" si="54"/>
        <v>0</v>
      </c>
      <c r="I157" s="286">
        <f t="shared" si="55"/>
        <v>0</v>
      </c>
    </row>
    <row r="158" spans="1:9" hidden="1" outlineLevel="1">
      <c r="A158" s="637"/>
      <c r="B158" s="566" t="s">
        <v>30</v>
      </c>
      <c r="C158" s="260">
        <v>21</v>
      </c>
      <c r="D158" s="286">
        <f t="shared" si="50"/>
        <v>0</v>
      </c>
      <c r="E158" s="286">
        <f t="shared" si="51"/>
        <v>0</v>
      </c>
      <c r="F158" s="286">
        <f t="shared" si="52"/>
        <v>0</v>
      </c>
      <c r="G158" s="286">
        <f t="shared" si="53"/>
        <v>0</v>
      </c>
      <c r="H158" s="286">
        <f t="shared" si="54"/>
        <v>0</v>
      </c>
      <c r="I158" s="286">
        <f t="shared" si="55"/>
        <v>0</v>
      </c>
    </row>
    <row r="159" spans="1:9" hidden="1" outlineLevel="1">
      <c r="A159" s="637"/>
      <c r="B159" s="566" t="s">
        <v>31</v>
      </c>
      <c r="C159" s="260">
        <v>22</v>
      </c>
      <c r="D159" s="286">
        <f t="shared" si="50"/>
        <v>0</v>
      </c>
      <c r="E159" s="286">
        <f t="shared" si="51"/>
        <v>0</v>
      </c>
      <c r="F159" s="286">
        <f t="shared" si="52"/>
        <v>0</v>
      </c>
      <c r="G159" s="286">
        <f t="shared" si="53"/>
        <v>0</v>
      </c>
      <c r="H159" s="286">
        <f t="shared" si="54"/>
        <v>0</v>
      </c>
      <c r="I159" s="286">
        <f t="shared" si="55"/>
        <v>0</v>
      </c>
    </row>
    <row r="160" spans="1:9" hidden="1" outlineLevel="1">
      <c r="A160" s="637"/>
      <c r="B160" s="566" t="s">
        <v>33</v>
      </c>
      <c r="C160" s="260">
        <v>23</v>
      </c>
      <c r="D160" s="286">
        <f t="shared" si="50"/>
        <v>0</v>
      </c>
      <c r="E160" s="286">
        <f t="shared" si="51"/>
        <v>0</v>
      </c>
      <c r="F160" s="286">
        <f t="shared" si="52"/>
        <v>0</v>
      </c>
      <c r="G160" s="286">
        <f t="shared" si="53"/>
        <v>0</v>
      </c>
      <c r="H160" s="286">
        <f t="shared" si="54"/>
        <v>0</v>
      </c>
      <c r="I160" s="286">
        <f t="shared" si="55"/>
        <v>0</v>
      </c>
    </row>
    <row r="161" spans="1:9" hidden="1" outlineLevel="1">
      <c r="A161" s="637"/>
      <c r="B161" s="566" t="s">
        <v>34</v>
      </c>
      <c r="C161" s="260">
        <v>24</v>
      </c>
      <c r="D161" s="286">
        <f t="shared" si="50"/>
        <v>0</v>
      </c>
      <c r="E161" s="286">
        <f t="shared" si="51"/>
        <v>0</v>
      </c>
      <c r="F161" s="286">
        <f t="shared" si="52"/>
        <v>0</v>
      </c>
      <c r="G161" s="286">
        <f t="shared" si="53"/>
        <v>0</v>
      </c>
      <c r="H161" s="286">
        <f t="shared" si="54"/>
        <v>0</v>
      </c>
      <c r="I161" s="286">
        <f t="shared" si="55"/>
        <v>0</v>
      </c>
    </row>
    <row r="162" spans="1:9" collapsed="1">
      <c r="A162" s="260"/>
      <c r="B162" s="260"/>
      <c r="C162" s="260"/>
      <c r="D162" s="260"/>
      <c r="E162" s="260"/>
      <c r="F162" s="260"/>
      <c r="G162" s="260"/>
      <c r="H162" s="260"/>
      <c r="I162" s="260"/>
    </row>
    <row r="163" spans="1:9">
      <c r="A163" s="260"/>
      <c r="B163" s="288"/>
      <c r="C163" s="288"/>
      <c r="D163" s="288"/>
      <c r="E163" s="288"/>
      <c r="F163" s="288"/>
      <c r="G163" s="288"/>
      <c r="H163" s="288"/>
      <c r="I163" s="288"/>
    </row>
    <row r="164" spans="1:9">
      <c r="A164" s="260"/>
      <c r="B164" s="2" t="s">
        <v>44</v>
      </c>
      <c r="C164" s="260"/>
      <c r="D164" s="260"/>
      <c r="E164" s="260"/>
      <c r="F164" s="260"/>
      <c r="G164" s="260"/>
      <c r="H164" s="260"/>
      <c r="I164" s="260"/>
    </row>
    <row r="165" spans="1:9">
      <c r="A165" s="260"/>
      <c r="B165" s="260" t="s">
        <v>45</v>
      </c>
      <c r="C165" s="260"/>
      <c r="D165" s="277">
        <f>(-PMT(D4,D6,D11,0))*D6-D11</f>
        <v>1079.9999999999982</v>
      </c>
      <c r="E165" s="277">
        <f t="shared" ref="E165:I165" si="56">(-PMT(E4,E6,E11,0))*E6-E11</f>
        <v>8999.9999999999854</v>
      </c>
      <c r="F165" s="277">
        <f t="shared" si="56"/>
        <v>162453.83448908947</v>
      </c>
      <c r="G165" s="277">
        <f t="shared" si="56"/>
        <v>296699.34453903761</v>
      </c>
      <c r="H165" s="277">
        <f t="shared" si="56"/>
        <v>720000.00000001164</v>
      </c>
      <c r="I165" s="277">
        <f t="shared" si="56"/>
        <v>1368000.0000001136</v>
      </c>
    </row>
    <row r="166" spans="1:9">
      <c r="A166" s="260"/>
      <c r="B166" s="260" t="s">
        <v>12</v>
      </c>
      <c r="C166" s="260"/>
      <c r="D166" s="277">
        <f>-D8*(D13)-(D8*D165)</f>
        <v>-387.67247999999995</v>
      </c>
      <c r="E166" s="277">
        <f>-E8*(E13)-(E8*E165)</f>
        <v>-3230.6039999999994</v>
      </c>
      <c r="F166" s="277">
        <f t="shared" ref="F166:I166" si="57">-F8*(F13)</f>
        <v>-11519.453718317178</v>
      </c>
      <c r="G166" s="277">
        <f t="shared" si="57"/>
        <v>-11196.201680717308</v>
      </c>
      <c r="H166" s="277">
        <f t="shared" si="57"/>
        <v>-28799.999999999996</v>
      </c>
      <c r="I166" s="277">
        <f t="shared" si="57"/>
        <v>-82800</v>
      </c>
    </row>
    <row r="167" spans="1:9">
      <c r="A167" s="260"/>
      <c r="B167" s="23" t="s">
        <v>46</v>
      </c>
      <c r="C167" s="23"/>
      <c r="D167" s="20">
        <f t="shared" ref="D167:I167" si="58">SUM(D165:D166)</f>
        <v>692.32751999999823</v>
      </c>
      <c r="E167" s="20">
        <f t="shared" si="58"/>
        <v>5769.3959999999861</v>
      </c>
      <c r="F167" s="20">
        <f t="shared" si="58"/>
        <v>150934.38077077229</v>
      </c>
      <c r="G167" s="20">
        <f t="shared" si="58"/>
        <v>285503.14285832032</v>
      </c>
      <c r="H167" s="20">
        <f t="shared" si="58"/>
        <v>691200.00000001164</v>
      </c>
      <c r="I167" s="20">
        <f t="shared" si="58"/>
        <v>1285200.0000001136</v>
      </c>
    </row>
    <row r="168" spans="1:9" ht="4" customHeight="1">
      <c r="A168" s="260"/>
      <c r="B168" s="2"/>
      <c r="C168" s="2"/>
      <c r="D168" s="21"/>
      <c r="E168" s="21"/>
      <c r="F168" s="21"/>
      <c r="G168" s="21"/>
      <c r="H168" s="21"/>
      <c r="I168" s="21"/>
    </row>
    <row r="169" spans="1:9">
      <c r="A169" s="260"/>
      <c r="B169" s="2" t="s">
        <v>47</v>
      </c>
      <c r="C169" s="2"/>
      <c r="D169" s="21"/>
      <c r="E169" s="21"/>
      <c r="F169" s="21"/>
      <c r="G169" s="21"/>
      <c r="H169" s="21"/>
      <c r="I169" s="21"/>
    </row>
    <row r="170" spans="1:9">
      <c r="A170" s="260"/>
      <c r="B170" s="260" t="s">
        <v>37</v>
      </c>
      <c r="C170" s="260"/>
      <c r="D170" s="277">
        <f t="shared" ref="D170:I170" si="59">-D110</f>
        <v>-67.500000000000171</v>
      </c>
      <c r="E170" s="277">
        <f t="shared" si="59"/>
        <v>-562.50000000000136</v>
      </c>
      <c r="F170" s="277">
        <f t="shared" si="59"/>
        <v>-20739.127272676968</v>
      </c>
      <c r="G170" s="277">
        <f t="shared" si="59"/>
        <v>-39149.56482799237</v>
      </c>
      <c r="H170" s="277">
        <f t="shared" si="59"/>
        <v>-122443.00754007859</v>
      </c>
      <c r="I170" s="277">
        <f t="shared" si="59"/>
        <v>-243776.31878899867</v>
      </c>
    </row>
    <row r="171" spans="1:9">
      <c r="A171" s="260"/>
      <c r="B171" s="487" t="s">
        <v>408</v>
      </c>
      <c r="C171" s="66">
        <v>0</v>
      </c>
      <c r="D171" s="277">
        <f>-C171*D6</f>
        <v>0</v>
      </c>
      <c r="E171" s="277">
        <f>-C171*E6</f>
        <v>0</v>
      </c>
      <c r="F171" s="277">
        <f>-C171*F6</f>
        <v>0</v>
      </c>
      <c r="G171" s="277">
        <f>-C171*G6</f>
        <v>0</v>
      </c>
      <c r="H171" s="277">
        <f>-C171*H6</f>
        <v>0</v>
      </c>
      <c r="I171" s="277">
        <f>-C171*I6</f>
        <v>0</v>
      </c>
    </row>
    <row r="172" spans="1:9">
      <c r="A172" s="260"/>
      <c r="B172" s="10" t="s">
        <v>48</v>
      </c>
      <c r="C172" s="66">
        <v>5.5</v>
      </c>
      <c r="D172" s="277">
        <f t="shared" ref="D172:I172" si="60">-$C172*D10</f>
        <v>-5.5</v>
      </c>
      <c r="E172" s="277">
        <f t="shared" si="60"/>
        <v>-5.5</v>
      </c>
      <c r="F172" s="277">
        <f t="shared" si="60"/>
        <v>-5.5</v>
      </c>
      <c r="G172" s="277">
        <f t="shared" si="60"/>
        <v>-5.5</v>
      </c>
      <c r="H172" s="277">
        <f t="shared" si="60"/>
        <v>-5.5</v>
      </c>
      <c r="I172" s="277">
        <f t="shared" si="60"/>
        <v>-5.5</v>
      </c>
    </row>
    <row r="173" spans="1:9">
      <c r="A173" s="260"/>
      <c r="B173" s="10" t="s">
        <v>121</v>
      </c>
      <c r="C173" s="17">
        <v>8.9999999999999993E-3</v>
      </c>
      <c r="D173" s="277">
        <f>(IF(($C173*(-SUM(D50:D73)))&gt;(2000*D6),-2000*D6,($C173*SUM(D50:D73))))*(1-D8)</f>
        <v>-60.230947679999979</v>
      </c>
      <c r="E173" s="277">
        <f t="shared" ref="E173:I173" si="61">(IF(($C173*(-SUM(E50:E73)))&gt;(2000*E6),-2000*E6,($C173*SUM(E50:E73))))*(1-E8)</f>
        <v>-501.92456399999975</v>
      </c>
      <c r="F173" s="277">
        <f t="shared" si="61"/>
        <v>-3505.2634330649889</v>
      </c>
      <c r="G173" s="277">
        <f t="shared" si="61"/>
        <v>-6704.0168575734406</v>
      </c>
      <c r="H173" s="277">
        <f t="shared" si="61"/>
        <v>-19596.384000000096</v>
      </c>
      <c r="I173" s="277">
        <f t="shared" si="61"/>
        <v>-23337.600000000002</v>
      </c>
    </row>
    <row r="174" spans="1:9">
      <c r="A174" s="260"/>
      <c r="B174" s="260" t="s">
        <v>49</v>
      </c>
      <c r="C174" s="67">
        <f>(0.35/1000)*1.075</f>
        <v>3.7624999999999996E-4</v>
      </c>
      <c r="D174" s="277">
        <f t="shared" ref="D174:I174" si="62">-$C174*D13</f>
        <v>-2.2574999999999998</v>
      </c>
      <c r="E174" s="277">
        <f t="shared" si="62"/>
        <v>-18.812499999999996</v>
      </c>
      <c r="F174" s="277">
        <f t="shared" si="62"/>
        <v>-92.610992767453794</v>
      </c>
      <c r="G174" s="277">
        <f t="shared" si="62"/>
        <v>-175.52378676541193</v>
      </c>
      <c r="H174" s="277">
        <f t="shared" si="62"/>
        <v>-564.37499999999989</v>
      </c>
      <c r="I174" s="277">
        <f t="shared" si="62"/>
        <v>-1128.7499999999998</v>
      </c>
    </row>
    <row r="175" spans="1:9" ht="4" customHeight="1">
      <c r="A175" s="273"/>
      <c r="B175" s="273"/>
      <c r="C175" s="289"/>
      <c r="D175" s="290"/>
      <c r="E175" s="290"/>
      <c r="F175" s="290"/>
      <c r="G175" s="290"/>
      <c r="H175" s="290"/>
      <c r="I175" s="290"/>
    </row>
    <row r="176" spans="1:9">
      <c r="A176" s="260"/>
      <c r="B176" s="23" t="s">
        <v>50</v>
      </c>
      <c r="C176" s="23"/>
      <c r="D176" s="20">
        <f t="shared" ref="D176:I176" si="63">SUM(D170:D175)</f>
        <v>-135.48844768000015</v>
      </c>
      <c r="E176" s="20">
        <f t="shared" si="63"/>
        <v>-1088.7370640000011</v>
      </c>
      <c r="F176" s="20">
        <f t="shared" si="63"/>
        <v>-24342.501698509412</v>
      </c>
      <c r="G176" s="20">
        <f t="shared" si="63"/>
        <v>-46034.605472331226</v>
      </c>
      <c r="H176" s="20">
        <f t="shared" si="63"/>
        <v>-142609.26654007868</v>
      </c>
      <c r="I176" s="20">
        <f t="shared" si="63"/>
        <v>-268248.16878899868</v>
      </c>
    </row>
    <row r="177" spans="1:9" ht="4" customHeight="1">
      <c r="A177" s="260"/>
      <c r="B177" s="260"/>
      <c r="C177" s="260"/>
      <c r="D177" s="291"/>
      <c r="E177" s="291"/>
      <c r="F177" s="291"/>
      <c r="G177" s="291"/>
      <c r="H177" s="291"/>
      <c r="I177" s="291"/>
    </row>
    <row r="178" spans="1:9">
      <c r="A178" s="260"/>
      <c r="B178" s="4" t="s">
        <v>402</v>
      </c>
      <c r="C178" s="260"/>
      <c r="D178" s="291"/>
      <c r="E178" s="291"/>
      <c r="F178" s="291"/>
      <c r="G178" s="291"/>
      <c r="H178" s="291"/>
      <c r="I178" s="291"/>
    </row>
    <row r="179" spans="1:9">
      <c r="B179" s="260" t="s">
        <v>56</v>
      </c>
      <c r="C179" s="17">
        <v>0</v>
      </c>
      <c r="D179" s="277">
        <v>0</v>
      </c>
      <c r="E179" s="277">
        <v>0</v>
      </c>
      <c r="F179" s="277">
        <f>-$C$179*F11*0.74</f>
        <v>0</v>
      </c>
      <c r="G179" s="277">
        <f t="shared" ref="G179:I179" si="64">-$C$179*G11*0.74</f>
        <v>0</v>
      </c>
      <c r="H179" s="277">
        <f t="shared" si="64"/>
        <v>0</v>
      </c>
      <c r="I179" s="277">
        <f t="shared" si="64"/>
        <v>0</v>
      </c>
    </row>
    <row r="180" spans="1:9">
      <c r="B180" s="260" t="s">
        <v>57</v>
      </c>
      <c r="C180" s="17">
        <f>'Loan 2'!C173</f>
        <v>0</v>
      </c>
      <c r="D180" s="277">
        <v>0</v>
      </c>
      <c r="E180" s="277">
        <v>0</v>
      </c>
      <c r="F180" s="277">
        <f>-$C$180*F11*0.74</f>
        <v>0</v>
      </c>
      <c r="G180" s="277">
        <f t="shared" ref="G180:I180" si="65">-$C$180*G11*0.74</f>
        <v>0</v>
      </c>
      <c r="H180" s="277">
        <f t="shared" si="65"/>
        <v>0</v>
      </c>
      <c r="I180" s="277">
        <f t="shared" si="65"/>
        <v>0</v>
      </c>
    </row>
    <row r="181" spans="1:9">
      <c r="B181" s="260" t="s">
        <v>58</v>
      </c>
      <c r="C181" s="17">
        <f>'Loan 2'!C174</f>
        <v>0</v>
      </c>
      <c r="D181" s="277">
        <v>0</v>
      </c>
      <c r="E181" s="277">
        <v>0</v>
      </c>
      <c r="F181" s="277">
        <f>-$C$181*F11*0.74</f>
        <v>0</v>
      </c>
      <c r="G181" s="277">
        <f t="shared" ref="G181:I181" si="66">-$C$181*G11*0.74</f>
        <v>0</v>
      </c>
      <c r="H181" s="277">
        <f t="shared" si="66"/>
        <v>0</v>
      </c>
      <c r="I181" s="277">
        <f t="shared" si="66"/>
        <v>0</v>
      </c>
    </row>
    <row r="182" spans="1:9">
      <c r="B182" s="563" t="s">
        <v>472</v>
      </c>
      <c r="C182" s="642">
        <v>0</v>
      </c>
      <c r="D182" s="641">
        <v>0</v>
      </c>
      <c r="E182" s="641">
        <v>0</v>
      </c>
      <c r="F182" s="641">
        <f>-$C$182*F11*0.26</f>
        <v>0</v>
      </c>
      <c r="G182" s="641">
        <f t="shared" ref="G182:I182" si="67">-$C$182*G11*0.26</f>
        <v>0</v>
      </c>
      <c r="H182" s="641">
        <f t="shared" si="67"/>
        <v>0</v>
      </c>
      <c r="I182" s="641">
        <f t="shared" si="67"/>
        <v>0</v>
      </c>
    </row>
    <row r="183" spans="1:9">
      <c r="B183" s="260"/>
      <c r="C183" s="260"/>
      <c r="D183" s="293">
        <f>SUM(D179:D182)</f>
        <v>0</v>
      </c>
      <c r="E183" s="293">
        <f>SUM(E179:E182)</f>
        <v>0</v>
      </c>
      <c r="F183" s="293">
        <f>SUM(F179:F182)</f>
        <v>0</v>
      </c>
      <c r="G183" s="293">
        <f t="shared" ref="G183:I183" si="68">SUM(G179:G182)</f>
        <v>0</v>
      </c>
      <c r="H183" s="293">
        <f t="shared" si="68"/>
        <v>0</v>
      </c>
      <c r="I183" s="293">
        <f t="shared" si="68"/>
        <v>0</v>
      </c>
    </row>
    <row r="184" spans="1:9" s="62" customFormat="1">
      <c r="B184" s="23" t="s">
        <v>401</v>
      </c>
      <c r="C184" s="23"/>
      <c r="D184" s="11">
        <f t="shared" ref="D184:I184" si="69">SUM(D183:D183)</f>
        <v>0</v>
      </c>
      <c r="E184" s="11">
        <f t="shared" si="69"/>
        <v>0</v>
      </c>
      <c r="F184" s="11">
        <f t="shared" si="69"/>
        <v>0</v>
      </c>
      <c r="G184" s="11">
        <f t="shared" si="69"/>
        <v>0</v>
      </c>
      <c r="H184" s="11">
        <f t="shared" si="69"/>
        <v>0</v>
      </c>
      <c r="I184" s="11">
        <f t="shared" si="69"/>
        <v>0</v>
      </c>
    </row>
    <row r="185" spans="1:9" ht="4" customHeight="1">
      <c r="B185" s="260"/>
      <c r="C185" s="260"/>
      <c r="D185" s="260"/>
      <c r="E185" s="260"/>
      <c r="F185" s="260"/>
      <c r="G185" s="260"/>
      <c r="H185" s="260"/>
      <c r="I185" s="260"/>
    </row>
    <row r="186" spans="1:9">
      <c r="B186" s="4" t="s">
        <v>65</v>
      </c>
      <c r="C186" s="260"/>
      <c r="D186" s="260"/>
      <c r="E186" s="260"/>
      <c r="F186" s="260"/>
      <c r="G186" s="260"/>
      <c r="H186" s="260"/>
      <c r="I186" s="260"/>
    </row>
    <row r="187" spans="1:9">
      <c r="B187" s="260" t="s">
        <v>68</v>
      </c>
      <c r="C187" s="18">
        <v>0</v>
      </c>
      <c r="D187" s="277">
        <f t="shared" ref="D187:I187" si="70">-$C$187*D$15</f>
        <v>0</v>
      </c>
      <c r="E187" s="277">
        <f t="shared" si="70"/>
        <v>0</v>
      </c>
      <c r="F187" s="277">
        <f t="shared" si="70"/>
        <v>0</v>
      </c>
      <c r="G187" s="277">
        <f t="shared" si="70"/>
        <v>0</v>
      </c>
      <c r="H187" s="277">
        <f t="shared" si="70"/>
        <v>0</v>
      </c>
      <c r="I187" s="277">
        <f t="shared" si="70"/>
        <v>0</v>
      </c>
    </row>
    <row r="188" spans="1:9">
      <c r="B188" s="23" t="s">
        <v>69</v>
      </c>
      <c r="C188" s="23"/>
      <c r="D188" s="11">
        <f t="shared" ref="D188:I188" si="71">SUM(D187:D187)</f>
        <v>0</v>
      </c>
      <c r="E188" s="11">
        <f t="shared" si="71"/>
        <v>0</v>
      </c>
      <c r="F188" s="11">
        <f t="shared" si="71"/>
        <v>0</v>
      </c>
      <c r="G188" s="11">
        <f t="shared" si="71"/>
        <v>0</v>
      </c>
      <c r="H188" s="11">
        <f t="shared" si="71"/>
        <v>0</v>
      </c>
      <c r="I188" s="11">
        <f t="shared" si="71"/>
        <v>0</v>
      </c>
    </row>
    <row r="189" spans="1:9" ht="4" customHeight="1">
      <c r="B189" s="260"/>
      <c r="C189" s="260"/>
      <c r="D189" s="260"/>
      <c r="E189" s="260"/>
      <c r="F189" s="260"/>
      <c r="G189" s="260"/>
      <c r="H189" s="260"/>
      <c r="I189" s="260"/>
    </row>
    <row r="190" spans="1:9">
      <c r="B190" s="4" t="s">
        <v>70</v>
      </c>
      <c r="C190" s="260"/>
      <c r="D190" s="260"/>
      <c r="E190" s="260"/>
      <c r="F190" s="260"/>
      <c r="G190" s="260"/>
      <c r="H190" s="260"/>
      <c r="I190" s="260"/>
    </row>
    <row r="191" spans="1:9">
      <c r="B191" s="4" t="s">
        <v>122</v>
      </c>
      <c r="C191" s="260"/>
      <c r="D191" s="260"/>
      <c r="E191" s="260"/>
      <c r="F191" s="260"/>
      <c r="G191" s="260"/>
      <c r="H191" s="260"/>
      <c r="I191" s="310"/>
    </row>
    <row r="192" spans="1:9">
      <c r="B192" s="223" t="s">
        <v>72</v>
      </c>
      <c r="C192" s="18">
        <v>0</v>
      </c>
      <c r="D192" s="277"/>
      <c r="E192" s="277"/>
      <c r="F192" s="277"/>
      <c r="G192" s="277"/>
      <c r="H192" s="277"/>
      <c r="I192" s="277"/>
    </row>
    <row r="193" spans="2:10">
      <c r="B193" s="260" t="s">
        <v>73</v>
      </c>
      <c r="C193" s="18">
        <f>Assumption_Sheet!$B$59</f>
        <v>117.80000000000001</v>
      </c>
      <c r="D193" s="277">
        <f>-$C$193</f>
        <v>-117.80000000000001</v>
      </c>
      <c r="E193" s="277">
        <f>-$C$193</f>
        <v>-117.80000000000001</v>
      </c>
      <c r="F193" s="277">
        <f>C193*F15*0.77</f>
        <v>98.023226788432282</v>
      </c>
      <c r="G193" s="277">
        <f>C193*G15*0.77</f>
        <v>98.867208226221095</v>
      </c>
      <c r="H193" s="277">
        <f>C193*H15*0.77</f>
        <v>99.803356932153392</v>
      </c>
      <c r="I193" s="277">
        <f>C193*I15*0.77</f>
        <v>107.76736666666667</v>
      </c>
      <c r="J193" s="765" t="s">
        <v>536</v>
      </c>
    </row>
    <row r="194" spans="2:10">
      <c r="B194" s="260" t="s">
        <v>74</v>
      </c>
      <c r="C194" s="18">
        <v>0</v>
      </c>
      <c r="D194" s="277">
        <v>0</v>
      </c>
      <c r="E194" s="277">
        <v>0</v>
      </c>
      <c r="F194" s="277">
        <v>0</v>
      </c>
      <c r="G194" s="277">
        <v>0</v>
      </c>
      <c r="H194" s="277">
        <v>0</v>
      </c>
      <c r="I194" s="277">
        <v>0</v>
      </c>
    </row>
    <row r="195" spans="2:10">
      <c r="B195" s="260" t="s">
        <v>75</v>
      </c>
      <c r="C195" s="12"/>
      <c r="D195" s="277">
        <v>0</v>
      </c>
      <c r="E195" s="277">
        <v>0</v>
      </c>
      <c r="F195" s="277">
        <f>-Assumption_Sheet!$C$65*F$15*F14</f>
        <v>-500</v>
      </c>
      <c r="G195" s="277">
        <f>-Assumption_Sheet!$C$65*G$15*G14</f>
        <v>-499.99999999999994</v>
      </c>
      <c r="H195" s="277">
        <f>-Assumption_Sheet!$C$65*H$15*H14</f>
        <v>-499.99999999999994</v>
      </c>
      <c r="I195" s="277">
        <f>-Assumption_Sheet!$C$65*I$15*I14</f>
        <v>-499.99999999999994</v>
      </c>
    </row>
    <row r="196" spans="2:10">
      <c r="B196" s="260" t="s">
        <v>123</v>
      </c>
      <c r="C196" s="12"/>
      <c r="D196" s="277"/>
      <c r="E196" s="277"/>
      <c r="F196" s="277"/>
      <c r="G196" s="277"/>
      <c r="H196" s="277"/>
      <c r="I196" s="277"/>
    </row>
    <row r="197" spans="2:10">
      <c r="B197" s="260" t="s">
        <v>77</v>
      </c>
      <c r="C197" s="12"/>
      <c r="D197" s="277">
        <v>0</v>
      </c>
      <c r="E197" s="277">
        <v>0</v>
      </c>
      <c r="F197" s="277">
        <v>0</v>
      </c>
      <c r="G197" s="277">
        <v>0</v>
      </c>
      <c r="H197" s="277">
        <v>0</v>
      </c>
      <c r="I197" s="277">
        <v>0</v>
      </c>
    </row>
    <row r="198" spans="2:10" ht="4" customHeight="1">
      <c r="B198" s="260"/>
      <c r="C198" s="12"/>
      <c r="D198" s="276"/>
      <c r="E198" s="276"/>
      <c r="F198" s="276"/>
      <c r="G198" s="276"/>
      <c r="H198" s="276"/>
      <c r="I198" s="276"/>
    </row>
    <row r="199" spans="2:10" s="62" customFormat="1">
      <c r="B199" s="11" t="s">
        <v>78</v>
      </c>
      <c r="C199" s="11"/>
      <c r="D199" s="11">
        <f t="shared" ref="D199:I199" si="72">SUM(D192:D198)</f>
        <v>-117.80000000000001</v>
      </c>
      <c r="E199" s="11">
        <f t="shared" si="72"/>
        <v>-117.80000000000001</v>
      </c>
      <c r="F199" s="11">
        <f t="shared" si="72"/>
        <v>-401.97677321156772</v>
      </c>
      <c r="G199" s="11">
        <f t="shared" si="72"/>
        <v>-401.13279177377888</v>
      </c>
      <c r="H199" s="11">
        <f t="shared" si="72"/>
        <v>-400.19664306784654</v>
      </c>
      <c r="I199" s="11">
        <f t="shared" si="72"/>
        <v>-392.2326333333333</v>
      </c>
    </row>
    <row r="200" spans="2:10" s="62" customFormat="1" ht="4" customHeight="1">
      <c r="B200" s="12"/>
      <c r="C200" s="12"/>
      <c r="D200" s="12"/>
      <c r="E200" s="12"/>
      <c r="F200" s="12"/>
      <c r="G200" s="12"/>
      <c r="H200" s="12"/>
      <c r="I200" s="12"/>
    </row>
    <row r="201" spans="2:10" s="62" customFormat="1">
      <c r="B201" s="11" t="s">
        <v>79</v>
      </c>
      <c r="C201" s="11"/>
      <c r="D201" s="11">
        <f t="shared" ref="D201:I201" si="73">D184+D199+D176+D188</f>
        <v>-253.28844768000016</v>
      </c>
      <c r="E201" s="11">
        <f t="shared" si="73"/>
        <v>-1206.537064000001</v>
      </c>
      <c r="F201" s="11">
        <f t="shared" si="73"/>
        <v>-24744.47847172098</v>
      </c>
      <c r="G201" s="11">
        <f t="shared" si="73"/>
        <v>-46435.738264105006</v>
      </c>
      <c r="H201" s="11">
        <f t="shared" si="73"/>
        <v>-143009.46318314652</v>
      </c>
      <c r="I201" s="11">
        <f t="shared" si="73"/>
        <v>-268640.40142233204</v>
      </c>
    </row>
    <row r="202" spans="2:10" s="62" customFormat="1" ht="4" customHeight="1">
      <c r="B202" s="12"/>
      <c r="C202" s="12"/>
      <c r="D202" s="12"/>
      <c r="E202" s="12"/>
      <c r="F202" s="12"/>
      <c r="G202" s="12"/>
      <c r="H202" s="12"/>
      <c r="I202" s="12"/>
    </row>
    <row r="203" spans="2:10" ht="15" thickBot="1">
      <c r="B203" s="13" t="s">
        <v>80</v>
      </c>
      <c r="C203" s="296"/>
      <c r="D203" s="22">
        <f t="shared" ref="D203:I203" si="74">D167+D201</f>
        <v>439.03907231999807</v>
      </c>
      <c r="E203" s="22">
        <f t="shared" si="74"/>
        <v>4562.8589359999851</v>
      </c>
      <c r="F203" s="22">
        <f t="shared" si="74"/>
        <v>126189.9022990513</v>
      </c>
      <c r="G203" s="22">
        <f t="shared" si="74"/>
        <v>239067.40459421533</v>
      </c>
      <c r="H203" s="22">
        <f t="shared" si="74"/>
        <v>548190.53681686509</v>
      </c>
      <c r="I203" s="22">
        <f t="shared" si="74"/>
        <v>1016559.5985777816</v>
      </c>
    </row>
    <row r="204" spans="2:10" s="62" customFormat="1" ht="10" customHeight="1" thickTop="1">
      <c r="B204" s="12"/>
      <c r="C204" s="12"/>
      <c r="D204" s="12"/>
      <c r="E204" s="12"/>
      <c r="F204" s="12"/>
      <c r="G204" s="12"/>
      <c r="H204" s="12"/>
      <c r="I204" s="12"/>
    </row>
    <row r="205" spans="2:10">
      <c r="B205" s="260" t="s">
        <v>124</v>
      </c>
      <c r="C205" s="562">
        <f>-14.8%</f>
        <v>-0.14800000000000002</v>
      </c>
      <c r="D205" s="277">
        <f>C205*D11</f>
        <v>-888.00000000000011</v>
      </c>
      <c r="E205" s="277">
        <f>C205*E11</f>
        <v>-7400.0000000000009</v>
      </c>
      <c r="F205" s="277">
        <f>C205*F11</f>
        <v>-36429.041673310741</v>
      </c>
      <c r="G205" s="277">
        <f>C205*G11</f>
        <v>-69043.243697756741</v>
      </c>
      <c r="H205" s="277">
        <f>C205*H11</f>
        <v>-222000.00000000003</v>
      </c>
      <c r="I205" s="277">
        <f>C205*I11</f>
        <v>-444000.00000000006</v>
      </c>
    </row>
    <row r="206" spans="2:10" ht="10" customHeight="1">
      <c r="B206" s="260"/>
      <c r="C206" s="260"/>
      <c r="D206" s="260"/>
      <c r="E206" s="260"/>
      <c r="F206" s="260"/>
      <c r="G206" s="260"/>
      <c r="H206" s="260"/>
      <c r="I206" s="260"/>
    </row>
    <row r="207" spans="2:10" ht="15" thickBot="1">
      <c r="B207" s="13" t="s">
        <v>82</v>
      </c>
      <c r="C207" s="296"/>
      <c r="D207" s="22">
        <f t="shared" ref="D207:I207" si="75">D203+D205</f>
        <v>-448.96092768000204</v>
      </c>
      <c r="E207" s="22">
        <f t="shared" si="75"/>
        <v>-2837.1410640000158</v>
      </c>
      <c r="F207" s="22">
        <f t="shared" si="75"/>
        <v>89760.860625740563</v>
      </c>
      <c r="G207" s="22">
        <f t="shared" si="75"/>
        <v>170024.1608964586</v>
      </c>
      <c r="H207" s="22">
        <f t="shared" si="75"/>
        <v>326190.53681686509</v>
      </c>
      <c r="I207" s="22">
        <f t="shared" si="75"/>
        <v>572559.59857778158</v>
      </c>
    </row>
    <row r="208" spans="2:10" ht="15" thickTop="1">
      <c r="B208" s="260"/>
      <c r="C208" s="260"/>
      <c r="D208" s="260"/>
      <c r="E208" s="298"/>
      <c r="F208" s="298"/>
      <c r="G208" s="298"/>
      <c r="H208" s="298"/>
      <c r="I208" s="298"/>
    </row>
    <row r="209" spans="2:9">
      <c r="B209" s="260" t="s">
        <v>125</v>
      </c>
      <c r="C209" s="260"/>
      <c r="D209" s="307">
        <f t="shared" ref="D209:I209" si="76">IFERROR(D203/D11,0)</f>
        <v>7.3173178719999676E-2</v>
      </c>
      <c r="E209" s="307">
        <f t="shared" si="76"/>
        <v>9.1257178719999707E-2</v>
      </c>
      <c r="F209" s="307">
        <f t="shared" si="76"/>
        <v>0.51267078908480868</v>
      </c>
      <c r="G209" s="307">
        <f t="shared" si="76"/>
        <v>0.51246108938380397</v>
      </c>
      <c r="H209" s="307">
        <f t="shared" si="76"/>
        <v>0.36546035787791004</v>
      </c>
      <c r="I209" s="307">
        <f t="shared" si="76"/>
        <v>0.33885319952592718</v>
      </c>
    </row>
    <row r="210" spans="2:9">
      <c r="B210" s="260"/>
      <c r="C210" s="260"/>
      <c r="D210" s="300">
        <f t="shared" ref="D210:I210" si="77">IFERROR(D207/D11,0)</f>
        <v>-7.4826821280000344E-2</v>
      </c>
      <c r="E210" s="300">
        <f t="shared" si="77"/>
        <v>-5.6742821280000313E-2</v>
      </c>
      <c r="F210" s="300">
        <f t="shared" si="77"/>
        <v>0.36467078908480866</v>
      </c>
      <c r="G210" s="300">
        <f t="shared" si="77"/>
        <v>0.36446108938380395</v>
      </c>
      <c r="H210" s="300">
        <f t="shared" si="77"/>
        <v>0.21746035787791007</v>
      </c>
      <c r="I210" s="300">
        <f t="shared" si="77"/>
        <v>0.19085319952592719</v>
      </c>
    </row>
    <row r="211" spans="2:9">
      <c r="B211" s="260"/>
      <c r="C211" s="260"/>
      <c r="D211" s="301"/>
      <c r="E211" s="301"/>
      <c r="F211" s="301"/>
      <c r="G211" s="301"/>
      <c r="H211" s="301"/>
      <c r="I211" s="260"/>
    </row>
    <row r="212" spans="2:9">
      <c r="B212" s="260"/>
      <c r="C212" s="260"/>
      <c r="D212" s="308"/>
      <c r="E212" s="308"/>
      <c r="F212" s="308"/>
      <c r="G212" s="308"/>
      <c r="H212" s="308"/>
      <c r="I212" s="308"/>
    </row>
    <row r="213" spans="2:9">
      <c r="B213" s="260"/>
      <c r="C213" s="260"/>
      <c r="D213" s="308"/>
      <c r="E213" s="308"/>
      <c r="F213" s="308"/>
      <c r="G213" s="308"/>
      <c r="H213" s="308"/>
      <c r="I213" s="308"/>
    </row>
    <row r="214" spans="2:9">
      <c r="B214" s="4"/>
      <c r="C214" s="260"/>
      <c r="D214" s="301"/>
      <c r="E214" s="301"/>
      <c r="F214" s="301"/>
      <c r="G214" s="301"/>
      <c r="H214" s="301"/>
      <c r="I214" s="260"/>
    </row>
    <row r="215" spans="2:9">
      <c r="B215" s="260"/>
      <c r="C215" s="260"/>
      <c r="D215" s="301"/>
      <c r="E215" s="301"/>
      <c r="F215" s="301"/>
      <c r="G215" s="301"/>
      <c r="H215" s="301"/>
      <c r="I215" s="260"/>
    </row>
    <row r="216" spans="2:9">
      <c r="B216" s="260"/>
      <c r="C216" s="260"/>
      <c r="D216" s="301"/>
      <c r="E216" s="301"/>
      <c r="F216" s="301"/>
      <c r="G216" s="301"/>
      <c r="H216" s="301"/>
      <c r="I216" s="260"/>
    </row>
    <row r="217" spans="2:9">
      <c r="B217" s="260"/>
      <c r="C217" s="260"/>
      <c r="D217" s="301"/>
      <c r="E217" s="301"/>
      <c r="F217" s="301"/>
      <c r="G217" s="301"/>
      <c r="H217" s="301"/>
      <c r="I217" s="260"/>
    </row>
    <row r="218" spans="2:9">
      <c r="B218" s="260"/>
      <c r="C218" s="260"/>
      <c r="D218" s="301"/>
      <c r="E218" s="301"/>
      <c r="F218" s="301"/>
      <c r="G218" s="301"/>
      <c r="H218" s="301"/>
      <c r="I218" s="260"/>
    </row>
    <row r="219" spans="2:9">
      <c r="B219" s="260"/>
      <c r="C219" s="260"/>
      <c r="D219" s="301"/>
      <c r="E219" s="301"/>
      <c r="F219" s="301"/>
      <c r="G219" s="301"/>
      <c r="H219" s="301"/>
      <c r="I219" s="260"/>
    </row>
    <row r="220" spans="2:9">
      <c r="B220" s="260"/>
      <c r="C220" s="260"/>
      <c r="D220" s="301"/>
      <c r="E220" s="301"/>
      <c r="F220" s="301"/>
      <c r="G220" s="301"/>
      <c r="H220" s="301"/>
      <c r="I220" s="260"/>
    </row>
    <row r="221" spans="2:9">
      <c r="B221" s="260"/>
      <c r="C221" s="260"/>
      <c r="D221" s="301"/>
      <c r="E221" s="301"/>
      <c r="F221" s="301"/>
      <c r="G221" s="301"/>
      <c r="H221" s="301"/>
      <c r="I221" s="260"/>
    </row>
    <row r="222" spans="2:9">
      <c r="B222" s="260"/>
      <c r="C222" s="260"/>
      <c r="D222" s="301"/>
      <c r="E222" s="301"/>
      <c r="F222" s="301"/>
      <c r="G222" s="301"/>
      <c r="H222" s="301"/>
      <c r="I222" s="260"/>
    </row>
    <row r="223" spans="2:9">
      <c r="B223" s="260"/>
      <c r="C223" s="260"/>
      <c r="D223" s="301"/>
      <c r="E223" s="301"/>
      <c r="F223" s="301"/>
      <c r="G223" s="301"/>
      <c r="H223" s="301"/>
      <c r="I223" s="260"/>
    </row>
    <row r="237" spans="4:8">
      <c r="D237" s="301"/>
      <c r="E237" s="301"/>
      <c r="F237" s="301"/>
      <c r="G237" s="301"/>
      <c r="H237" s="301"/>
    </row>
    <row r="238" spans="4:8">
      <c r="D238" s="301"/>
      <c r="E238" s="301"/>
      <c r="F238" s="301"/>
      <c r="G238" s="301"/>
      <c r="H238" s="301"/>
    </row>
    <row r="239" spans="4:8">
      <c r="D239" s="301"/>
      <c r="E239" s="301"/>
      <c r="F239" s="301"/>
      <c r="G239" s="301"/>
      <c r="H239" s="301"/>
    </row>
    <row r="240" spans="4:8">
      <c r="D240" s="301"/>
      <c r="E240" s="301"/>
      <c r="F240" s="301"/>
      <c r="G240" s="301"/>
      <c r="H240" s="301"/>
    </row>
    <row r="241" spans="4:8">
      <c r="D241" s="301"/>
      <c r="E241" s="301"/>
      <c r="F241" s="301"/>
      <c r="G241" s="301"/>
      <c r="H241" s="301"/>
    </row>
    <row r="242" spans="4:8">
      <c r="D242" s="301"/>
      <c r="E242" s="301"/>
      <c r="F242" s="301"/>
      <c r="G242" s="301"/>
      <c r="H242" s="301"/>
    </row>
    <row r="243" spans="4:8">
      <c r="D243" s="301"/>
      <c r="E243" s="301"/>
      <c r="F243" s="301"/>
      <c r="G243" s="301"/>
      <c r="H243" s="301"/>
    </row>
    <row r="244" spans="4:8">
      <c r="D244" s="301"/>
      <c r="E244" s="301"/>
      <c r="F244" s="301"/>
      <c r="G244" s="301"/>
      <c r="H244" s="301"/>
    </row>
    <row r="245" spans="4:8">
      <c r="D245" s="301"/>
      <c r="E245" s="301"/>
      <c r="F245" s="301"/>
      <c r="G245" s="301"/>
      <c r="H245" s="301"/>
    </row>
    <row r="246" spans="4:8">
      <c r="D246" s="301"/>
      <c r="E246" s="301"/>
      <c r="F246" s="301"/>
      <c r="G246" s="301"/>
      <c r="H246" s="301"/>
    </row>
    <row r="247" spans="4:8">
      <c r="D247" s="301"/>
      <c r="E247" s="301"/>
      <c r="F247" s="301"/>
      <c r="G247" s="301"/>
      <c r="H247" s="301"/>
    </row>
    <row r="248" spans="4:8">
      <c r="D248" s="301"/>
      <c r="E248" s="301"/>
      <c r="F248" s="301"/>
      <c r="G248" s="301"/>
      <c r="H248" s="301"/>
    </row>
    <row r="249" spans="4:8">
      <c r="D249" s="301"/>
      <c r="E249" s="301"/>
      <c r="F249" s="301"/>
      <c r="G249" s="301"/>
      <c r="H249" s="301"/>
    </row>
    <row r="250" spans="4:8">
      <c r="D250" s="301"/>
      <c r="E250" s="301"/>
      <c r="F250" s="301"/>
      <c r="G250" s="301"/>
      <c r="H250" s="301"/>
    </row>
    <row r="251" spans="4:8">
      <c r="D251" s="301"/>
      <c r="E251" s="301"/>
      <c r="F251" s="301"/>
      <c r="G251" s="301"/>
      <c r="H251" s="301"/>
    </row>
    <row r="252" spans="4:8">
      <c r="D252" s="301"/>
      <c r="E252" s="301"/>
      <c r="F252" s="301"/>
      <c r="G252" s="301"/>
      <c r="H252" s="301"/>
    </row>
    <row r="253" spans="4:8">
      <c r="D253" s="301"/>
      <c r="E253" s="301"/>
      <c r="F253" s="301"/>
      <c r="G253" s="301"/>
      <c r="H253" s="301"/>
    </row>
    <row r="254" spans="4:8">
      <c r="D254" s="301"/>
      <c r="E254" s="301"/>
      <c r="F254" s="301"/>
      <c r="G254" s="301"/>
      <c r="H254" s="301"/>
    </row>
    <row r="255" spans="4:8">
      <c r="D255" s="301"/>
      <c r="E255" s="301"/>
      <c r="F255" s="301"/>
      <c r="G255" s="301"/>
      <c r="H255" s="301"/>
    </row>
    <row r="256" spans="4:8">
      <c r="D256" s="301"/>
      <c r="E256" s="301"/>
      <c r="F256" s="301"/>
      <c r="G256" s="301"/>
      <c r="H256" s="301"/>
    </row>
    <row r="257" spans="1:8">
      <c r="D257" s="301"/>
      <c r="E257" s="301"/>
      <c r="F257" s="301"/>
      <c r="G257" s="301"/>
      <c r="H257" s="301"/>
    </row>
    <row r="258" spans="1:8">
      <c r="D258" s="301"/>
      <c r="E258" s="301"/>
      <c r="F258" s="301"/>
      <c r="G258" s="301"/>
      <c r="H258" s="301"/>
    </row>
    <row r="259" spans="1:8">
      <c r="D259" s="301"/>
      <c r="E259" s="301"/>
      <c r="F259" s="301"/>
      <c r="G259" s="301"/>
      <c r="H259" s="301"/>
    </row>
    <row r="260" spans="1:8">
      <c r="A260" s="260"/>
      <c r="B260" s="260"/>
      <c r="C260" s="260"/>
      <c r="D260" s="301"/>
      <c r="E260" s="301"/>
      <c r="F260" s="301"/>
      <c r="G260" s="301"/>
      <c r="H260" s="301"/>
    </row>
    <row r="261" spans="1:8">
      <c r="A261" s="260"/>
      <c r="B261" s="260"/>
      <c r="C261" s="260"/>
      <c r="D261" s="301"/>
      <c r="E261" s="301"/>
      <c r="F261" s="301"/>
      <c r="G261" s="301"/>
      <c r="H261" s="301"/>
    </row>
    <row r="262" spans="1:8">
      <c r="A262" s="260"/>
      <c r="B262" s="260"/>
      <c r="C262" s="260"/>
      <c r="D262" s="301"/>
      <c r="E262" s="301"/>
      <c r="F262" s="301"/>
      <c r="G262" s="301"/>
      <c r="H262" s="301"/>
    </row>
    <row r="263" spans="1:8">
      <c r="A263" s="260"/>
      <c r="B263" s="260"/>
      <c r="C263" s="260"/>
      <c r="D263" s="301"/>
      <c r="E263" s="301"/>
      <c r="F263" s="301"/>
      <c r="G263" s="301"/>
      <c r="H263" s="301"/>
    </row>
    <row r="264" spans="1:8">
      <c r="A264" s="260"/>
      <c r="B264" s="260"/>
      <c r="C264" s="260"/>
      <c r="D264" s="301"/>
      <c r="E264" s="301"/>
      <c r="F264" s="301"/>
      <c r="G264" s="301"/>
      <c r="H264" s="301"/>
    </row>
    <row r="265" spans="1:8">
      <c r="A265" s="260"/>
      <c r="B265" s="260"/>
      <c r="C265" s="260"/>
      <c r="D265" s="301"/>
      <c r="E265" s="301"/>
      <c r="F265" s="301"/>
      <c r="G265" s="301"/>
      <c r="H265" s="301"/>
    </row>
    <row r="266" spans="1:8">
      <c r="A266" s="260"/>
      <c r="B266" s="260"/>
      <c r="C266" s="260"/>
      <c r="D266" s="301"/>
      <c r="E266" s="301"/>
      <c r="F266" s="301"/>
      <c r="G266" s="301"/>
      <c r="H266" s="301"/>
    </row>
    <row r="267" spans="1:8">
      <c r="A267" s="260"/>
      <c r="B267" s="4" t="s">
        <v>92</v>
      </c>
      <c r="C267" s="260"/>
      <c r="D267" s="301"/>
      <c r="E267" s="301"/>
      <c r="F267" s="301"/>
      <c r="G267" s="301"/>
      <c r="H267" s="301"/>
    </row>
    <row r="268" spans="1:8">
      <c r="A268" s="260"/>
      <c r="B268" s="260"/>
      <c r="C268" s="260"/>
      <c r="D268" s="301"/>
      <c r="E268" s="301"/>
      <c r="F268" s="301"/>
      <c r="G268" s="301"/>
      <c r="H268" s="301"/>
    </row>
    <row r="269" spans="1:8" hidden="1">
      <c r="A269" s="2" t="s">
        <v>93</v>
      </c>
      <c r="B269" s="260"/>
      <c r="C269" s="260"/>
      <c r="D269" s="260"/>
      <c r="E269" s="260"/>
      <c r="F269" s="260"/>
      <c r="G269" s="260"/>
      <c r="H269" s="260"/>
    </row>
    <row r="270" spans="1:8" hidden="1">
      <c r="A270" s="4" t="s">
        <v>94</v>
      </c>
      <c r="B270" s="260"/>
      <c r="C270" s="260"/>
      <c r="D270" s="260"/>
      <c r="E270" s="260"/>
      <c r="F270" s="260"/>
      <c r="G270" s="260"/>
      <c r="H270" s="260"/>
    </row>
    <row r="271" spans="1:8" hidden="1">
      <c r="A271" s="303" t="s">
        <v>95</v>
      </c>
      <c r="B271" s="304">
        <v>0</v>
      </c>
      <c r="C271" s="304">
        <v>0</v>
      </c>
      <c r="D271" s="260"/>
      <c r="E271" s="260"/>
      <c r="F271" s="260"/>
      <c r="G271" s="260"/>
      <c r="H271" s="260"/>
    </row>
    <row r="272" spans="1:8" hidden="1">
      <c r="A272" s="303" t="s">
        <v>95</v>
      </c>
      <c r="B272" s="304">
        <v>250000</v>
      </c>
      <c r="C272" s="304">
        <v>0</v>
      </c>
      <c r="D272" s="260"/>
      <c r="E272" s="260"/>
      <c r="F272" s="260"/>
      <c r="G272" s="260"/>
      <c r="H272" s="260"/>
    </row>
    <row r="273" spans="1:8" hidden="1">
      <c r="A273" s="303"/>
      <c r="B273" s="304">
        <v>500000</v>
      </c>
      <c r="C273" s="304">
        <v>8000</v>
      </c>
      <c r="D273" s="260"/>
      <c r="E273" s="260"/>
      <c r="F273" s="260"/>
      <c r="G273" s="260"/>
      <c r="H273" s="260"/>
    </row>
    <row r="274" spans="1:8" hidden="1">
      <c r="A274" s="303"/>
      <c r="B274" s="304">
        <v>1000000</v>
      </c>
      <c r="C274" s="304">
        <v>24000</v>
      </c>
      <c r="D274" s="260"/>
      <c r="E274" s="260"/>
      <c r="F274" s="260"/>
      <c r="G274" s="260"/>
      <c r="H274" s="260"/>
    </row>
    <row r="275" spans="1:8" hidden="1">
      <c r="A275" s="303"/>
      <c r="B275" s="304">
        <v>2000000</v>
      </c>
      <c r="C275" s="304">
        <f>32000+C274</f>
        <v>56000</v>
      </c>
      <c r="D275" s="260"/>
      <c r="E275" s="260"/>
      <c r="F275" s="260"/>
      <c r="G275" s="260"/>
      <c r="H275" s="260"/>
    </row>
    <row r="276" spans="1:8" hidden="1">
      <c r="A276" s="303"/>
      <c r="B276" s="304">
        <v>3000000</v>
      </c>
      <c r="C276" s="304">
        <f>C275+32000</f>
        <v>88000</v>
      </c>
    </row>
    <row r="277" spans="1:8" hidden="1">
      <c r="A277" s="303"/>
      <c r="B277" s="304">
        <v>4000000</v>
      </c>
      <c r="C277" s="304">
        <f t="shared" ref="C277:C283" si="78">C276+32000</f>
        <v>120000</v>
      </c>
    </row>
    <row r="278" spans="1:8" hidden="1">
      <c r="A278" s="303"/>
      <c r="B278" s="304">
        <v>5000000</v>
      </c>
      <c r="C278" s="304">
        <f t="shared" si="78"/>
        <v>152000</v>
      </c>
    </row>
    <row r="279" spans="1:8" hidden="1">
      <c r="A279" s="303"/>
      <c r="B279" s="304">
        <f>B278+1000000</f>
        <v>6000000</v>
      </c>
      <c r="C279" s="304">
        <f t="shared" si="78"/>
        <v>184000</v>
      </c>
    </row>
    <row r="280" spans="1:8" hidden="1">
      <c r="A280" s="303"/>
      <c r="B280" s="304">
        <f>B279+1000000</f>
        <v>7000000</v>
      </c>
      <c r="C280" s="304">
        <f t="shared" si="78"/>
        <v>216000</v>
      </c>
    </row>
    <row r="281" spans="1:8" hidden="1">
      <c r="A281" s="303"/>
      <c r="B281" s="304">
        <f>B280+1000000</f>
        <v>8000000</v>
      </c>
      <c r="C281" s="304">
        <f t="shared" si="78"/>
        <v>248000</v>
      </c>
    </row>
    <row r="282" spans="1:8" hidden="1">
      <c r="A282" s="303"/>
      <c r="B282" s="304">
        <f>B281+1000000</f>
        <v>9000000</v>
      </c>
      <c r="C282" s="304">
        <f t="shared" si="78"/>
        <v>280000</v>
      </c>
    </row>
    <row r="283" spans="1:8" hidden="1">
      <c r="A283" s="305"/>
      <c r="B283" s="306">
        <f>B282+1000000</f>
        <v>10000000</v>
      </c>
      <c r="C283" s="306">
        <f t="shared" si="78"/>
        <v>312000</v>
      </c>
    </row>
    <row r="284" spans="1:8" hidden="1">
      <c r="A284" s="303"/>
      <c r="B284" s="304">
        <v>0</v>
      </c>
      <c r="C284" s="304">
        <v>0</v>
      </c>
    </row>
    <row r="285" spans="1:8" hidden="1">
      <c r="A285" s="303" t="s">
        <v>96</v>
      </c>
      <c r="B285" s="304">
        <v>250000</v>
      </c>
      <c r="C285" s="304">
        <v>0</v>
      </c>
    </row>
    <row r="286" spans="1:8" hidden="1">
      <c r="A286" s="303"/>
      <c r="B286" s="304">
        <v>500000</v>
      </c>
      <c r="C286" s="304">
        <v>2000</v>
      </c>
    </row>
    <row r="287" spans="1:8" hidden="1">
      <c r="A287" s="260"/>
      <c r="B287" s="276">
        <v>1000000</v>
      </c>
      <c r="C287" s="276">
        <v>6000</v>
      </c>
    </row>
    <row r="288" spans="1:8" hidden="1">
      <c r="A288" s="260"/>
      <c r="B288" s="276">
        <v>2000000</v>
      </c>
      <c r="C288" s="276">
        <f>8000+C287</f>
        <v>14000</v>
      </c>
    </row>
    <row r="289" spans="1:3" hidden="1">
      <c r="A289" s="260"/>
      <c r="B289" s="276">
        <v>3000000</v>
      </c>
      <c r="C289" s="287">
        <f>8000+C288</f>
        <v>22000</v>
      </c>
    </row>
    <row r="290" spans="1:3" hidden="1">
      <c r="A290" s="260"/>
      <c r="B290" s="276">
        <v>4000000</v>
      </c>
      <c r="C290" s="287">
        <f t="shared" ref="C290:C296" si="79">8000+C289</f>
        <v>30000</v>
      </c>
    </row>
    <row r="291" spans="1:3" hidden="1">
      <c r="A291" s="260"/>
      <c r="B291" s="276">
        <v>5000000</v>
      </c>
      <c r="C291" s="287">
        <f t="shared" si="79"/>
        <v>38000</v>
      </c>
    </row>
    <row r="292" spans="1:3" hidden="1">
      <c r="B292" s="287">
        <f>B291+1000000</f>
        <v>6000000</v>
      </c>
      <c r="C292" s="287">
        <f t="shared" si="79"/>
        <v>46000</v>
      </c>
    </row>
    <row r="293" spans="1:3" hidden="1">
      <c r="B293" s="287">
        <f>B292+1000000</f>
        <v>7000000</v>
      </c>
      <c r="C293" s="287">
        <f t="shared" si="79"/>
        <v>54000</v>
      </c>
    </row>
    <row r="294" spans="1:3" hidden="1">
      <c r="B294" s="287">
        <f>B293+1000000</f>
        <v>8000000</v>
      </c>
      <c r="C294" s="287">
        <f t="shared" si="79"/>
        <v>62000</v>
      </c>
    </row>
    <row r="295" spans="1:3" hidden="1">
      <c r="B295" s="287">
        <f>B294+1000000</f>
        <v>9000000</v>
      </c>
      <c r="C295" s="287">
        <f t="shared" si="79"/>
        <v>70000</v>
      </c>
    </row>
    <row r="296" spans="1:3" hidden="1">
      <c r="B296" s="287">
        <f>B295+1000000</f>
        <v>10000000</v>
      </c>
      <c r="C296" s="287">
        <f t="shared" si="79"/>
        <v>78000</v>
      </c>
    </row>
    <row r="297" spans="1:3" hidden="1">
      <c r="B297" s="287"/>
      <c r="C297" s="287"/>
    </row>
    <row r="298" spans="1:3" hidden="1">
      <c r="B298" s="260"/>
      <c r="C298" s="260"/>
    </row>
    <row r="299" spans="1:3" hidden="1">
      <c r="B299" s="260"/>
      <c r="C299" s="260"/>
    </row>
    <row r="300" spans="1:3" hidden="1">
      <c r="B300" s="260"/>
      <c r="C300" s="260"/>
    </row>
    <row r="301" spans="1:3" hidden="1">
      <c r="B301" s="260"/>
      <c r="C301" s="260"/>
    </row>
    <row r="302" spans="1:3" hidden="1">
      <c r="B302" s="260"/>
      <c r="C302" s="260"/>
    </row>
    <row r="303" spans="1:3" hidden="1">
      <c r="B303" s="4" t="s">
        <v>97</v>
      </c>
      <c r="C303" s="260"/>
    </row>
    <row r="304" spans="1:3" hidden="1">
      <c r="B304" s="260" t="s">
        <v>98</v>
      </c>
      <c r="C304" s="260"/>
    </row>
    <row r="305" spans="2:3" hidden="1">
      <c r="B305" s="260" t="s">
        <v>99</v>
      </c>
      <c r="C305" s="260"/>
    </row>
    <row r="306" spans="2:3" hidden="1">
      <c r="B306" s="260" t="s">
        <v>100</v>
      </c>
      <c r="C306" s="260"/>
    </row>
    <row r="307" spans="2:3" hidden="1">
      <c r="B307" s="260" t="s">
        <v>101</v>
      </c>
      <c r="C307" s="276">
        <v>35000</v>
      </c>
    </row>
    <row r="308" spans="2:3" hidden="1">
      <c r="B308" s="260"/>
    </row>
    <row r="309" spans="2:3" hidden="1">
      <c r="B309" s="260"/>
    </row>
    <row r="310" spans="2:3" hidden="1">
      <c r="B310" s="4" t="s">
        <v>102</v>
      </c>
    </row>
    <row r="311" spans="2:3" hidden="1">
      <c r="B311" s="260" t="s">
        <v>67</v>
      </c>
    </row>
    <row r="312" spans="2:3" hidden="1">
      <c r="B312" s="260" t="s">
        <v>68</v>
      </c>
    </row>
    <row r="313" spans="2:3" hidden="1">
      <c r="B313" s="260" t="s">
        <v>103</v>
      </c>
    </row>
    <row r="314" spans="2:3" hidden="1">
      <c r="B314" s="260"/>
    </row>
    <row r="315" spans="2:3" hidden="1">
      <c r="B315" s="260"/>
    </row>
    <row r="316" spans="2:3" hidden="1">
      <c r="B316" s="260"/>
    </row>
    <row r="317" spans="2:3">
      <c r="B317" s="260"/>
    </row>
    <row r="318" spans="2:3">
      <c r="B318" s="260" t="s">
        <v>104</v>
      </c>
    </row>
    <row r="320" spans="2:3">
      <c r="B320" s="260" t="s">
        <v>105</v>
      </c>
    </row>
    <row r="322" spans="2:5">
      <c r="B322" s="260" t="s">
        <v>106</v>
      </c>
    </row>
    <row r="324" spans="2:5">
      <c r="B324" s="260" t="s">
        <v>107</v>
      </c>
      <c r="C324" s="276">
        <v>5168.7251661157843</v>
      </c>
      <c r="D324" s="260"/>
      <c r="E324" s="260"/>
    </row>
    <row r="325" spans="2:5">
      <c r="B325" s="260"/>
      <c r="C325" s="276">
        <v>1926137650.6707556</v>
      </c>
      <c r="D325" s="260"/>
      <c r="E325" s="260"/>
    </row>
    <row r="326" spans="2:5">
      <c r="B326" s="260" t="s">
        <v>108</v>
      </c>
      <c r="C326" s="260"/>
      <c r="D326" s="260"/>
      <c r="E326" s="260"/>
    </row>
    <row r="327" spans="2:5">
      <c r="B327" s="260" t="s">
        <v>109</v>
      </c>
      <c r="C327" s="260"/>
      <c r="D327" s="260"/>
      <c r="E327" s="260"/>
    </row>
    <row r="328" spans="2:5">
      <c r="B328" s="260" t="s">
        <v>110</v>
      </c>
      <c r="C328" s="260"/>
      <c r="D328" s="260"/>
      <c r="E328" s="276">
        <f>20000*341</f>
        <v>6820000</v>
      </c>
    </row>
    <row r="330" spans="2:5">
      <c r="B330" s="14" t="s">
        <v>111</v>
      </c>
      <c r="C330" s="17"/>
      <c r="D330" s="260"/>
      <c r="E330" s="260"/>
    </row>
    <row r="331" spans="2:5">
      <c r="B331" s="260"/>
      <c r="C331" s="18"/>
      <c r="D331" s="260"/>
      <c r="E331" s="260"/>
    </row>
    <row r="333" spans="2:5">
      <c r="B333" s="260"/>
      <c r="C333" s="260"/>
      <c r="D333" s="287">
        <f>D201*2722</f>
        <v>-689451.15458496043</v>
      </c>
      <c r="E333" s="260"/>
    </row>
    <row r="334" spans="2:5">
      <c r="B334" s="260"/>
      <c r="C334" s="260"/>
      <c r="D334" s="287">
        <f>D336+D333</f>
        <v>280816045.20503122</v>
      </c>
      <c r="E334" s="280">
        <f>D334/2722</f>
        <v>103165.33622521353</v>
      </c>
    </row>
    <row r="335" spans="2:5">
      <c r="B335" s="260" t="s">
        <v>112</v>
      </c>
      <c r="C335" s="260"/>
      <c r="D335" s="276">
        <f>(D201+D205)*(-2722)</f>
        <v>3106587.1545849605</v>
      </c>
      <c r="E335" s="260"/>
    </row>
    <row r="336" spans="2:5">
      <c r="B336" s="260" t="s">
        <v>113</v>
      </c>
      <c r="C336" s="260"/>
      <c r="D336" s="276">
        <v>281505496.35961616</v>
      </c>
      <c r="E336" s="260"/>
    </row>
    <row r="340" spans="4:4">
      <c r="D340" s="276">
        <v>5842.054961732525</v>
      </c>
    </row>
    <row r="342" spans="4:4">
      <c r="D342" s="276">
        <f>D340*D201</f>
        <v>-1479725.0325184739</v>
      </c>
    </row>
  </sheetData>
  <mergeCells count="8">
    <mergeCell ref="A138:A147"/>
    <mergeCell ref="A148:A155"/>
    <mergeCell ref="A22:A31"/>
    <mergeCell ref="A32:A39"/>
    <mergeCell ref="A50:A59"/>
    <mergeCell ref="A60:A67"/>
    <mergeCell ref="A115:A124"/>
    <mergeCell ref="A125:A132"/>
  </mergeCells>
  <phoneticPr fontId="110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E507-31B5-4D56-8E11-E2DEE4E78111}">
  <dimension ref="A1:H337"/>
  <sheetViews>
    <sheetView showGridLines="0" zoomScale="60" zoomScaleNormal="60" workbookViewId="0">
      <pane xSplit="3" ySplit="13" topLeftCell="D167" activePane="bottomRight" state="frozen"/>
      <selection pane="topRight" activeCell="C171" sqref="C171:C175"/>
      <selection pane="bottomLeft" activeCell="C171" sqref="C171:C175"/>
      <selection pane="bottomRight" activeCell="E184" sqref="E184:G184"/>
    </sheetView>
  </sheetViews>
  <sheetFormatPr defaultColWidth="8.58203125" defaultRowHeight="14.5" outlineLevelRow="1"/>
  <cols>
    <col min="1" max="1" width="2.83203125" style="60" customWidth="1"/>
    <col min="2" max="2" width="34.33203125" style="60" customWidth="1"/>
    <col min="3" max="3" width="12.33203125" style="60" bestFit="1" customWidth="1"/>
    <col min="4" max="5" width="18.58203125" style="60" customWidth="1"/>
    <col min="6" max="6" width="17.33203125" style="60" customWidth="1"/>
    <col min="7" max="7" width="13" style="60" bestFit="1" customWidth="1"/>
    <col min="8" max="16384" width="8.58203125" style="60"/>
  </cols>
  <sheetData>
    <row r="1" spans="2:7" s="62" customFormat="1" ht="18" customHeight="1">
      <c r="B1" s="15" t="s">
        <v>0</v>
      </c>
      <c r="C1" s="15"/>
      <c r="D1" s="47"/>
      <c r="E1" s="34" t="s">
        <v>128</v>
      </c>
      <c r="F1" s="47"/>
      <c r="G1" s="47"/>
    </row>
    <row r="2" spans="2:7" s="64" customFormat="1" ht="29">
      <c r="B2" s="24" t="s">
        <v>1</v>
      </c>
      <c r="C2" s="63"/>
      <c r="D2" s="48" t="s">
        <v>129</v>
      </c>
      <c r="E2" s="48" t="s">
        <v>130</v>
      </c>
      <c r="F2" s="48" t="s">
        <v>131</v>
      </c>
      <c r="G2" s="48" t="s">
        <v>132</v>
      </c>
    </row>
    <row r="3" spans="2:7" ht="6.75" customHeight="1">
      <c r="B3" s="260"/>
      <c r="C3" s="260"/>
      <c r="D3" s="260"/>
      <c r="E3" s="260"/>
      <c r="F3" s="260"/>
      <c r="G3" s="260"/>
    </row>
    <row r="4" spans="2:7">
      <c r="B4" s="260" t="s">
        <v>8</v>
      </c>
      <c r="C4" s="4"/>
      <c r="D4" s="17">
        <f>Model_Summary!H$282</f>
        <v>0.15340829730399994</v>
      </c>
      <c r="E4" s="17">
        <f>Model_Summary!I$282</f>
        <v>0.11925891596425461</v>
      </c>
      <c r="F4" s="17">
        <f>Model_Summary!J$282</f>
        <v>0.11384400795104616</v>
      </c>
      <c r="G4" s="17">
        <f>Model_Summary!K$282</f>
        <v>9.8510687294957003E-2</v>
      </c>
    </row>
    <row r="5" spans="2:7" ht="15" customHeight="1">
      <c r="B5" s="260" t="s">
        <v>9</v>
      </c>
      <c r="C5" s="4"/>
      <c r="D5" s="17">
        <f>Model_Summary!H283</f>
        <v>0.1</v>
      </c>
      <c r="E5" s="17">
        <f>Model_Summary!I283</f>
        <v>7.6961160451769858E-2</v>
      </c>
      <c r="F5" s="17">
        <f>Model_Summary!J283</f>
        <v>7.2999999999999995E-2</v>
      </c>
      <c r="G5" s="17">
        <f>Model_Summary!K283</f>
        <v>6.2E-2</v>
      </c>
    </row>
    <row r="6" spans="2:7" ht="15" customHeight="1">
      <c r="B6" s="260" t="s">
        <v>10</v>
      </c>
      <c r="C6" s="4"/>
      <c r="D6" s="18">
        <f>Model_Summary!H$286</f>
        <v>6</v>
      </c>
      <c r="E6" s="18">
        <f>Model_Summary!I$286</f>
        <v>11</v>
      </c>
      <c r="F6" s="18">
        <f>Model_Summary!J$286</f>
        <v>11</v>
      </c>
      <c r="G6" s="18">
        <f>Model_Summary!K$286</f>
        <v>11</v>
      </c>
    </row>
    <row r="7" spans="2:7" ht="15" customHeight="1">
      <c r="B7" s="260" t="s">
        <v>11</v>
      </c>
      <c r="C7" s="4"/>
      <c r="D7" s="17">
        <f>Model_Summary!H$287</f>
        <v>0.13500000000000001</v>
      </c>
      <c r="E7" s="17">
        <f>Model_Summary!I$287</f>
        <v>0.13500000000000001</v>
      </c>
      <c r="F7" s="17">
        <f>Model_Summary!J$287</f>
        <v>0.13500000000000001</v>
      </c>
      <c r="G7" s="17">
        <f>Model_Summary!K$287</f>
        <v>0.13500000000000001</v>
      </c>
    </row>
    <row r="8" spans="2:7">
      <c r="B8" s="274" t="s">
        <v>12</v>
      </c>
      <c r="C8" s="274"/>
      <c r="D8" s="27">
        <f>Model_Summary!H$288</f>
        <v>0.246</v>
      </c>
      <c r="E8" s="27">
        <f>Model_Summary!I$288</f>
        <v>0.24099999999999999</v>
      </c>
      <c r="F8" s="27">
        <f>Model_Summary!J$288</f>
        <v>0.15440000000000001</v>
      </c>
      <c r="G8" s="27">
        <f>Model_Summary!K$288</f>
        <v>0.127</v>
      </c>
    </row>
    <row r="9" spans="2:7" ht="3" customHeight="1">
      <c r="B9" s="260"/>
      <c r="C9" s="260"/>
      <c r="D9" s="2"/>
      <c r="E9" s="2"/>
      <c r="F9" s="2"/>
      <c r="G9" s="2"/>
    </row>
    <row r="10" spans="2:7">
      <c r="B10" s="260" t="s">
        <v>13</v>
      </c>
      <c r="C10" s="260"/>
      <c r="D10" s="18">
        <f>Model_Summary!H$279</f>
        <v>1</v>
      </c>
      <c r="E10" s="18">
        <f>Model_Summary!I$279</f>
        <v>1</v>
      </c>
      <c r="F10" s="18">
        <f>Model_Summary!J$279</f>
        <v>1</v>
      </c>
      <c r="G10" s="18">
        <f>Model_Summary!K$279</f>
        <v>1</v>
      </c>
    </row>
    <row r="11" spans="2:7">
      <c r="B11" s="260" t="s">
        <v>14</v>
      </c>
      <c r="C11" s="276"/>
      <c r="D11" s="18">
        <f>Model_Summary!H$278</f>
        <v>130000</v>
      </c>
      <c r="E11" s="18">
        <f>Model_Summary!I$278</f>
        <v>300000</v>
      </c>
      <c r="F11" s="18">
        <f>Model_Summary!J$278</f>
        <v>570000</v>
      </c>
      <c r="G11" s="18">
        <f>Model_Summary!K$278</f>
        <v>2000000</v>
      </c>
    </row>
    <row r="12" spans="2:7" ht="7.5" customHeight="1">
      <c r="B12" s="260"/>
      <c r="C12" s="276"/>
      <c r="D12" s="276"/>
      <c r="E12" s="276"/>
      <c r="F12" s="276"/>
      <c r="G12" s="276"/>
    </row>
    <row r="13" spans="2:7" ht="15" thickBot="1">
      <c r="B13" s="2" t="s">
        <v>15</v>
      </c>
      <c r="C13" s="260"/>
      <c r="D13" s="19">
        <f>D10*D11</f>
        <v>130000</v>
      </c>
      <c r="E13" s="19">
        <f>E10*E11</f>
        <v>300000</v>
      </c>
      <c r="F13" s="19">
        <f>F10*F11</f>
        <v>570000</v>
      </c>
      <c r="G13" s="19">
        <f>G10*G11</f>
        <v>2000000</v>
      </c>
    </row>
    <row r="14" spans="2:7" ht="15" thickTop="1">
      <c r="B14" s="260" t="s">
        <v>16</v>
      </c>
      <c r="C14" s="260"/>
      <c r="D14" s="68">
        <f>Model_Summary!H280</f>
        <v>0.01</v>
      </c>
      <c r="E14" s="68">
        <f>Model_Summary!I280</f>
        <v>0.01</v>
      </c>
      <c r="F14" s="68">
        <f>Model_Summary!J280</f>
        <v>0.04</v>
      </c>
      <c r="G14" s="68">
        <f>Model_Summary!K280</f>
        <v>0.06</v>
      </c>
    </row>
    <row r="15" spans="2:7">
      <c r="B15" s="260" t="s">
        <v>17</v>
      </c>
      <c r="C15" s="260"/>
      <c r="D15" s="277">
        <f>IFERROR(D10/D14,0)</f>
        <v>100</v>
      </c>
      <c r="E15" s="277">
        <f>IFERROR(E10/E14,0)</f>
        <v>100</v>
      </c>
      <c r="F15" s="277">
        <f>IFERROR(F10/F14,0)</f>
        <v>25</v>
      </c>
      <c r="G15" s="277">
        <f>IFERROR(G10/G14,0)</f>
        <v>16.666666666666668</v>
      </c>
    </row>
    <row r="16" spans="2:7">
      <c r="B16" s="2" t="s">
        <v>18</v>
      </c>
      <c r="C16" s="260"/>
      <c r="D16" s="17"/>
      <c r="E16" s="17"/>
      <c r="F16" s="17"/>
      <c r="G16" s="17"/>
    </row>
    <row r="17" spans="1:7">
      <c r="A17" s="260"/>
      <c r="B17" s="2" t="s">
        <v>19</v>
      </c>
      <c r="C17" s="260"/>
      <c r="D17" s="277">
        <f>D$16*D13</f>
        <v>0</v>
      </c>
      <c r="E17" s="277">
        <f>E$16*E13</f>
        <v>0</v>
      </c>
      <c r="F17" s="277">
        <f>F$16*F13</f>
        <v>0</v>
      </c>
      <c r="G17" s="277">
        <f>G$16*G13</f>
        <v>0</v>
      </c>
    </row>
    <row r="18" spans="1:7" s="62" customFormat="1" ht="4" customHeight="1">
      <c r="A18" s="273"/>
      <c r="B18" s="26"/>
      <c r="C18" s="260"/>
      <c r="D18" s="260"/>
      <c r="E18" s="260"/>
      <c r="F18" s="260"/>
      <c r="G18" s="260"/>
    </row>
    <row r="19" spans="1:7">
      <c r="A19" s="260"/>
      <c r="B19" s="2" t="s">
        <v>11</v>
      </c>
      <c r="C19" s="260"/>
      <c r="D19" s="278">
        <f>D7</f>
        <v>0.13500000000000001</v>
      </c>
      <c r="E19" s="278">
        <f>E7</f>
        <v>0.13500000000000001</v>
      </c>
      <c r="F19" s="278">
        <f>F7</f>
        <v>0.13500000000000001</v>
      </c>
      <c r="G19" s="278">
        <f>G7</f>
        <v>0.13500000000000001</v>
      </c>
    </row>
    <row r="20" spans="1:7" ht="4" customHeight="1">
      <c r="A20" s="260"/>
      <c r="B20" s="260"/>
      <c r="C20" s="260"/>
      <c r="D20" s="260"/>
      <c r="E20" s="260"/>
      <c r="F20" s="260"/>
      <c r="G20" s="260"/>
    </row>
    <row r="21" spans="1:7" ht="15" hidden="1" customHeight="1" outlineLevel="1">
      <c r="A21" s="260"/>
      <c r="B21" s="6" t="s">
        <v>20</v>
      </c>
      <c r="C21" s="2"/>
      <c r="D21" s="260"/>
      <c r="E21" s="260"/>
      <c r="F21" s="260"/>
      <c r="G21" s="260"/>
    </row>
    <row r="22" spans="1:7" ht="15" hidden="1" customHeight="1" outlineLevel="1">
      <c r="A22" s="753" t="s">
        <v>21</v>
      </c>
      <c r="B22" s="7" t="s">
        <v>22</v>
      </c>
      <c r="C22" s="260">
        <v>1</v>
      </c>
      <c r="D22" s="279">
        <f>IFERROR(PPMT(D$112,$C22,D$113,D$114),0)</f>
        <v>-14723.588017146663</v>
      </c>
      <c r="E22" s="279">
        <f>IFERROR(PPMT(E$112,$C22,E$113,E$114),0)</f>
        <v>-14583.400618981816</v>
      </c>
      <c r="F22" s="279">
        <f>IFERROR(PPMT(F$112,$C22,F$113,F$114),0)</f>
        <v>-28537.097286084369</v>
      </c>
      <c r="G22" s="279">
        <f>IFERROR(PPMT(G$112,$C22,G$113,G$114),0)</f>
        <v>-108796.80722826783</v>
      </c>
    </row>
    <row r="23" spans="1:7" ht="15" hidden="1" customHeight="1" outlineLevel="1">
      <c r="A23" s="753"/>
      <c r="B23" s="7" t="s">
        <v>23</v>
      </c>
      <c r="C23" s="260">
        <v>2</v>
      </c>
      <c r="D23" s="279">
        <f t="shared" ref="D23:G45" si="0">IFERROR(PPMT(D$112,$C23,D$113,D$114),0)</f>
        <v>-16982.308585062714</v>
      </c>
      <c r="E23" s="279">
        <f t="shared" ref="E23:G31" si="1">IFERROR(PPMT(E$112,$C23,E$113,E$114),0)</f>
        <v>-16322.601167874027</v>
      </c>
      <c r="F23" s="279">
        <f t="shared" si="1"/>
        <v>-31785.874816421139</v>
      </c>
      <c r="G23" s="279">
        <f t="shared" si="1"/>
        <v>-119514.45548382142</v>
      </c>
    </row>
    <row r="24" spans="1:7" ht="15" hidden="1" customHeight="1" outlineLevel="1">
      <c r="A24" s="753"/>
      <c r="B24" s="7" t="s">
        <v>24</v>
      </c>
      <c r="C24" s="260">
        <v>3</v>
      </c>
      <c r="D24" s="279">
        <f t="shared" si="0"/>
        <v>-19587.535629388283</v>
      </c>
      <c r="E24" s="279">
        <f t="shared" si="1"/>
        <v>-18269.216888871561</v>
      </c>
      <c r="F24" s="279">
        <f t="shared" si="1"/>
        <v>-35404.506201752745</v>
      </c>
      <c r="G24" s="279">
        <f t="shared" si="1"/>
        <v>-131287.90663521521</v>
      </c>
    </row>
    <row r="25" spans="1:7" ht="15" hidden="1" customHeight="1" outlineLevel="1">
      <c r="A25" s="753"/>
      <c r="B25" s="7" t="s">
        <v>25</v>
      </c>
      <c r="C25" s="260">
        <v>4</v>
      </c>
      <c r="D25" s="279">
        <f t="shared" si="0"/>
        <v>-22592.426118674171</v>
      </c>
      <c r="E25" s="279">
        <f t="shared" si="1"/>
        <v>-20447.983890554235</v>
      </c>
      <c r="F25" s="279">
        <f t="shared" si="1"/>
        <v>-39435.097087287948</v>
      </c>
      <c r="G25" s="279">
        <f t="shared" si="1"/>
        <v>-144221.16855136643</v>
      </c>
    </row>
    <row r="26" spans="1:7" ht="15" hidden="1" customHeight="1" outlineLevel="1">
      <c r="A26" s="753"/>
      <c r="B26" s="7" t="s">
        <v>26</v>
      </c>
      <c r="C26" s="260">
        <v>5</v>
      </c>
      <c r="D26" s="279">
        <f t="shared" si="0"/>
        <v>-26058.291741506393</v>
      </c>
      <c r="E26" s="279">
        <f t="shared" si="1"/>
        <v>-22886.588282996276</v>
      </c>
      <c r="F26" s="279">
        <f t="shared" si="1"/>
        <v>-43924.546593643427</v>
      </c>
      <c r="G26" s="279">
        <f t="shared" si="1"/>
        <v>-158428.49498784338</v>
      </c>
    </row>
    <row r="27" spans="1:7" ht="15" hidden="1" customHeight="1" outlineLevel="1">
      <c r="A27" s="753"/>
      <c r="B27" s="7" t="s">
        <v>27</v>
      </c>
      <c r="C27" s="260">
        <v>6</v>
      </c>
      <c r="D27" s="279">
        <f t="shared" si="0"/>
        <v>-30055.849908221771</v>
      </c>
      <c r="E27" s="279">
        <f t="shared" si="1"/>
        <v>-25616.017991746623</v>
      </c>
      <c r="F27" s="279">
        <f t="shared" si="1"/>
        <v>-48925.093025296272</v>
      </c>
      <c r="G27" s="279">
        <f t="shared" si="1"/>
        <v>-174035.39491620145</v>
      </c>
    </row>
    <row r="28" spans="1:7" ht="15" hidden="1" customHeight="1" outlineLevel="1">
      <c r="A28" s="753"/>
      <c r="B28" s="7" t="s">
        <v>28</v>
      </c>
      <c r="C28" s="260">
        <v>7</v>
      </c>
      <c r="D28" s="279">
        <f t="shared" si="0"/>
        <v>0</v>
      </c>
      <c r="E28" s="279">
        <f t="shared" si="1"/>
        <v>-28670.95652876317</v>
      </c>
      <c r="F28" s="279">
        <f t="shared" si="1"/>
        <v>-54494.921704673776</v>
      </c>
      <c r="G28" s="279">
        <f t="shared" si="1"/>
        <v>-191179.74128304573</v>
      </c>
    </row>
    <row r="29" spans="1:7" ht="15" hidden="1" customHeight="1" outlineLevel="1">
      <c r="A29" s="753"/>
      <c r="B29" s="7" t="s">
        <v>29</v>
      </c>
      <c r="C29" s="260">
        <v>8</v>
      </c>
      <c r="D29" s="279">
        <f t="shared" si="0"/>
        <v>0</v>
      </c>
      <c r="E29" s="279">
        <f t="shared" si="1"/>
        <v>-32090.223724041731</v>
      </c>
      <c r="F29" s="279">
        <f t="shared" si="1"/>
        <v>-60698.842004512291</v>
      </c>
      <c r="G29" s="279">
        <f t="shared" si="1"/>
        <v>-210012.98899371063</v>
      </c>
    </row>
    <row r="30" spans="1:7" ht="15" hidden="1" customHeight="1" outlineLevel="1">
      <c r="A30" s="753"/>
      <c r="B30" s="7" t="s">
        <v>30</v>
      </c>
      <c r="C30" s="260">
        <v>9</v>
      </c>
      <c r="D30" s="279">
        <f t="shared" si="0"/>
        <v>0</v>
      </c>
      <c r="E30" s="279">
        <f t="shared" si="1"/>
        <v>-35917.269018421357</v>
      </c>
      <c r="F30" s="279">
        <f t="shared" si="1"/>
        <v>-67609.041456293271</v>
      </c>
      <c r="G30" s="279">
        <f t="shared" si="1"/>
        <v>-230701.5128803493</v>
      </c>
    </row>
    <row r="31" spans="1:7" ht="15" hidden="1" customHeight="1" outlineLevel="1">
      <c r="A31" s="753"/>
      <c r="B31" s="7" t="s">
        <v>31</v>
      </c>
      <c r="C31" s="260">
        <v>10</v>
      </c>
      <c r="D31" s="279">
        <f t="shared" si="0"/>
        <v>0</v>
      </c>
      <c r="E31" s="279">
        <f t="shared" si="1"/>
        <v>-40200.723585954795</v>
      </c>
      <c r="F31" s="279">
        <f t="shared" si="1"/>
        <v>-75305.925709406132</v>
      </c>
      <c r="G31" s="279">
        <f t="shared" si="1"/>
        <v>-253428.07747417889</v>
      </c>
    </row>
    <row r="32" spans="1:7" ht="15" hidden="1" customHeight="1" outlineLevel="1">
      <c r="A32" s="753" t="s">
        <v>32</v>
      </c>
      <c r="B32" s="7" t="s">
        <v>33</v>
      </c>
      <c r="C32" s="260">
        <v>11</v>
      </c>
      <c r="D32" s="279">
        <f t="shared" si="0"/>
        <v>0</v>
      </c>
      <c r="E32" s="279">
        <f t="shared" si="0"/>
        <v>-44995.0183017944</v>
      </c>
      <c r="F32" s="279">
        <f t="shared" si="0"/>
        <v>-83879.054114628656</v>
      </c>
      <c r="G32" s="279">
        <f t="shared" si="0"/>
        <v>-278393.45156599983</v>
      </c>
    </row>
    <row r="33" spans="1:7" ht="15" hidden="1" customHeight="1" outlineLevel="1">
      <c r="A33" s="753"/>
      <c r="B33" s="7" t="s">
        <v>34</v>
      </c>
      <c r="C33" s="260">
        <v>12</v>
      </c>
      <c r="D33" s="279">
        <f t="shared" si="0"/>
        <v>0</v>
      </c>
      <c r="E33" s="279">
        <f t="shared" si="0"/>
        <v>0</v>
      </c>
      <c r="F33" s="279">
        <f t="shared" si="0"/>
        <v>0</v>
      </c>
      <c r="G33" s="279">
        <f t="shared" si="0"/>
        <v>0</v>
      </c>
    </row>
    <row r="34" spans="1:7" ht="15" hidden="1" customHeight="1" outlineLevel="1">
      <c r="A34" s="753"/>
      <c r="B34" s="7" t="s">
        <v>22</v>
      </c>
      <c r="C34" s="260">
        <v>13</v>
      </c>
      <c r="D34" s="279">
        <f t="shared" si="0"/>
        <v>0</v>
      </c>
      <c r="E34" s="279">
        <f t="shared" si="0"/>
        <v>0</v>
      </c>
      <c r="F34" s="279">
        <f t="shared" si="0"/>
        <v>0</v>
      </c>
      <c r="G34" s="279">
        <f t="shared" si="0"/>
        <v>0</v>
      </c>
    </row>
    <row r="35" spans="1:7" ht="15" hidden="1" customHeight="1" outlineLevel="1">
      <c r="A35" s="753"/>
      <c r="B35" s="7" t="s">
        <v>23</v>
      </c>
      <c r="C35" s="260">
        <v>14</v>
      </c>
      <c r="D35" s="279">
        <f t="shared" si="0"/>
        <v>0</v>
      </c>
      <c r="E35" s="279">
        <f t="shared" si="0"/>
        <v>0</v>
      </c>
      <c r="F35" s="279">
        <f t="shared" si="0"/>
        <v>0</v>
      </c>
      <c r="G35" s="279">
        <f t="shared" si="0"/>
        <v>0</v>
      </c>
    </row>
    <row r="36" spans="1:7" ht="15" hidden="1" customHeight="1" outlineLevel="1">
      <c r="A36" s="753"/>
      <c r="B36" s="7" t="s">
        <v>24</v>
      </c>
      <c r="C36" s="260">
        <v>15</v>
      </c>
      <c r="D36" s="279">
        <f t="shared" si="0"/>
        <v>0</v>
      </c>
      <c r="E36" s="279">
        <f t="shared" si="0"/>
        <v>0</v>
      </c>
      <c r="F36" s="279">
        <f t="shared" si="0"/>
        <v>0</v>
      </c>
      <c r="G36" s="279">
        <f t="shared" si="0"/>
        <v>0</v>
      </c>
    </row>
    <row r="37" spans="1:7" ht="15" hidden="1" customHeight="1" outlineLevel="1">
      <c r="A37" s="753"/>
      <c r="B37" s="7" t="s">
        <v>25</v>
      </c>
      <c r="C37" s="260">
        <v>16</v>
      </c>
      <c r="D37" s="279">
        <f t="shared" si="0"/>
        <v>0</v>
      </c>
      <c r="E37" s="279">
        <f t="shared" si="0"/>
        <v>0</v>
      </c>
      <c r="F37" s="279">
        <f t="shared" si="0"/>
        <v>0</v>
      </c>
      <c r="G37" s="279">
        <f t="shared" si="0"/>
        <v>0</v>
      </c>
    </row>
    <row r="38" spans="1:7" ht="15" hidden="1" customHeight="1" outlineLevel="1">
      <c r="A38" s="753"/>
      <c r="B38" s="7" t="s">
        <v>26</v>
      </c>
      <c r="C38" s="260">
        <v>17</v>
      </c>
      <c r="D38" s="279">
        <f t="shared" si="0"/>
        <v>0</v>
      </c>
      <c r="E38" s="279">
        <f t="shared" si="0"/>
        <v>0</v>
      </c>
      <c r="F38" s="279">
        <f t="shared" si="0"/>
        <v>0</v>
      </c>
      <c r="G38" s="279">
        <f t="shared" si="0"/>
        <v>0</v>
      </c>
    </row>
    <row r="39" spans="1:7" ht="15" hidden="1" customHeight="1" outlineLevel="1">
      <c r="A39" s="753"/>
      <c r="B39" s="7" t="s">
        <v>27</v>
      </c>
      <c r="C39" s="260">
        <v>18</v>
      </c>
      <c r="D39" s="279">
        <f t="shared" si="0"/>
        <v>0</v>
      </c>
      <c r="E39" s="279">
        <f t="shared" si="0"/>
        <v>0</v>
      </c>
      <c r="F39" s="279">
        <f t="shared" si="0"/>
        <v>0</v>
      </c>
      <c r="G39" s="279">
        <f t="shared" si="0"/>
        <v>0</v>
      </c>
    </row>
    <row r="40" spans="1:7" ht="15" hidden="1" customHeight="1" outlineLevel="1">
      <c r="A40" s="637"/>
      <c r="B40" s="566" t="s">
        <v>28</v>
      </c>
      <c r="C40" s="260">
        <v>19</v>
      </c>
      <c r="D40" s="279">
        <f t="shared" si="0"/>
        <v>0</v>
      </c>
      <c r="E40" s="279">
        <f t="shared" si="0"/>
        <v>0</v>
      </c>
      <c r="F40" s="279">
        <f t="shared" si="0"/>
        <v>0</v>
      </c>
      <c r="G40" s="279">
        <f t="shared" si="0"/>
        <v>0</v>
      </c>
    </row>
    <row r="41" spans="1:7" ht="15" hidden="1" customHeight="1" outlineLevel="1">
      <c r="A41" s="637"/>
      <c r="B41" s="566" t="s">
        <v>29</v>
      </c>
      <c r="C41" s="260">
        <v>20</v>
      </c>
      <c r="D41" s="279">
        <f t="shared" si="0"/>
        <v>0</v>
      </c>
      <c r="E41" s="279">
        <f t="shared" si="0"/>
        <v>0</v>
      </c>
      <c r="F41" s="279">
        <f t="shared" si="0"/>
        <v>0</v>
      </c>
      <c r="G41" s="279">
        <f t="shared" si="0"/>
        <v>0</v>
      </c>
    </row>
    <row r="42" spans="1:7" ht="15" hidden="1" customHeight="1" outlineLevel="1">
      <c r="A42" s="637"/>
      <c r="B42" s="566" t="s">
        <v>30</v>
      </c>
      <c r="C42" s="260">
        <v>21</v>
      </c>
      <c r="D42" s="279">
        <f t="shared" si="0"/>
        <v>0</v>
      </c>
      <c r="E42" s="279">
        <f t="shared" si="0"/>
        <v>0</v>
      </c>
      <c r="F42" s="279">
        <f t="shared" si="0"/>
        <v>0</v>
      </c>
      <c r="G42" s="279">
        <f t="shared" si="0"/>
        <v>0</v>
      </c>
    </row>
    <row r="43" spans="1:7" ht="15" hidden="1" customHeight="1" outlineLevel="1">
      <c r="A43" s="637"/>
      <c r="B43" s="566" t="s">
        <v>31</v>
      </c>
      <c r="C43" s="260">
        <v>22</v>
      </c>
      <c r="D43" s="279">
        <f t="shared" si="0"/>
        <v>0</v>
      </c>
      <c r="E43" s="279">
        <f t="shared" si="0"/>
        <v>0</v>
      </c>
      <c r="F43" s="279">
        <f t="shared" si="0"/>
        <v>0</v>
      </c>
      <c r="G43" s="279">
        <f t="shared" si="0"/>
        <v>0</v>
      </c>
    </row>
    <row r="44" spans="1:7" ht="15" hidden="1" customHeight="1" outlineLevel="1">
      <c r="A44" s="637"/>
      <c r="B44" s="566" t="s">
        <v>33</v>
      </c>
      <c r="C44" s="260">
        <v>23</v>
      </c>
      <c r="D44" s="279">
        <f t="shared" si="0"/>
        <v>0</v>
      </c>
      <c r="E44" s="279">
        <f t="shared" si="0"/>
        <v>0</v>
      </c>
      <c r="F44" s="279">
        <f t="shared" si="0"/>
        <v>0</v>
      </c>
      <c r="G44" s="279">
        <f t="shared" si="0"/>
        <v>0</v>
      </c>
    </row>
    <row r="45" spans="1:7" ht="15" hidden="1" customHeight="1" outlineLevel="1">
      <c r="A45" s="637"/>
      <c r="B45" s="566" t="s">
        <v>34</v>
      </c>
      <c r="C45" s="260">
        <v>24</v>
      </c>
      <c r="D45" s="279">
        <f t="shared" si="0"/>
        <v>0</v>
      </c>
      <c r="E45" s="279">
        <f t="shared" si="0"/>
        <v>0</v>
      </c>
      <c r="F45" s="279">
        <f t="shared" si="0"/>
        <v>0</v>
      </c>
      <c r="G45" s="279">
        <f t="shared" si="0"/>
        <v>0</v>
      </c>
    </row>
    <row r="46" spans="1:7" ht="15" hidden="1" customHeight="1" outlineLevel="1">
      <c r="A46" s="260"/>
      <c r="B46" s="6"/>
      <c r="C46" s="2"/>
      <c r="D46" s="260"/>
      <c r="E46" s="260"/>
      <c r="F46" s="260"/>
      <c r="G46" s="260"/>
    </row>
    <row r="47" spans="1:7" ht="15" hidden="1" customHeight="1" outlineLevel="1">
      <c r="A47" s="260"/>
      <c r="B47" s="6"/>
      <c r="C47" s="2"/>
      <c r="D47" s="260"/>
      <c r="E47" s="260"/>
      <c r="F47" s="260"/>
      <c r="G47" s="260"/>
    </row>
    <row r="48" spans="1:7" ht="15" hidden="1" customHeight="1" outlineLevel="1">
      <c r="A48" s="260"/>
      <c r="B48" s="6"/>
      <c r="C48" s="2"/>
      <c r="D48" s="260"/>
      <c r="E48" s="260"/>
      <c r="F48" s="260"/>
      <c r="G48" s="260"/>
    </row>
    <row r="49" spans="1:7" ht="15" hidden="1" customHeight="1" outlineLevel="1">
      <c r="A49" s="260"/>
      <c r="B49" s="9" t="s">
        <v>35</v>
      </c>
      <c r="C49" s="2"/>
      <c r="D49" s="260"/>
      <c r="E49" s="260"/>
      <c r="F49" s="260"/>
      <c r="G49" s="260"/>
    </row>
    <row r="50" spans="1:7" ht="15" hidden="1" customHeight="1" outlineLevel="1">
      <c r="A50" s="753" t="s">
        <v>21</v>
      </c>
      <c r="B50" s="7" t="s">
        <v>22</v>
      </c>
      <c r="C50" s="260">
        <v>1</v>
      </c>
      <c r="D50" s="279">
        <f t="shared" ref="D50:F50" si="2">D22+D138</f>
        <v>-34666.666666666657</v>
      </c>
      <c r="E50" s="279">
        <f t="shared" si="2"/>
        <v>-50361.075408258199</v>
      </c>
      <c r="F50" s="279">
        <f t="shared" si="2"/>
        <v>-93428.181818180674</v>
      </c>
      <c r="G50" s="279">
        <f>G22+G138</f>
        <v>-305818.18181818188</v>
      </c>
    </row>
    <row r="51" spans="1:7" ht="15" hidden="1" customHeight="1" outlineLevel="1">
      <c r="A51" s="753"/>
      <c r="B51" s="7" t="s">
        <v>23</v>
      </c>
      <c r="C51" s="260">
        <v>2</v>
      </c>
      <c r="D51" s="279">
        <f t="shared" ref="D51" si="3">D23+D139</f>
        <v>-34666.666666666657</v>
      </c>
      <c r="E51" s="279">
        <f t="shared" ref="E51" si="4">E23+E139</f>
        <v>-50361.075408258199</v>
      </c>
      <c r="F51" s="279">
        <f t="shared" ref="F51" si="5">F23+F139</f>
        <v>-93428.181818180688</v>
      </c>
      <c r="G51" s="279">
        <f t="shared" ref="G51:G73" si="6">G23+G139</f>
        <v>-305818.18181818182</v>
      </c>
    </row>
    <row r="52" spans="1:7" ht="15" hidden="1" customHeight="1" outlineLevel="1">
      <c r="A52" s="753"/>
      <c r="B52" s="7" t="s">
        <v>24</v>
      </c>
      <c r="C52" s="260">
        <v>3</v>
      </c>
      <c r="D52" s="279">
        <f t="shared" ref="D52" si="7">D24+D140</f>
        <v>-34666.666666666657</v>
      </c>
      <c r="E52" s="279">
        <f t="shared" ref="E52" si="8">E24+E140</f>
        <v>-50361.075408258206</v>
      </c>
      <c r="F52" s="279">
        <f t="shared" ref="F52" si="9">F24+F140</f>
        <v>-93428.181818180674</v>
      </c>
      <c r="G52" s="279">
        <f t="shared" si="6"/>
        <v>-305818.18181818182</v>
      </c>
    </row>
    <row r="53" spans="1:7" ht="15" hidden="1" customHeight="1" outlineLevel="1">
      <c r="A53" s="753"/>
      <c r="B53" s="7" t="s">
        <v>25</v>
      </c>
      <c r="C53" s="260">
        <v>4</v>
      </c>
      <c r="D53" s="279">
        <f t="shared" ref="D53" si="10">D25+D141</f>
        <v>-34666.666666666657</v>
      </c>
      <c r="E53" s="279">
        <f t="shared" ref="E53" si="11">E25+E141</f>
        <v>-50361.075408258199</v>
      </c>
      <c r="F53" s="279">
        <f t="shared" ref="F53" si="12">F25+F141</f>
        <v>-93428.181818180688</v>
      </c>
      <c r="G53" s="279">
        <f t="shared" si="6"/>
        <v>-305818.18181818188</v>
      </c>
    </row>
    <row r="54" spans="1:7" ht="15" hidden="1" customHeight="1" outlineLevel="1">
      <c r="A54" s="753"/>
      <c r="B54" s="7" t="s">
        <v>26</v>
      </c>
      <c r="C54" s="260">
        <v>5</v>
      </c>
      <c r="D54" s="279">
        <f t="shared" ref="D54" si="13">D26+D142</f>
        <v>-34666.666666666657</v>
      </c>
      <c r="E54" s="279">
        <f t="shared" ref="E54" si="14">E26+E142</f>
        <v>-50361.075408258199</v>
      </c>
      <c r="F54" s="279">
        <f t="shared" ref="F54" si="15">F26+F142</f>
        <v>-93428.181818180688</v>
      </c>
      <c r="G54" s="279">
        <f t="shared" si="6"/>
        <v>-305818.18181818188</v>
      </c>
    </row>
    <row r="55" spans="1:7" ht="15" hidden="1" customHeight="1" outlineLevel="1">
      <c r="A55" s="753"/>
      <c r="B55" s="7" t="s">
        <v>27</v>
      </c>
      <c r="C55" s="260">
        <v>6</v>
      </c>
      <c r="D55" s="279">
        <f t="shared" ref="D55" si="16">D27+D143</f>
        <v>-34666.666666666657</v>
      </c>
      <c r="E55" s="279">
        <f t="shared" ref="E55" si="17">E27+E143</f>
        <v>-50361.075408258199</v>
      </c>
      <c r="F55" s="279">
        <f t="shared" ref="F55" si="18">F27+F143</f>
        <v>-93428.181818180688</v>
      </c>
      <c r="G55" s="279">
        <f t="shared" si="6"/>
        <v>-305818.18181818182</v>
      </c>
    </row>
    <row r="56" spans="1:7" ht="15" hidden="1" customHeight="1" outlineLevel="1">
      <c r="A56" s="753"/>
      <c r="B56" s="7" t="s">
        <v>28</v>
      </c>
      <c r="C56" s="260">
        <v>7</v>
      </c>
      <c r="D56" s="279">
        <f t="shared" ref="D56" si="19">D28+D144</f>
        <v>0</v>
      </c>
      <c r="E56" s="279">
        <f t="shared" ref="E56" si="20">E28+E144</f>
        <v>-50361.075408258206</v>
      </c>
      <c r="F56" s="279">
        <f t="shared" ref="F56" si="21">F28+F144</f>
        <v>-93428.181818180688</v>
      </c>
      <c r="G56" s="279">
        <f t="shared" si="6"/>
        <v>-305818.18181818182</v>
      </c>
    </row>
    <row r="57" spans="1:7" ht="15" hidden="1" customHeight="1" outlineLevel="1">
      <c r="A57" s="753"/>
      <c r="B57" s="7" t="s">
        <v>29</v>
      </c>
      <c r="C57" s="260">
        <v>8</v>
      </c>
      <c r="D57" s="279">
        <f t="shared" ref="D57" si="22">D29+D145</f>
        <v>0</v>
      </c>
      <c r="E57" s="279">
        <f t="shared" ref="E57" si="23">E29+E145</f>
        <v>-50361.075408258199</v>
      </c>
      <c r="F57" s="279">
        <f t="shared" ref="F57" si="24">F29+F145</f>
        <v>-93428.181818180688</v>
      </c>
      <c r="G57" s="279">
        <f t="shared" si="6"/>
        <v>-305818.18181818188</v>
      </c>
    </row>
    <row r="58" spans="1:7" ht="15" hidden="1" customHeight="1" outlineLevel="1">
      <c r="A58" s="753"/>
      <c r="B58" s="7" t="s">
        <v>30</v>
      </c>
      <c r="C58" s="260">
        <v>9</v>
      </c>
      <c r="D58" s="279">
        <f t="shared" ref="D58" si="25">D30+D146</f>
        <v>0</v>
      </c>
      <c r="E58" s="279">
        <f t="shared" ref="E58" si="26">E30+E146</f>
        <v>-50361.075408258206</v>
      </c>
      <c r="F58" s="279">
        <f t="shared" ref="F58" si="27">F30+F146</f>
        <v>-93428.181818180674</v>
      </c>
      <c r="G58" s="279">
        <f t="shared" si="6"/>
        <v>-305818.18181818182</v>
      </c>
    </row>
    <row r="59" spans="1:7" ht="15" hidden="1" customHeight="1" outlineLevel="1">
      <c r="A59" s="753"/>
      <c r="B59" s="7" t="s">
        <v>31</v>
      </c>
      <c r="C59" s="260">
        <v>10</v>
      </c>
      <c r="D59" s="279">
        <f t="shared" ref="D59" si="28">D31+D147</f>
        <v>0</v>
      </c>
      <c r="E59" s="279">
        <f t="shared" ref="E59" si="29">E31+E147</f>
        <v>-50361.075408258199</v>
      </c>
      <c r="F59" s="279">
        <f t="shared" ref="F59" si="30">F31+F147</f>
        <v>-93428.181818180674</v>
      </c>
      <c r="G59" s="279">
        <f t="shared" si="6"/>
        <v>-305818.18181818182</v>
      </c>
    </row>
    <row r="60" spans="1:7" ht="15" hidden="1" customHeight="1" outlineLevel="1">
      <c r="A60" s="753" t="s">
        <v>32</v>
      </c>
      <c r="B60" s="7" t="s">
        <v>33</v>
      </c>
      <c r="C60" s="260">
        <v>11</v>
      </c>
      <c r="D60" s="279">
        <f t="shared" ref="D60" si="31">D32+D148</f>
        <v>0</v>
      </c>
      <c r="E60" s="279">
        <f t="shared" ref="E60" si="32">E32+E148</f>
        <v>-50361.075408258199</v>
      </c>
      <c r="F60" s="279">
        <f t="shared" ref="F60" si="33">F32+F148</f>
        <v>-93428.181818180674</v>
      </c>
      <c r="G60" s="279">
        <f t="shared" si="6"/>
        <v>-305818.18181818177</v>
      </c>
    </row>
    <row r="61" spans="1:7" ht="15" hidden="1" customHeight="1" outlineLevel="1">
      <c r="A61" s="753"/>
      <c r="B61" s="7" t="s">
        <v>34</v>
      </c>
      <c r="C61" s="260">
        <v>12</v>
      </c>
      <c r="D61" s="279">
        <f t="shared" ref="D61" si="34">D33+D149</f>
        <v>0</v>
      </c>
      <c r="E61" s="279">
        <f t="shared" ref="E61" si="35">E33+E149</f>
        <v>0</v>
      </c>
      <c r="F61" s="279">
        <f t="shared" ref="F61" si="36">F33+F149</f>
        <v>0</v>
      </c>
      <c r="G61" s="279">
        <f t="shared" si="6"/>
        <v>0</v>
      </c>
    </row>
    <row r="62" spans="1:7" ht="15" hidden="1" customHeight="1" outlineLevel="1">
      <c r="A62" s="753"/>
      <c r="B62" s="7" t="s">
        <v>22</v>
      </c>
      <c r="C62" s="260">
        <v>13</v>
      </c>
      <c r="D62" s="279">
        <f t="shared" ref="D62" si="37">D34+D150</f>
        <v>0</v>
      </c>
      <c r="E62" s="279">
        <f t="shared" ref="E62" si="38">E34+E150</f>
        <v>0</v>
      </c>
      <c r="F62" s="279">
        <f t="shared" ref="F62" si="39">F34+F150</f>
        <v>0</v>
      </c>
      <c r="G62" s="279">
        <f t="shared" si="6"/>
        <v>0</v>
      </c>
    </row>
    <row r="63" spans="1:7" ht="15" hidden="1" customHeight="1" outlineLevel="1">
      <c r="A63" s="753"/>
      <c r="B63" s="7" t="s">
        <v>23</v>
      </c>
      <c r="C63" s="260">
        <v>14</v>
      </c>
      <c r="D63" s="279">
        <f t="shared" ref="D63" si="40">D35+D151</f>
        <v>0</v>
      </c>
      <c r="E63" s="279">
        <f t="shared" ref="E63" si="41">E35+E151</f>
        <v>0</v>
      </c>
      <c r="F63" s="279">
        <f t="shared" ref="F63" si="42">F35+F151</f>
        <v>0</v>
      </c>
      <c r="G63" s="279">
        <f t="shared" si="6"/>
        <v>0</v>
      </c>
    </row>
    <row r="64" spans="1:7" ht="15" hidden="1" customHeight="1" outlineLevel="1">
      <c r="A64" s="753"/>
      <c r="B64" s="7" t="s">
        <v>24</v>
      </c>
      <c r="C64" s="260">
        <v>15</v>
      </c>
      <c r="D64" s="279">
        <f t="shared" ref="D64" si="43">D36+D152</f>
        <v>0</v>
      </c>
      <c r="E64" s="279">
        <f t="shared" ref="E64" si="44">E36+E152</f>
        <v>0</v>
      </c>
      <c r="F64" s="279">
        <f t="shared" ref="F64" si="45">F36+F152</f>
        <v>0</v>
      </c>
      <c r="G64" s="279">
        <f t="shared" si="6"/>
        <v>0</v>
      </c>
    </row>
    <row r="65" spans="1:7" ht="15" hidden="1" customHeight="1" outlineLevel="1">
      <c r="A65" s="753"/>
      <c r="B65" s="7" t="s">
        <v>25</v>
      </c>
      <c r="C65" s="260">
        <v>16</v>
      </c>
      <c r="D65" s="279">
        <f t="shared" ref="D65" si="46">D37+D153</f>
        <v>0</v>
      </c>
      <c r="E65" s="279">
        <f t="shared" ref="E65" si="47">E37+E153</f>
        <v>0</v>
      </c>
      <c r="F65" s="279">
        <f t="shared" ref="F65" si="48">F37+F153</f>
        <v>0</v>
      </c>
      <c r="G65" s="279">
        <f t="shared" si="6"/>
        <v>0</v>
      </c>
    </row>
    <row r="66" spans="1:7" ht="15" hidden="1" customHeight="1" outlineLevel="1">
      <c r="A66" s="753"/>
      <c r="B66" s="7" t="s">
        <v>26</v>
      </c>
      <c r="C66" s="260">
        <v>17</v>
      </c>
      <c r="D66" s="279">
        <f t="shared" ref="D66" si="49">D38+D154</f>
        <v>0</v>
      </c>
      <c r="E66" s="279">
        <f t="shared" ref="E66" si="50">E38+E154</f>
        <v>0</v>
      </c>
      <c r="F66" s="279">
        <f t="shared" ref="F66" si="51">F38+F154</f>
        <v>0</v>
      </c>
      <c r="G66" s="279">
        <f t="shared" si="6"/>
        <v>0</v>
      </c>
    </row>
    <row r="67" spans="1:7" ht="15" hidden="1" customHeight="1" outlineLevel="1">
      <c r="A67" s="753"/>
      <c r="B67" s="7" t="s">
        <v>27</v>
      </c>
      <c r="C67" s="260">
        <v>18</v>
      </c>
      <c r="D67" s="279">
        <f t="shared" ref="D67" si="52">D39+D155</f>
        <v>0</v>
      </c>
      <c r="E67" s="279">
        <f t="shared" ref="E67" si="53">E39+E155</f>
        <v>0</v>
      </c>
      <c r="F67" s="279">
        <f t="shared" ref="F67" si="54">F39+F155</f>
        <v>0</v>
      </c>
      <c r="G67" s="279">
        <f t="shared" si="6"/>
        <v>0</v>
      </c>
    </row>
    <row r="68" spans="1:7" ht="15" hidden="1" customHeight="1" outlineLevel="1">
      <c r="A68" s="637"/>
      <c r="B68" s="566" t="s">
        <v>28</v>
      </c>
      <c r="C68" s="260">
        <v>19</v>
      </c>
      <c r="D68" s="279">
        <f t="shared" ref="D68" si="55">D40+D156</f>
        <v>0</v>
      </c>
      <c r="E68" s="279">
        <f t="shared" ref="E68" si="56">E40+E156</f>
        <v>0</v>
      </c>
      <c r="F68" s="279">
        <f t="shared" ref="F68" si="57">F40+F156</f>
        <v>0</v>
      </c>
      <c r="G68" s="279">
        <f t="shared" si="6"/>
        <v>0</v>
      </c>
    </row>
    <row r="69" spans="1:7" ht="15" hidden="1" customHeight="1" outlineLevel="1">
      <c r="A69" s="637"/>
      <c r="B69" s="566" t="s">
        <v>29</v>
      </c>
      <c r="C69" s="260">
        <v>20</v>
      </c>
      <c r="D69" s="279">
        <f t="shared" ref="D69" si="58">D41+D157</f>
        <v>0</v>
      </c>
      <c r="E69" s="279">
        <f t="shared" ref="E69" si="59">E41+E157</f>
        <v>0</v>
      </c>
      <c r="F69" s="279">
        <f t="shared" ref="F69" si="60">F41+F157</f>
        <v>0</v>
      </c>
      <c r="G69" s="279">
        <f t="shared" si="6"/>
        <v>0</v>
      </c>
    </row>
    <row r="70" spans="1:7" ht="15" hidden="1" customHeight="1" outlineLevel="1">
      <c r="A70" s="637"/>
      <c r="B70" s="566" t="s">
        <v>30</v>
      </c>
      <c r="C70" s="260">
        <v>21</v>
      </c>
      <c r="D70" s="279">
        <f t="shared" ref="D70" si="61">D42+D158</f>
        <v>0</v>
      </c>
      <c r="E70" s="279">
        <f t="shared" ref="E70" si="62">E42+E158</f>
        <v>0</v>
      </c>
      <c r="F70" s="279">
        <f t="shared" ref="F70" si="63">F42+F158</f>
        <v>0</v>
      </c>
      <c r="G70" s="279">
        <f t="shared" si="6"/>
        <v>0</v>
      </c>
    </row>
    <row r="71" spans="1:7" ht="15" hidden="1" customHeight="1" outlineLevel="1">
      <c r="A71" s="637"/>
      <c r="B71" s="566" t="s">
        <v>31</v>
      </c>
      <c r="C71" s="260">
        <v>22</v>
      </c>
      <c r="D71" s="279">
        <f t="shared" ref="D71" si="64">D43+D159</f>
        <v>0</v>
      </c>
      <c r="E71" s="279">
        <f t="shared" ref="E71" si="65">E43+E159</f>
        <v>0</v>
      </c>
      <c r="F71" s="279">
        <f t="shared" ref="F71" si="66">F43+F159</f>
        <v>0</v>
      </c>
      <c r="G71" s="279">
        <f t="shared" si="6"/>
        <v>0</v>
      </c>
    </row>
    <row r="72" spans="1:7" ht="15" hidden="1" customHeight="1" outlineLevel="1">
      <c r="A72" s="637"/>
      <c r="B72" s="566" t="s">
        <v>33</v>
      </c>
      <c r="C72" s="260">
        <v>23</v>
      </c>
      <c r="D72" s="279">
        <f t="shared" ref="D72" si="67">D44+D160</f>
        <v>0</v>
      </c>
      <c r="E72" s="279">
        <f t="shared" ref="E72" si="68">E44+E160</f>
        <v>0</v>
      </c>
      <c r="F72" s="279">
        <f t="shared" ref="F72" si="69">F44+F160</f>
        <v>0</v>
      </c>
      <c r="G72" s="279">
        <f t="shared" si="6"/>
        <v>0</v>
      </c>
    </row>
    <row r="73" spans="1:7" ht="15" hidden="1" customHeight="1" outlineLevel="1">
      <c r="A73" s="637"/>
      <c r="B73" s="566" t="s">
        <v>34</v>
      </c>
      <c r="C73" s="260">
        <v>24</v>
      </c>
      <c r="D73" s="279">
        <f t="shared" ref="D73" si="70">D45+D161</f>
        <v>0</v>
      </c>
      <c r="E73" s="279">
        <f t="shared" ref="E73" si="71">E45+E161</f>
        <v>0</v>
      </c>
      <c r="F73" s="279">
        <f t="shared" ref="F73" si="72">F45+F161</f>
        <v>0</v>
      </c>
      <c r="G73" s="279">
        <f t="shared" si="6"/>
        <v>0</v>
      </c>
    </row>
    <row r="74" spans="1:7" ht="15" hidden="1" customHeight="1" outlineLevel="1">
      <c r="A74" s="260"/>
      <c r="B74" s="260"/>
      <c r="C74" s="260"/>
      <c r="D74" s="260"/>
      <c r="E74" s="260"/>
      <c r="F74" s="260"/>
      <c r="G74" s="260"/>
    </row>
    <row r="75" spans="1:7" ht="15" hidden="1" customHeight="1" outlineLevel="1">
      <c r="A75" s="260"/>
      <c r="B75" s="260"/>
      <c r="C75" s="260"/>
      <c r="D75" s="260"/>
      <c r="E75" s="260"/>
      <c r="F75" s="260"/>
      <c r="G75" s="260"/>
    </row>
    <row r="76" spans="1:7" ht="15" hidden="1" customHeight="1" outlineLevel="1">
      <c r="A76" s="260"/>
      <c r="B76" s="2" t="s">
        <v>36</v>
      </c>
      <c r="C76" s="260"/>
      <c r="D76" s="260"/>
      <c r="E76" s="260"/>
      <c r="F76" s="260"/>
      <c r="G76" s="260"/>
    </row>
    <row r="77" spans="1:7" ht="15" hidden="1" customHeight="1" outlineLevel="1">
      <c r="D77" s="281">
        <f>D114</f>
        <v>130000</v>
      </c>
      <c r="E77" s="281">
        <f>E114</f>
        <v>300000</v>
      </c>
      <c r="F77" s="281">
        <f>F114</f>
        <v>570000</v>
      </c>
      <c r="G77" s="281">
        <f>G114</f>
        <v>2000000</v>
      </c>
    </row>
    <row r="78" spans="1:7" ht="15" hidden="1" customHeight="1" outlineLevel="1">
      <c r="D78" s="281">
        <f t="shared" ref="D78:D92" si="73">IF((D77+D22)&lt;0,0,D77+D22)</f>
        <v>115276.41198285334</v>
      </c>
      <c r="E78" s="281">
        <f t="shared" ref="E78:E92" si="74">IF((E77+E22)&lt;0,0,E77+E22)</f>
        <v>285416.5993810182</v>
      </c>
      <c r="F78" s="281">
        <f t="shared" ref="F78:F92" si="75">IF((F77+F22)&lt;0,0,F77+F22)</f>
        <v>541462.90271391568</v>
      </c>
      <c r="G78" s="281">
        <f t="shared" ref="G78:G92" si="76">IF((G77+G22)&lt;0,0,G77+G22)</f>
        <v>1891203.1927717321</v>
      </c>
    </row>
    <row r="79" spans="1:7" ht="15" hidden="1" customHeight="1" outlineLevel="1">
      <c r="D79" s="281">
        <f t="shared" si="73"/>
        <v>98294.103397790634</v>
      </c>
      <c r="E79" s="281">
        <f t="shared" si="74"/>
        <v>269093.99821314419</v>
      </c>
      <c r="F79" s="281">
        <f t="shared" si="75"/>
        <v>509677.02789749455</v>
      </c>
      <c r="G79" s="281">
        <f t="shared" si="76"/>
        <v>1771688.7372879107</v>
      </c>
    </row>
    <row r="80" spans="1:7" ht="15" hidden="1" customHeight="1" outlineLevel="1">
      <c r="D80" s="281">
        <f t="shared" si="73"/>
        <v>78706.567768402354</v>
      </c>
      <c r="E80" s="281">
        <f t="shared" si="74"/>
        <v>250824.78132427263</v>
      </c>
      <c r="F80" s="281">
        <f t="shared" si="75"/>
        <v>474272.5216957418</v>
      </c>
      <c r="G80" s="281">
        <f t="shared" si="76"/>
        <v>1640400.8306526954</v>
      </c>
    </row>
    <row r="81" spans="2:7" ht="15" hidden="1" customHeight="1" outlineLevel="1">
      <c r="D81" s="281">
        <f t="shared" si="73"/>
        <v>56114.141649728183</v>
      </c>
      <c r="E81" s="281">
        <f t="shared" si="74"/>
        <v>230376.7974337184</v>
      </c>
      <c r="F81" s="281">
        <f t="shared" si="75"/>
        <v>434837.42460845388</v>
      </c>
      <c r="G81" s="281">
        <f t="shared" si="76"/>
        <v>1496179.6621013288</v>
      </c>
    </row>
    <row r="82" spans="2:7" ht="15" hidden="1" customHeight="1" outlineLevel="1">
      <c r="D82" s="281">
        <f t="shared" si="73"/>
        <v>30055.84990822179</v>
      </c>
      <c r="E82" s="281">
        <f t="shared" si="74"/>
        <v>207490.20915072213</v>
      </c>
      <c r="F82" s="281">
        <f t="shared" si="75"/>
        <v>390912.87801481044</v>
      </c>
      <c r="G82" s="281">
        <f t="shared" si="76"/>
        <v>1337751.1671134855</v>
      </c>
    </row>
    <row r="83" spans="2:7" ht="15" hidden="1" customHeight="1" outlineLevel="1">
      <c r="D83" s="281">
        <f t="shared" si="73"/>
        <v>1.8189894035458565E-11</v>
      </c>
      <c r="E83" s="281">
        <f t="shared" si="74"/>
        <v>181874.1911589755</v>
      </c>
      <c r="F83" s="281">
        <f t="shared" si="75"/>
        <v>341987.78498951416</v>
      </c>
      <c r="G83" s="281">
        <f t="shared" si="76"/>
        <v>1163715.772197284</v>
      </c>
    </row>
    <row r="84" spans="2:7" ht="15" hidden="1" customHeight="1" outlineLevel="1">
      <c r="D84" s="281">
        <f t="shared" si="73"/>
        <v>1.8189894035458565E-11</v>
      </c>
      <c r="E84" s="281">
        <f t="shared" si="74"/>
        <v>153203.23463021233</v>
      </c>
      <c r="F84" s="281">
        <f t="shared" si="75"/>
        <v>287492.86328484036</v>
      </c>
      <c r="G84" s="281">
        <f t="shared" si="76"/>
        <v>972536.0309142383</v>
      </c>
    </row>
    <row r="85" spans="2:7" ht="15" hidden="1" customHeight="1" outlineLevel="1">
      <c r="D85" s="281">
        <f t="shared" si="73"/>
        <v>1.8189894035458565E-11</v>
      </c>
      <c r="E85" s="281">
        <f t="shared" si="74"/>
        <v>121113.0109061706</v>
      </c>
      <c r="F85" s="281">
        <f t="shared" si="75"/>
        <v>226794.02128032807</v>
      </c>
      <c r="G85" s="281">
        <f t="shared" si="76"/>
        <v>762523.0419205277</v>
      </c>
    </row>
    <row r="86" spans="2:7" ht="15" hidden="1" customHeight="1" outlineLevel="1">
      <c r="D86" s="281">
        <f t="shared" si="73"/>
        <v>1.8189894035458565E-11</v>
      </c>
      <c r="E86" s="281">
        <f t="shared" si="74"/>
        <v>85195.741887749246</v>
      </c>
      <c r="F86" s="281">
        <f t="shared" si="75"/>
        <v>159184.97982403479</v>
      </c>
      <c r="G86" s="281">
        <f t="shared" si="76"/>
        <v>531821.5290401784</v>
      </c>
    </row>
    <row r="87" spans="2:7" ht="15" hidden="1" customHeight="1" outlineLevel="1">
      <c r="D87" s="281">
        <f t="shared" si="73"/>
        <v>1.8189894035458565E-11</v>
      </c>
      <c r="E87" s="281">
        <f t="shared" si="74"/>
        <v>44995.018301794451</v>
      </c>
      <c r="F87" s="281">
        <f t="shared" si="75"/>
        <v>83879.054114628656</v>
      </c>
      <c r="G87" s="281">
        <f t="shared" si="76"/>
        <v>278393.45156599954</v>
      </c>
    </row>
    <row r="88" spans="2:7" ht="15" hidden="1" customHeight="1" outlineLevel="1">
      <c r="D88" s="281">
        <f t="shared" si="73"/>
        <v>1.8189894035458565E-11</v>
      </c>
      <c r="E88" s="281">
        <f t="shared" si="74"/>
        <v>5.0931703299283981E-11</v>
      </c>
      <c r="F88" s="281">
        <f t="shared" si="75"/>
        <v>0</v>
      </c>
      <c r="G88" s="281">
        <f t="shared" si="76"/>
        <v>0</v>
      </c>
    </row>
    <row r="89" spans="2:7" ht="15" hidden="1" customHeight="1" outlineLevel="1">
      <c r="D89" s="281">
        <f t="shared" si="73"/>
        <v>1.8189894035458565E-11</v>
      </c>
      <c r="E89" s="281">
        <f t="shared" si="74"/>
        <v>5.0931703299283981E-11</v>
      </c>
      <c r="F89" s="281">
        <f t="shared" si="75"/>
        <v>0</v>
      </c>
      <c r="G89" s="281">
        <f t="shared" si="76"/>
        <v>0</v>
      </c>
    </row>
    <row r="90" spans="2:7" ht="15" hidden="1" customHeight="1" outlineLevel="1">
      <c r="D90" s="281">
        <f t="shared" si="73"/>
        <v>1.8189894035458565E-11</v>
      </c>
      <c r="E90" s="281">
        <f t="shared" si="74"/>
        <v>5.0931703299283981E-11</v>
      </c>
      <c r="F90" s="281">
        <f t="shared" si="75"/>
        <v>0</v>
      </c>
      <c r="G90" s="281">
        <f t="shared" si="76"/>
        <v>0</v>
      </c>
    </row>
    <row r="91" spans="2:7" ht="15" hidden="1" customHeight="1" outlineLevel="1">
      <c r="D91" s="281">
        <f t="shared" si="73"/>
        <v>1.8189894035458565E-11</v>
      </c>
      <c r="E91" s="281">
        <f t="shared" si="74"/>
        <v>5.0931703299283981E-11</v>
      </c>
      <c r="F91" s="281">
        <f t="shared" si="75"/>
        <v>0</v>
      </c>
      <c r="G91" s="281">
        <f t="shared" si="76"/>
        <v>0</v>
      </c>
    </row>
    <row r="92" spans="2:7" ht="15" hidden="1" customHeight="1" outlineLevel="1">
      <c r="D92" s="281">
        <f t="shared" si="73"/>
        <v>1.8189894035458565E-11</v>
      </c>
      <c r="E92" s="281">
        <f t="shared" si="74"/>
        <v>5.0931703299283981E-11</v>
      </c>
      <c r="F92" s="281">
        <f t="shared" si="75"/>
        <v>0</v>
      </c>
      <c r="G92" s="281">
        <f t="shared" si="76"/>
        <v>0</v>
      </c>
    </row>
    <row r="93" spans="2:7" ht="15" hidden="1" customHeight="1" outlineLevel="1">
      <c r="B93" s="260"/>
      <c r="C93" s="260"/>
      <c r="D93" s="260"/>
      <c r="E93" s="260"/>
      <c r="F93" s="260"/>
      <c r="G93" s="260"/>
    </row>
    <row r="94" spans="2:7" ht="15" hidden="1" customHeight="1" outlineLevel="1">
      <c r="B94" s="2" t="s">
        <v>37</v>
      </c>
      <c r="C94" s="260"/>
      <c r="D94" s="260"/>
      <c r="E94" s="260"/>
      <c r="F94" s="260"/>
      <c r="G94" s="260"/>
    </row>
    <row r="95" spans="2:7" ht="15" hidden="1" customHeight="1" outlineLevel="1">
      <c r="B95" s="2" t="s">
        <v>38</v>
      </c>
      <c r="C95" s="260"/>
      <c r="D95" s="278">
        <f>D19/12</f>
        <v>1.1250000000000001E-2</v>
      </c>
      <c r="E95" s="278">
        <f>E19/12</f>
        <v>1.1250000000000001E-2</v>
      </c>
      <c r="F95" s="278">
        <f>F19/12</f>
        <v>1.1250000000000001E-2</v>
      </c>
      <c r="G95" s="278">
        <f>G19/12</f>
        <v>1.1250000000000001E-2</v>
      </c>
    </row>
    <row r="96" spans="2:7" ht="15" hidden="1" customHeight="1" outlineLevel="1">
      <c r="B96" s="260"/>
      <c r="C96" s="260"/>
      <c r="D96" s="282"/>
      <c r="E96" s="282"/>
      <c r="F96" s="282"/>
      <c r="G96" s="282"/>
    </row>
    <row r="97" spans="1:7" ht="15" hidden="1" customHeight="1" outlineLevel="1">
      <c r="B97" s="260"/>
      <c r="C97" s="260"/>
      <c r="D97" s="283">
        <f t="shared" ref="D97:F108" si="77">(D77*D$95)</f>
        <v>1462.5000000000002</v>
      </c>
      <c r="E97" s="283">
        <f t="shared" si="77"/>
        <v>3375.0000000000005</v>
      </c>
      <c r="F97" s="283">
        <f t="shared" si="77"/>
        <v>6412.5000000000009</v>
      </c>
      <c r="G97" s="283">
        <f t="shared" ref="G97:G108" si="78">(G77*G$95)</f>
        <v>22500.000000000004</v>
      </c>
    </row>
    <row r="98" spans="1:7" ht="15" hidden="1" customHeight="1" outlineLevel="1">
      <c r="B98" s="260"/>
      <c r="C98" s="260"/>
      <c r="D98" s="283">
        <f t="shared" si="77"/>
        <v>1296.8596348071003</v>
      </c>
      <c r="E98" s="283">
        <f t="shared" si="77"/>
        <v>3210.936743036455</v>
      </c>
      <c r="F98" s="283">
        <f t="shared" si="77"/>
        <v>6091.4576555315525</v>
      </c>
      <c r="G98" s="283">
        <f t="shared" si="78"/>
        <v>21276.035918681988</v>
      </c>
    </row>
    <row r="99" spans="1:7" ht="15" hidden="1" customHeight="1" outlineLevel="1">
      <c r="B99" s="260"/>
      <c r="C99" s="260"/>
      <c r="D99" s="283">
        <f t="shared" si="77"/>
        <v>1105.8086632251448</v>
      </c>
      <c r="E99" s="283">
        <f t="shared" si="77"/>
        <v>3027.3074798978723</v>
      </c>
      <c r="F99" s="283">
        <f t="shared" si="77"/>
        <v>5733.8665638468146</v>
      </c>
      <c r="G99" s="283">
        <f t="shared" si="78"/>
        <v>19931.498294488996</v>
      </c>
    </row>
    <row r="100" spans="1:7" ht="15" hidden="1" customHeight="1" outlineLevel="1">
      <c r="B100" s="260"/>
      <c r="C100" s="260"/>
      <c r="D100" s="283">
        <f t="shared" si="77"/>
        <v>885.44888739452654</v>
      </c>
      <c r="E100" s="283">
        <f t="shared" si="77"/>
        <v>2821.7787898980673</v>
      </c>
      <c r="F100" s="283">
        <f t="shared" si="77"/>
        <v>5335.5658690770961</v>
      </c>
      <c r="G100" s="283">
        <f t="shared" si="78"/>
        <v>18454.509344842827</v>
      </c>
    </row>
    <row r="101" spans="1:7" ht="15" hidden="1" customHeight="1" outlineLevel="1">
      <c r="B101" s="260"/>
      <c r="C101" s="260"/>
      <c r="D101" s="283">
        <f t="shared" si="77"/>
        <v>631.28409355944211</v>
      </c>
      <c r="E101" s="283">
        <f t="shared" si="77"/>
        <v>2591.7389711293322</v>
      </c>
      <c r="F101" s="283">
        <f t="shared" si="77"/>
        <v>4891.921026845107</v>
      </c>
      <c r="G101" s="283">
        <f t="shared" si="78"/>
        <v>16832.021198639952</v>
      </c>
    </row>
    <row r="102" spans="1:7" ht="15" hidden="1" customHeight="1" outlineLevel="1">
      <c r="B102" s="260"/>
      <c r="C102" s="260"/>
      <c r="D102" s="283">
        <f t="shared" si="77"/>
        <v>338.12831146749517</v>
      </c>
      <c r="E102" s="283">
        <f t="shared" si="77"/>
        <v>2334.2648529456242</v>
      </c>
      <c r="F102" s="283">
        <f t="shared" si="77"/>
        <v>4397.7698776666184</v>
      </c>
      <c r="G102" s="283">
        <f t="shared" si="78"/>
        <v>15049.700630026713</v>
      </c>
    </row>
    <row r="103" spans="1:7" ht="15" hidden="1" customHeight="1" outlineLevel="1">
      <c r="B103" s="260"/>
      <c r="C103" s="260"/>
      <c r="D103" s="283">
        <f t="shared" si="77"/>
        <v>2.0463630789890888E-13</v>
      </c>
      <c r="E103" s="283">
        <f t="shared" si="77"/>
        <v>2046.0846505384748</v>
      </c>
      <c r="F103" s="283">
        <f t="shared" si="77"/>
        <v>3847.3625811320348</v>
      </c>
      <c r="G103" s="283">
        <f t="shared" si="78"/>
        <v>13091.802437219447</v>
      </c>
    </row>
    <row r="104" spans="1:7" ht="15" hidden="1" customHeight="1" outlineLevel="1">
      <c r="B104" s="260"/>
      <c r="C104" s="260"/>
      <c r="D104" s="283">
        <f t="shared" si="77"/>
        <v>2.0463630789890888E-13</v>
      </c>
      <c r="E104" s="283">
        <f t="shared" si="77"/>
        <v>1723.536389589889</v>
      </c>
      <c r="F104" s="283">
        <f t="shared" si="77"/>
        <v>3234.2947119544547</v>
      </c>
      <c r="G104" s="283">
        <f t="shared" si="78"/>
        <v>10941.030347785183</v>
      </c>
    </row>
    <row r="105" spans="1:7" ht="15" hidden="1" customHeight="1" outlineLevel="1">
      <c r="B105" s="260"/>
      <c r="C105" s="260"/>
      <c r="D105" s="283">
        <f t="shared" si="77"/>
        <v>2.0463630789890888E-13</v>
      </c>
      <c r="E105" s="283">
        <f t="shared" si="77"/>
        <v>1362.5213726944194</v>
      </c>
      <c r="F105" s="283">
        <f t="shared" si="77"/>
        <v>2551.4327394036909</v>
      </c>
      <c r="G105" s="283">
        <f t="shared" si="78"/>
        <v>8578.3842216059384</v>
      </c>
    </row>
    <row r="106" spans="1:7" ht="15" hidden="1" customHeight="1" outlineLevel="1">
      <c r="B106" s="260"/>
      <c r="C106" s="260"/>
      <c r="D106" s="283">
        <f t="shared" si="77"/>
        <v>2.0463630789890888E-13</v>
      </c>
      <c r="E106" s="283">
        <f t="shared" si="77"/>
        <v>958.45209623717915</v>
      </c>
      <c r="F106" s="283">
        <f t="shared" si="77"/>
        <v>1790.8310230203915</v>
      </c>
      <c r="G106" s="283">
        <f t="shared" si="78"/>
        <v>5982.9922017020081</v>
      </c>
    </row>
    <row r="107" spans="1:7" ht="15" hidden="1" customHeight="1" outlineLevel="1">
      <c r="B107" s="260"/>
      <c r="C107" s="260"/>
      <c r="D107" s="283">
        <f t="shared" si="77"/>
        <v>2.0463630789890888E-13</v>
      </c>
      <c r="E107" s="283">
        <f t="shared" si="77"/>
        <v>506.19395589518763</v>
      </c>
      <c r="F107" s="283">
        <f t="shared" si="77"/>
        <v>943.6393587895725</v>
      </c>
      <c r="G107" s="283">
        <f t="shared" si="78"/>
        <v>3131.9263301174951</v>
      </c>
    </row>
    <row r="108" spans="1:7" ht="15" hidden="1" customHeight="1" outlineLevel="1">
      <c r="B108" s="260"/>
      <c r="C108" s="260"/>
      <c r="D108" s="283">
        <f t="shared" si="77"/>
        <v>2.0463630789890888E-13</v>
      </c>
      <c r="E108" s="283">
        <f t="shared" si="77"/>
        <v>5.7298166211694489E-13</v>
      </c>
      <c r="F108" s="283">
        <f t="shared" si="77"/>
        <v>0</v>
      </c>
      <c r="G108" s="283">
        <f t="shared" si="78"/>
        <v>0</v>
      </c>
    </row>
    <row r="109" spans="1:7" ht="15" hidden="1" customHeight="1" outlineLevel="1">
      <c r="A109" s="260"/>
      <c r="B109" s="260"/>
      <c r="C109" s="260"/>
      <c r="D109" s="260"/>
      <c r="E109" s="260"/>
      <c r="F109" s="260"/>
      <c r="G109" s="260"/>
    </row>
    <row r="110" spans="1:7" collapsed="1">
      <c r="A110" s="260"/>
      <c r="B110" s="2" t="s">
        <v>37</v>
      </c>
      <c r="C110" s="2"/>
      <c r="D110" s="25">
        <f>SUM(D97:D109)</f>
        <v>5720.0295904537097</v>
      </c>
      <c r="E110" s="25">
        <f>SUM(E97:E109)</f>
        <v>23957.815301862505</v>
      </c>
      <c r="F110" s="25">
        <f>SUM(F97:F109)</f>
        <v>45230.641407267343</v>
      </c>
      <c r="G110" s="25">
        <f>SUM(G97:G109)</f>
        <v>155769.90092511053</v>
      </c>
    </row>
    <row r="111" spans="1:7" ht="4" customHeight="1">
      <c r="A111" s="260"/>
      <c r="B111" s="8"/>
      <c r="C111" s="273"/>
      <c r="D111" s="260"/>
      <c r="E111" s="260"/>
      <c r="F111" s="260"/>
      <c r="G111" s="260"/>
    </row>
    <row r="112" spans="1:7">
      <c r="A112" s="260"/>
      <c r="B112" s="8" t="s">
        <v>39</v>
      </c>
      <c r="C112" s="273"/>
      <c r="D112" s="278">
        <f>D4</f>
        <v>0.15340829730399994</v>
      </c>
      <c r="E112" s="278">
        <f>E4</f>
        <v>0.11925891596425461</v>
      </c>
      <c r="F112" s="278">
        <f>F4</f>
        <v>0.11384400795104616</v>
      </c>
      <c r="G112" s="278">
        <f>G4</f>
        <v>9.8510687294957003E-2</v>
      </c>
    </row>
    <row r="113" spans="1:7">
      <c r="A113" s="260"/>
      <c r="B113" s="260" t="s">
        <v>40</v>
      </c>
      <c r="C113" s="273"/>
      <c r="D113" s="284">
        <f>ROUND(D6,0)</f>
        <v>6</v>
      </c>
      <c r="E113" s="284">
        <f>ROUND(E6,0)</f>
        <v>11</v>
      </c>
      <c r="F113" s="284">
        <f>ROUND(F6,0)</f>
        <v>11</v>
      </c>
      <c r="G113" s="284">
        <f>ROUND(G6,0)</f>
        <v>11</v>
      </c>
    </row>
    <row r="114" spans="1:7">
      <c r="A114" s="260"/>
      <c r="B114" s="260" t="s">
        <v>41</v>
      </c>
      <c r="C114" s="260"/>
      <c r="D114" s="285">
        <f>D17+D13</f>
        <v>130000</v>
      </c>
      <c r="E114" s="285">
        <f>E17+E13</f>
        <v>300000</v>
      </c>
      <c r="F114" s="285">
        <f>F17+F13</f>
        <v>570000</v>
      </c>
      <c r="G114" s="285">
        <f>G17+G13</f>
        <v>2000000</v>
      </c>
    </row>
    <row r="115" spans="1:7" hidden="1" outlineLevel="1">
      <c r="A115" s="753" t="s">
        <v>21</v>
      </c>
      <c r="B115" s="7" t="s">
        <v>22</v>
      </c>
      <c r="C115" s="260">
        <v>1</v>
      </c>
      <c r="D115" s="286">
        <f>IFERROR(IPMT(D$112,$C115,D$113,D$114),0)*Assumption_Sheet!$C82</f>
        <v>-19344.159163468914</v>
      </c>
      <c r="E115" s="286">
        <f>IFERROR(IPMT(E$112,$C115,E$113,E$114),0)*Assumption_Sheet!$C82</f>
        <v>-34703.219487090042</v>
      </c>
      <c r="F115" s="286">
        <f>IFERROR(IPMT(F$112,$C115,F$113,F$114),0)*Assumption_Sheet!$C82</f>
        <v>-62942.311442431157</v>
      </c>
      <c r="G115" s="286">
        <f>IFERROR(IPMT(G$112,$C115,G$113,G$114),0)*Assumption_Sheet!$C82</f>
        <v>-191104.53785250746</v>
      </c>
    </row>
    <row r="116" spans="1:7" hidden="1" outlineLevel="1">
      <c r="A116" s="753"/>
      <c r="B116" s="7" t="s">
        <v>23</v>
      </c>
      <c r="C116" s="260">
        <v>2</v>
      </c>
      <c r="D116" s="286">
        <f>IFERROR(IPMT(D$112,$C116,D$113,D$114),0)*Assumption_Sheet!$C83</f>
        <v>-16606.048452268904</v>
      </c>
      <c r="E116" s="286">
        <f>IFERROR(IPMT(E$112,$C116,E$113,E$114),0)*Assumption_Sheet!$C83</f>
        <v>-31962.966926411595</v>
      </c>
      <c r="F116" s="286">
        <f>IFERROR(IPMT(F$112,$C116,F$113,F$114),0)*Assumption_Sheet!$C83</f>
        <v>-57883.646783067816</v>
      </c>
      <c r="G116" s="286">
        <f>IFERROR(IPMT(G$112,$C116,G$113,G$114),0)*Assumption_Sheet!$C83</f>
        <v>-174943.79451436861</v>
      </c>
    </row>
    <row r="117" spans="1:7" hidden="1" outlineLevel="1">
      <c r="A117" s="753"/>
      <c r="B117" s="7" t="s">
        <v>24</v>
      </c>
      <c r="C117" s="260">
        <v>3</v>
      </c>
      <c r="D117" s="286">
        <f>IFERROR(IPMT(D$112,$C117,D$113,D$114),0)*Assumption_Sheet!$C84</f>
        <v>-13416.388618740675</v>
      </c>
      <c r="E117" s="286">
        <f>IFERROR(IPMT(E$112,$C117,E$113,E$114),0)*Assumption_Sheet!$C84</f>
        <v>-28553.160280212403</v>
      </c>
      <c r="F117" s="286">
        <f>IFERROR(IPMT(F$112,$C117,F$113,F$114),0)*Assumption_Sheet!$C84</f>
        <v>-51625.533277297516</v>
      </c>
      <c r="G117" s="286">
        <f>IFERROR(IPMT(G$112,$C117,G$113,G$114),0)*Assumption_Sheet!$C84</f>
        <v>-155285.20786785733</v>
      </c>
    </row>
    <row r="118" spans="1:7" hidden="1" outlineLevel="1">
      <c r="A118" s="753"/>
      <c r="B118" s="7" t="s">
        <v>25</v>
      </c>
      <c r="C118" s="260">
        <v>4</v>
      </c>
      <c r="D118" s="286">
        <f>IFERROR(IPMT(D$112,$C118,D$113,D$114),0)*Assumption_Sheet!$C85</f>
        <v>-9954.8325834865282</v>
      </c>
      <c r="E118" s="286">
        <f>IFERROR(IPMT(E$112,$C118,E$113,E$114),0)*Assumption_Sheet!$C85</f>
        <v>-24662.405633683018</v>
      </c>
      <c r="F118" s="286">
        <f>IFERROR(IPMT(F$112,$C118,F$113,F$114),0)*Assumption_Sheet!$C85</f>
        <v>-44515.604689638691</v>
      </c>
      <c r="G118" s="286">
        <f>IFERROR(IPMT(G$112,$C118,G$113,G$114),0)*Assumption_Sheet!$C85</f>
        <v>-133231.66841578812</v>
      </c>
    </row>
    <row r="119" spans="1:7" hidden="1" outlineLevel="1">
      <c r="A119" s="753"/>
      <c r="B119" s="7" t="s">
        <v>26</v>
      </c>
      <c r="C119" s="260">
        <v>5</v>
      </c>
      <c r="D119" s="286">
        <f>IFERROR(IPMT(D$112,$C119,D$113,D$114),0)*Assumption_Sheet!$C86</f>
        <v>-6493.0429322175332</v>
      </c>
      <c r="E119" s="286">
        <f>IFERROR(IPMT(E$112,$C119,E$113,E$114),0)*Assumption_Sheet!$C86</f>
        <v>-20723.194098294036</v>
      </c>
      <c r="F119" s="286">
        <f>IFERROR(IPMT(F$112,$C119,F$113,F$114),0)*Assumption_Sheet!$C86</f>
        <v>-37339.129813490603</v>
      </c>
      <c r="G119" s="286">
        <f>IFERROR(IPMT(G$112,$C119,G$113,G$114),0)*Assumption_Sheet!$C86</f>
        <v>-111171.68718550768</v>
      </c>
    </row>
    <row r="120" spans="1:7" hidden="1" outlineLevel="1">
      <c r="A120" s="753"/>
      <c r="B120" s="7" t="s">
        <v>27</v>
      </c>
      <c r="C120" s="260">
        <v>6</v>
      </c>
      <c r="D120" s="286">
        <f>IFERROR(IPMT(D$112,$C120,D$113,D$114),0)*Assumption_Sheet!$C87</f>
        <v>-3121.2207802910148</v>
      </c>
      <c r="E120" s="286">
        <f>IFERROR(IPMT(E$112,$C120,E$113,E$114),0)*Assumption_Sheet!$C87</f>
        <v>-16750.782228864722</v>
      </c>
      <c r="F120" s="286">
        <f>IFERROR(IPMT(F$112,$C120,F$113,F$114),0)*Assumption_Sheet!$C87</f>
        <v>-30125.674648223467</v>
      </c>
      <c r="G120" s="286">
        <f>IFERROR(IPMT(G$112,$C120,G$113,G$114),0)*Assumption_Sheet!$C87</f>
        <v>-89208.310482035478</v>
      </c>
    </row>
    <row r="121" spans="1:7" hidden="1" outlineLevel="1">
      <c r="A121" s="753"/>
      <c r="B121" s="7" t="s">
        <v>28</v>
      </c>
      <c r="C121" s="260">
        <v>7</v>
      </c>
      <c r="D121" s="286">
        <f>IFERROR(IPMT(D$112,$C121,D$113,D$114),0)*Assumption_Sheet!$C88</f>
        <v>0</v>
      </c>
      <c r="E121" s="286">
        <f>IFERROR(IPMT(E$112,$C121,E$113,E$114),0)*Assumption_Sheet!$C88</f>
        <v>-13276.376932207271</v>
      </c>
      <c r="F121" s="286">
        <f>IFERROR(IPMT(F$112,$C121,F$113,F$114),0)*Assumption_Sheet!$C88</f>
        <v>-23830.788541930862</v>
      </c>
      <c r="G121" s="286">
        <f>IFERROR(IPMT(G$112,$C121,G$113,G$114),0)*Assumption_Sheet!$C88</f>
        <v>-70169.423963080146</v>
      </c>
    </row>
    <row r="122" spans="1:7" hidden="1" outlineLevel="1">
      <c r="A122" s="753"/>
      <c r="B122" s="7" t="s">
        <v>29</v>
      </c>
      <c r="C122" s="260">
        <v>8</v>
      </c>
      <c r="D122" s="286">
        <f>IFERROR(IPMT(D$112,$C122,D$113,D$114),0)*Assumption_Sheet!$C89</f>
        <v>0</v>
      </c>
      <c r="E122" s="286">
        <f>IFERROR(IPMT(E$112,$C122,E$113,E$114),0)*Assumption_Sheet!$C89</f>
        <v>-10053.521503099986</v>
      </c>
      <c r="F122" s="286">
        <f>IFERROR(IPMT(F$112,$C122,F$113,F$114),0)*Assumption_Sheet!$C89</f>
        <v>-18009.293014141862</v>
      </c>
      <c r="G122" s="286">
        <f>IFERROR(IPMT(G$112,$C122,G$113,G$114),0)*Assumption_Sheet!$C89</f>
        <v>-52716.73060547682</v>
      </c>
    </row>
    <row r="123" spans="1:7" hidden="1" outlineLevel="1">
      <c r="A123" s="753"/>
      <c r="B123" s="7" t="s">
        <v>30</v>
      </c>
      <c r="C123" s="260">
        <v>9</v>
      </c>
      <c r="D123" s="286">
        <f>IFERROR(IPMT(D$112,$C123,D$113,D$114),0)*Assumption_Sheet!$C90</f>
        <v>0</v>
      </c>
      <c r="E123" s="286">
        <f>IFERROR(IPMT(E$112,$C123,E$113,E$114),0)*Assumption_Sheet!$C90</f>
        <v>-7457.456346355264</v>
      </c>
      <c r="F123" s="286">
        <f>IFERROR(IPMT(F$112,$C123,F$113,F$114),0)*Assumption_Sheet!$C90</f>
        <v>-13330.635080007429</v>
      </c>
      <c r="G123" s="286">
        <f>IFERROR(IPMT(G$112,$C123,G$113,G$114),0)*Assumption_Sheet!$C90</f>
        <v>-38783.355603663294</v>
      </c>
    </row>
    <row r="124" spans="1:7" hidden="1" outlineLevel="1">
      <c r="A124" s="753"/>
      <c r="B124" s="7" t="s">
        <v>31</v>
      </c>
      <c r="C124" s="260">
        <v>10</v>
      </c>
      <c r="D124" s="286">
        <f>IFERROR(IPMT(D$112,$C124,D$113,D$114),0)*Assumption_Sheet!$C91</f>
        <v>0</v>
      </c>
      <c r="E124" s="286">
        <f>IFERROR(IPMT(E$112,$C124,E$113,E$114),0)*Assumption_Sheet!$C91</f>
        <v>-4905.2698644189541</v>
      </c>
      <c r="F124" s="286">
        <f>IFERROR(IPMT(F$112,$C124,F$113,F$114),0)*Assumption_Sheet!$C91</f>
        <v>-8749.1612810609495</v>
      </c>
      <c r="G124" s="286">
        <f>IFERROR(IPMT(G$112,$C124,G$113,G$114),0)*Assumption_Sheet!$C91</f>
        <v>-25293.179264548507</v>
      </c>
    </row>
    <row r="125" spans="1:7" hidden="1" outlineLevel="1">
      <c r="A125" s="753" t="s">
        <v>32</v>
      </c>
      <c r="B125" s="7" t="s">
        <v>33</v>
      </c>
      <c r="C125" s="260">
        <v>11</v>
      </c>
      <c r="D125" s="286">
        <f>IFERROR(IPMT(D$112,$C125,D$113,D$114),0)*Assumption_Sheet!$C92</f>
        <v>0</v>
      </c>
      <c r="E125" s="286">
        <f>IFERROR(IPMT(E$112,$C125,E$113,E$114),0)*Assumption_Sheet!$C92</f>
        <v>-2590.6542091689798</v>
      </c>
      <c r="F125" s="286">
        <f>IFERROR(IPMT(F$112,$C125,F$113,F$114),0)*Assumption_Sheet!$C92</f>
        <v>-4610.179762958518</v>
      </c>
      <c r="G125" s="286">
        <f>IFERROR(IPMT(G$112,$C125,G$113,G$114),0)*Assumption_Sheet!$C92</f>
        <v>-13240.260297930245</v>
      </c>
    </row>
    <row r="126" spans="1:7" hidden="1" outlineLevel="1">
      <c r="A126" s="753"/>
      <c r="B126" s="7" t="s">
        <v>34</v>
      </c>
      <c r="C126" s="260">
        <v>12</v>
      </c>
      <c r="D126" s="286">
        <f>IFERROR(IPMT(D$112,$C126,D$113,D$114),0)*Assumption_Sheet!$C93</f>
        <v>0</v>
      </c>
      <c r="E126" s="286">
        <f>IFERROR(IPMT(E$112,$C126,E$113,E$114),0)*Assumption_Sheet!$C93</f>
        <v>0</v>
      </c>
      <c r="F126" s="286">
        <f>IFERROR(IPMT(F$112,$C126,F$113,F$114),0)*Assumption_Sheet!$C93</f>
        <v>0</v>
      </c>
      <c r="G126" s="286">
        <f>IFERROR(IPMT(G$112,$C126,G$113,G$114),0)*Assumption_Sheet!$C93</f>
        <v>0</v>
      </c>
    </row>
    <row r="127" spans="1:7" hidden="1" outlineLevel="1">
      <c r="A127" s="753"/>
      <c r="B127" s="7" t="s">
        <v>22</v>
      </c>
      <c r="C127" s="260">
        <v>13</v>
      </c>
      <c r="D127" s="286">
        <f t="shared" ref="D127:G132" si="79">IFERROR(IPMT(D$112,$C127,D$113,D$114),0)</f>
        <v>0</v>
      </c>
      <c r="E127" s="286">
        <f t="shared" si="79"/>
        <v>0</v>
      </c>
      <c r="F127" s="286">
        <f t="shared" si="79"/>
        <v>0</v>
      </c>
      <c r="G127" s="286">
        <f t="shared" si="79"/>
        <v>0</v>
      </c>
    </row>
    <row r="128" spans="1:7" hidden="1" outlineLevel="1">
      <c r="A128" s="753"/>
      <c r="B128" s="7" t="s">
        <v>23</v>
      </c>
      <c r="C128" s="260">
        <v>14</v>
      </c>
      <c r="D128" s="286">
        <f t="shared" si="79"/>
        <v>0</v>
      </c>
      <c r="E128" s="286">
        <f t="shared" si="79"/>
        <v>0</v>
      </c>
      <c r="F128" s="286">
        <f t="shared" si="79"/>
        <v>0</v>
      </c>
      <c r="G128" s="286">
        <f t="shared" si="79"/>
        <v>0</v>
      </c>
    </row>
    <row r="129" spans="1:7" hidden="1" outlineLevel="1">
      <c r="A129" s="753"/>
      <c r="B129" s="7" t="s">
        <v>24</v>
      </c>
      <c r="C129" s="260">
        <v>15</v>
      </c>
      <c r="D129" s="286">
        <f t="shared" si="79"/>
        <v>0</v>
      </c>
      <c r="E129" s="286">
        <f t="shared" si="79"/>
        <v>0</v>
      </c>
      <c r="F129" s="286">
        <f t="shared" si="79"/>
        <v>0</v>
      </c>
      <c r="G129" s="286">
        <f t="shared" si="79"/>
        <v>0</v>
      </c>
    </row>
    <row r="130" spans="1:7" hidden="1" outlineLevel="1">
      <c r="A130" s="753"/>
      <c r="B130" s="7" t="s">
        <v>25</v>
      </c>
      <c r="C130" s="260">
        <v>16</v>
      </c>
      <c r="D130" s="286">
        <f t="shared" si="79"/>
        <v>0</v>
      </c>
      <c r="E130" s="286">
        <f t="shared" si="79"/>
        <v>0</v>
      </c>
      <c r="F130" s="286">
        <f t="shared" si="79"/>
        <v>0</v>
      </c>
      <c r="G130" s="286">
        <f t="shared" si="79"/>
        <v>0</v>
      </c>
    </row>
    <row r="131" spans="1:7" hidden="1" outlineLevel="1">
      <c r="A131" s="753"/>
      <c r="B131" s="7" t="s">
        <v>26</v>
      </c>
      <c r="C131" s="260">
        <v>17</v>
      </c>
      <c r="D131" s="286">
        <f t="shared" si="79"/>
        <v>0</v>
      </c>
      <c r="E131" s="286">
        <f t="shared" si="79"/>
        <v>0</v>
      </c>
      <c r="F131" s="286">
        <f t="shared" si="79"/>
        <v>0</v>
      </c>
      <c r="G131" s="286">
        <f t="shared" si="79"/>
        <v>0</v>
      </c>
    </row>
    <row r="132" spans="1:7" hidden="1" outlineLevel="1">
      <c r="A132" s="753"/>
      <c r="B132" s="7" t="s">
        <v>27</v>
      </c>
      <c r="C132" s="260">
        <v>18</v>
      </c>
      <c r="D132" s="286">
        <f t="shared" si="79"/>
        <v>0</v>
      </c>
      <c r="E132" s="286">
        <f t="shared" si="79"/>
        <v>0</v>
      </c>
      <c r="F132" s="286">
        <f t="shared" si="79"/>
        <v>0</v>
      </c>
      <c r="G132" s="286">
        <f t="shared" si="79"/>
        <v>0</v>
      </c>
    </row>
    <row r="133" spans="1:7" collapsed="1">
      <c r="A133" s="260"/>
      <c r="B133" s="260"/>
      <c r="C133" s="260"/>
      <c r="D133" s="260"/>
      <c r="E133" s="260"/>
      <c r="F133" s="260"/>
      <c r="G133" s="260"/>
    </row>
    <row r="134" spans="1:7" hidden="1">
      <c r="A134" s="260"/>
      <c r="B134" s="8" t="s">
        <v>42</v>
      </c>
      <c r="C134" s="8"/>
      <c r="D134" s="260"/>
      <c r="E134" s="260"/>
      <c r="F134" s="260"/>
      <c r="G134" s="260"/>
    </row>
    <row r="135" spans="1:7" hidden="1">
      <c r="A135" s="260"/>
      <c r="B135" s="260" t="s">
        <v>43</v>
      </c>
      <c r="C135" s="17">
        <v>6.4500000000000002E-2</v>
      </c>
      <c r="D135" s="17">
        <v>6.4500000000000002E-2</v>
      </c>
      <c r="E135" s="17">
        <v>6.4500000000000002E-2</v>
      </c>
      <c r="F135" s="17">
        <v>6.4500000000000002E-2</v>
      </c>
      <c r="G135" s="17">
        <v>1.0645</v>
      </c>
    </row>
    <row r="136" spans="1:7" hidden="1">
      <c r="A136" s="260"/>
      <c r="B136" s="260" t="s">
        <v>40</v>
      </c>
      <c r="C136" s="18">
        <v>7.9</v>
      </c>
      <c r="D136" s="18">
        <v>7.9</v>
      </c>
      <c r="E136" s="18">
        <v>7.9</v>
      </c>
      <c r="F136" s="18">
        <v>7.9</v>
      </c>
      <c r="G136" s="18">
        <v>8.9</v>
      </c>
    </row>
    <row r="137" spans="1:7" hidden="1">
      <c r="A137" s="260"/>
      <c r="B137" s="260" t="s">
        <v>41</v>
      </c>
      <c r="C137" s="260"/>
      <c r="D137" s="287" t="e">
        <f>#REF!+D18</f>
        <v>#REF!</v>
      </c>
      <c r="E137" s="287" t="e">
        <f>#REF!+E18</f>
        <v>#REF!</v>
      </c>
      <c r="F137" s="287" t="e">
        <f>#REF!+F18</f>
        <v>#REF!</v>
      </c>
      <c r="G137" s="287" t="e">
        <f>#REF!+G18</f>
        <v>#REF!</v>
      </c>
    </row>
    <row r="138" spans="1:7" hidden="1" outlineLevel="1">
      <c r="A138" s="753">
        <v>2016</v>
      </c>
      <c r="B138" s="7" t="s">
        <v>22</v>
      </c>
      <c r="C138" s="260">
        <v>1</v>
      </c>
      <c r="D138" s="286">
        <f>IFERROR(IPMT($D$4,C138,$D$6,$D$11),0)</f>
        <v>-19943.07864951999</v>
      </c>
      <c r="E138" s="286">
        <f>IFERROR(IPMT($E$4,C138,$E$6,$E$11),0)</f>
        <v>-35777.674789276381</v>
      </c>
      <c r="F138" s="286">
        <f>IFERROR(IPMT($F$4,C138,$F$6,$F$11),0)</f>
        <v>-64891.084532096305</v>
      </c>
      <c r="G138" s="286">
        <f>IFERROR(IPMT($G$4,C138,$G$6,$G$11),0)</f>
        <v>-197021.37458991402</v>
      </c>
    </row>
    <row r="139" spans="1:7" hidden="1" outlineLevel="1">
      <c r="A139" s="753"/>
      <c r="B139" s="7" t="s">
        <v>23</v>
      </c>
      <c r="C139" s="260">
        <v>2</v>
      </c>
      <c r="D139" s="286">
        <f t="shared" ref="D139:D161" si="80">IFERROR(IPMT($D$4,C139,$D$6,$D$11),0)</f>
        <v>-17684.358081603947</v>
      </c>
      <c r="E139" s="286">
        <f t="shared" ref="E139:E161" si="81">IFERROR(IPMT($E$4,C139,$E$6,$E$11),0)</f>
        <v>-34038.474240384174</v>
      </c>
      <c r="F139" s="286">
        <f t="shared" ref="F139:F161" si="82">IFERROR(IPMT($F$4,C139,$F$6,$F$11),0)</f>
        <v>-61642.307001759546</v>
      </c>
      <c r="G139" s="286">
        <f t="shared" ref="G139:G161" si="83">IFERROR(IPMT($G$4,C139,$G$6,$G$11),0)</f>
        <v>-186303.7263343604</v>
      </c>
    </row>
    <row r="140" spans="1:7" hidden="1" outlineLevel="1">
      <c r="A140" s="753"/>
      <c r="B140" s="7" t="s">
        <v>24</v>
      </c>
      <c r="C140" s="260">
        <v>3</v>
      </c>
      <c r="D140" s="286">
        <f t="shared" si="80"/>
        <v>-15079.131037278374</v>
      </c>
      <c r="E140" s="286">
        <f t="shared" si="81"/>
        <v>-32091.858519386646</v>
      </c>
      <c r="F140" s="286">
        <f t="shared" si="82"/>
        <v>-58023.675616427929</v>
      </c>
      <c r="G140" s="286">
        <f t="shared" si="83"/>
        <v>-174530.27518296661</v>
      </c>
    </row>
    <row r="141" spans="1:7" hidden="1" outlineLevel="1">
      <c r="A141" s="753"/>
      <c r="B141" s="7" t="s">
        <v>25</v>
      </c>
      <c r="C141" s="260">
        <v>4</v>
      </c>
      <c r="D141" s="286">
        <f t="shared" si="80"/>
        <v>-12074.240547992487</v>
      </c>
      <c r="E141" s="286">
        <f t="shared" si="81"/>
        <v>-29913.091517703961</v>
      </c>
      <c r="F141" s="286">
        <f t="shared" si="82"/>
        <v>-53993.084730892748</v>
      </c>
      <c r="G141" s="286">
        <f t="shared" si="83"/>
        <v>-161597.01326681543</v>
      </c>
    </row>
    <row r="142" spans="1:7" hidden="1" outlineLevel="1">
      <c r="A142" s="753"/>
      <c r="B142" s="7" t="s">
        <v>26</v>
      </c>
      <c r="C142" s="260">
        <v>5</v>
      </c>
      <c r="D142" s="286">
        <f t="shared" si="80"/>
        <v>-8608.374925160264</v>
      </c>
      <c r="E142" s="286">
        <f t="shared" si="81"/>
        <v>-27474.487125261927</v>
      </c>
      <c r="F142" s="286">
        <f t="shared" si="82"/>
        <v>-49503.635224537255</v>
      </c>
      <c r="G142" s="286">
        <f t="shared" si="83"/>
        <v>-147389.6868303385</v>
      </c>
    </row>
    <row r="143" spans="1:7" hidden="1" outlineLevel="1">
      <c r="A143" s="753"/>
      <c r="B143" s="7" t="s">
        <v>27</v>
      </c>
      <c r="C143" s="260">
        <v>6</v>
      </c>
      <c r="D143" s="286">
        <f t="shared" si="80"/>
        <v>-4610.8167584448856</v>
      </c>
      <c r="E143" s="286">
        <f t="shared" si="81"/>
        <v>-24745.05741651158</v>
      </c>
      <c r="F143" s="286">
        <f t="shared" si="82"/>
        <v>-44503.088792884409</v>
      </c>
      <c r="G143" s="286">
        <f t="shared" si="83"/>
        <v>-131782.78690198038</v>
      </c>
    </row>
    <row r="144" spans="1:7" hidden="1" outlineLevel="1">
      <c r="A144" s="753"/>
      <c r="B144" s="7" t="s">
        <v>28</v>
      </c>
      <c r="C144" s="260">
        <v>7</v>
      </c>
      <c r="D144" s="286">
        <f t="shared" si="80"/>
        <v>0</v>
      </c>
      <c r="E144" s="286">
        <f t="shared" si="81"/>
        <v>-21690.118879495036</v>
      </c>
      <c r="F144" s="286">
        <f t="shared" si="82"/>
        <v>-38933.260113506905</v>
      </c>
      <c r="G144" s="286">
        <f t="shared" si="83"/>
        <v>-114638.44053513611</v>
      </c>
    </row>
    <row r="145" spans="1:7" hidden="1" outlineLevel="1">
      <c r="A145" s="753"/>
      <c r="B145" s="7" t="s">
        <v>29</v>
      </c>
      <c r="C145" s="260">
        <v>8</v>
      </c>
      <c r="D145" s="286">
        <f t="shared" si="80"/>
        <v>0</v>
      </c>
      <c r="E145" s="286">
        <f t="shared" si="81"/>
        <v>-18270.851684216468</v>
      </c>
      <c r="F145" s="286">
        <f t="shared" si="82"/>
        <v>-32729.339813668394</v>
      </c>
      <c r="G145" s="286">
        <f t="shared" si="83"/>
        <v>-95805.192824471218</v>
      </c>
    </row>
    <row r="146" spans="1:7" hidden="1" outlineLevel="1">
      <c r="A146" s="753"/>
      <c r="B146" s="7" t="s">
        <v>30</v>
      </c>
      <c r="C146" s="260">
        <v>9</v>
      </c>
      <c r="D146" s="286">
        <f t="shared" si="80"/>
        <v>0</v>
      </c>
      <c r="E146" s="286">
        <f t="shared" si="81"/>
        <v>-14443.806389836847</v>
      </c>
      <c r="F146" s="286">
        <f t="shared" si="82"/>
        <v>-25819.140361887399</v>
      </c>
      <c r="G146" s="286">
        <f t="shared" si="83"/>
        <v>-75116.668937832539</v>
      </c>
    </row>
    <row r="147" spans="1:7" hidden="1" outlineLevel="1">
      <c r="A147" s="753"/>
      <c r="B147" s="7" t="s">
        <v>31</v>
      </c>
      <c r="C147" s="260">
        <v>10</v>
      </c>
      <c r="D147" s="286">
        <f t="shared" si="80"/>
        <v>0</v>
      </c>
      <c r="E147" s="286">
        <f t="shared" si="81"/>
        <v>-10160.351822303408</v>
      </c>
      <c r="F147" s="286">
        <f t="shared" si="82"/>
        <v>-18122.256108774538</v>
      </c>
      <c r="G147" s="286">
        <f t="shared" si="83"/>
        <v>-52390.104344002946</v>
      </c>
    </row>
    <row r="148" spans="1:7" hidden="1" outlineLevel="1">
      <c r="A148" s="753">
        <v>2017</v>
      </c>
      <c r="B148" s="7" t="s">
        <v>33</v>
      </c>
      <c r="C148" s="260">
        <v>11</v>
      </c>
      <c r="D148" s="286">
        <f t="shared" si="80"/>
        <v>0</v>
      </c>
      <c r="E148" s="286">
        <f t="shared" si="81"/>
        <v>-5366.0571064637979</v>
      </c>
      <c r="F148" s="286">
        <f t="shared" si="82"/>
        <v>-9549.1277035520161</v>
      </c>
      <c r="G148" s="286">
        <f t="shared" si="83"/>
        <v>-27424.730252181966</v>
      </c>
    </row>
    <row r="149" spans="1:7" hidden="1" outlineLevel="1">
      <c r="A149" s="753"/>
      <c r="B149" s="7" t="s">
        <v>34</v>
      </c>
      <c r="C149" s="260">
        <v>12</v>
      </c>
      <c r="D149" s="286">
        <f t="shared" si="80"/>
        <v>0</v>
      </c>
      <c r="E149" s="286">
        <f t="shared" si="81"/>
        <v>0</v>
      </c>
      <c r="F149" s="286">
        <f t="shared" si="82"/>
        <v>0</v>
      </c>
      <c r="G149" s="286">
        <f t="shared" si="83"/>
        <v>0</v>
      </c>
    </row>
    <row r="150" spans="1:7" hidden="1" outlineLevel="1">
      <c r="A150" s="753"/>
      <c r="B150" s="7" t="s">
        <v>22</v>
      </c>
      <c r="C150" s="260">
        <v>13</v>
      </c>
      <c r="D150" s="286">
        <f t="shared" si="80"/>
        <v>0</v>
      </c>
      <c r="E150" s="286">
        <f t="shared" si="81"/>
        <v>0</v>
      </c>
      <c r="F150" s="286">
        <f t="shared" si="82"/>
        <v>0</v>
      </c>
      <c r="G150" s="286">
        <f t="shared" si="83"/>
        <v>0</v>
      </c>
    </row>
    <row r="151" spans="1:7" hidden="1" outlineLevel="1">
      <c r="A151" s="753"/>
      <c r="B151" s="7" t="s">
        <v>23</v>
      </c>
      <c r="C151" s="260">
        <v>14</v>
      </c>
      <c r="D151" s="286">
        <f t="shared" si="80"/>
        <v>0</v>
      </c>
      <c r="E151" s="286">
        <f t="shared" si="81"/>
        <v>0</v>
      </c>
      <c r="F151" s="286">
        <f t="shared" si="82"/>
        <v>0</v>
      </c>
      <c r="G151" s="286">
        <f t="shared" si="83"/>
        <v>0</v>
      </c>
    </row>
    <row r="152" spans="1:7" hidden="1" outlineLevel="1">
      <c r="A152" s="753"/>
      <c r="B152" s="7" t="s">
        <v>24</v>
      </c>
      <c r="C152" s="260">
        <v>15</v>
      </c>
      <c r="D152" s="286">
        <f t="shared" si="80"/>
        <v>0</v>
      </c>
      <c r="E152" s="286">
        <f t="shared" si="81"/>
        <v>0</v>
      </c>
      <c r="F152" s="286">
        <f t="shared" si="82"/>
        <v>0</v>
      </c>
      <c r="G152" s="286">
        <f t="shared" si="83"/>
        <v>0</v>
      </c>
    </row>
    <row r="153" spans="1:7" hidden="1" outlineLevel="1">
      <c r="A153" s="753"/>
      <c r="B153" s="7" t="s">
        <v>25</v>
      </c>
      <c r="C153" s="260">
        <v>16</v>
      </c>
      <c r="D153" s="286">
        <f t="shared" si="80"/>
        <v>0</v>
      </c>
      <c r="E153" s="286">
        <f t="shared" si="81"/>
        <v>0</v>
      </c>
      <c r="F153" s="286">
        <f t="shared" si="82"/>
        <v>0</v>
      </c>
      <c r="G153" s="286">
        <f t="shared" si="83"/>
        <v>0</v>
      </c>
    </row>
    <row r="154" spans="1:7" hidden="1" outlineLevel="1">
      <c r="A154" s="753"/>
      <c r="B154" s="7" t="s">
        <v>26</v>
      </c>
      <c r="C154" s="260">
        <v>17</v>
      </c>
      <c r="D154" s="286">
        <f t="shared" si="80"/>
        <v>0</v>
      </c>
      <c r="E154" s="286">
        <f t="shared" si="81"/>
        <v>0</v>
      </c>
      <c r="F154" s="286">
        <f t="shared" si="82"/>
        <v>0</v>
      </c>
      <c r="G154" s="286">
        <f t="shared" si="83"/>
        <v>0</v>
      </c>
    </row>
    <row r="155" spans="1:7" hidden="1" outlineLevel="1">
      <c r="A155" s="753"/>
      <c r="B155" s="7" t="s">
        <v>27</v>
      </c>
      <c r="C155" s="260">
        <v>18</v>
      </c>
      <c r="D155" s="286">
        <f t="shared" si="80"/>
        <v>0</v>
      </c>
      <c r="E155" s="286">
        <f t="shared" si="81"/>
        <v>0</v>
      </c>
      <c r="F155" s="286">
        <f t="shared" si="82"/>
        <v>0</v>
      </c>
      <c r="G155" s="286">
        <f t="shared" si="83"/>
        <v>0</v>
      </c>
    </row>
    <row r="156" spans="1:7" hidden="1" outlineLevel="1">
      <c r="A156" s="637"/>
      <c r="B156" s="566" t="s">
        <v>28</v>
      </c>
      <c r="C156" s="260">
        <v>19</v>
      </c>
      <c r="D156" s="286">
        <f t="shared" si="80"/>
        <v>0</v>
      </c>
      <c r="E156" s="286">
        <f t="shared" si="81"/>
        <v>0</v>
      </c>
      <c r="F156" s="286">
        <f t="shared" si="82"/>
        <v>0</v>
      </c>
      <c r="G156" s="286">
        <f t="shared" si="83"/>
        <v>0</v>
      </c>
    </row>
    <row r="157" spans="1:7" hidden="1" outlineLevel="1">
      <c r="A157" s="637"/>
      <c r="B157" s="566" t="s">
        <v>29</v>
      </c>
      <c r="C157" s="260">
        <v>20</v>
      </c>
      <c r="D157" s="286">
        <f t="shared" si="80"/>
        <v>0</v>
      </c>
      <c r="E157" s="286">
        <f t="shared" si="81"/>
        <v>0</v>
      </c>
      <c r="F157" s="286">
        <f t="shared" si="82"/>
        <v>0</v>
      </c>
      <c r="G157" s="286">
        <f t="shared" si="83"/>
        <v>0</v>
      </c>
    </row>
    <row r="158" spans="1:7" hidden="1" outlineLevel="1">
      <c r="A158" s="637"/>
      <c r="B158" s="566" t="s">
        <v>30</v>
      </c>
      <c r="C158" s="260">
        <v>21</v>
      </c>
      <c r="D158" s="286">
        <f t="shared" si="80"/>
        <v>0</v>
      </c>
      <c r="E158" s="286">
        <f t="shared" si="81"/>
        <v>0</v>
      </c>
      <c r="F158" s="286">
        <f t="shared" si="82"/>
        <v>0</v>
      </c>
      <c r="G158" s="286">
        <f t="shared" si="83"/>
        <v>0</v>
      </c>
    </row>
    <row r="159" spans="1:7" hidden="1" outlineLevel="1">
      <c r="A159" s="637"/>
      <c r="B159" s="566" t="s">
        <v>31</v>
      </c>
      <c r="C159" s="260">
        <v>22</v>
      </c>
      <c r="D159" s="286">
        <f t="shared" si="80"/>
        <v>0</v>
      </c>
      <c r="E159" s="286">
        <f t="shared" si="81"/>
        <v>0</v>
      </c>
      <c r="F159" s="286">
        <f t="shared" si="82"/>
        <v>0</v>
      </c>
      <c r="G159" s="286">
        <f t="shared" si="83"/>
        <v>0</v>
      </c>
    </row>
    <row r="160" spans="1:7" hidden="1" outlineLevel="1">
      <c r="A160" s="637"/>
      <c r="B160" s="566" t="s">
        <v>33</v>
      </c>
      <c r="C160" s="260">
        <v>23</v>
      </c>
      <c r="D160" s="286">
        <f t="shared" si="80"/>
        <v>0</v>
      </c>
      <c r="E160" s="286">
        <f t="shared" si="81"/>
        <v>0</v>
      </c>
      <c r="F160" s="286">
        <f t="shared" si="82"/>
        <v>0</v>
      </c>
      <c r="G160" s="286">
        <f t="shared" si="83"/>
        <v>0</v>
      </c>
    </row>
    <row r="161" spans="1:8" hidden="1" outlineLevel="1">
      <c r="A161" s="637"/>
      <c r="B161" s="566" t="s">
        <v>34</v>
      </c>
      <c r="C161" s="260">
        <v>24</v>
      </c>
      <c r="D161" s="286">
        <f t="shared" si="80"/>
        <v>0</v>
      </c>
      <c r="E161" s="286">
        <f t="shared" si="81"/>
        <v>0</v>
      </c>
      <c r="F161" s="286">
        <f t="shared" si="82"/>
        <v>0</v>
      </c>
      <c r="G161" s="286">
        <f t="shared" si="83"/>
        <v>0</v>
      </c>
    </row>
    <row r="162" spans="1:8" collapsed="1">
      <c r="A162" s="260"/>
      <c r="B162" s="260"/>
      <c r="C162" s="260"/>
      <c r="D162" s="260"/>
      <c r="E162" s="260"/>
      <c r="F162" s="260"/>
      <c r="G162" s="260"/>
    </row>
    <row r="163" spans="1:8">
      <c r="A163" s="260"/>
      <c r="B163" s="288"/>
      <c r="C163" s="288"/>
      <c r="D163" s="288"/>
      <c r="E163" s="288"/>
      <c r="F163" s="288"/>
      <c r="G163" s="288"/>
    </row>
    <row r="164" spans="1:8">
      <c r="A164" s="260"/>
      <c r="B164" s="2" t="s">
        <v>44</v>
      </c>
      <c r="C164" s="260"/>
      <c r="D164" s="260"/>
      <c r="E164" s="260"/>
      <c r="F164" s="260"/>
      <c r="G164" s="260"/>
    </row>
    <row r="165" spans="1:8">
      <c r="A165" s="260"/>
      <c r="B165" s="260" t="s">
        <v>45</v>
      </c>
      <c r="C165" s="260"/>
      <c r="D165" s="277">
        <f>(-PMT(D4,D6,D11,0))*D6-D11</f>
        <v>77999.999999999942</v>
      </c>
      <c r="E165" s="277">
        <f t="shared" ref="E165:G165" si="84">(-PMT(E4,E6,E11,0))*E6-E11</f>
        <v>253971.8294908402</v>
      </c>
      <c r="F165" s="277">
        <f t="shared" si="84"/>
        <v>457709.99999998743</v>
      </c>
      <c r="G165" s="277">
        <f t="shared" si="84"/>
        <v>1364000</v>
      </c>
    </row>
    <row r="166" spans="1:8">
      <c r="A166" s="260"/>
      <c r="B166" s="260" t="s">
        <v>12</v>
      </c>
      <c r="C166" s="260"/>
      <c r="D166" s="277">
        <f>-D8*(D13)</f>
        <v>-31980</v>
      </c>
      <c r="E166" s="277">
        <f>-E8*(E13)</f>
        <v>-72300</v>
      </c>
      <c r="F166" s="277">
        <f>-F8*(F13)</f>
        <v>-88008</v>
      </c>
      <c r="G166" s="277">
        <f>-G8*(G13)</f>
        <v>-254000</v>
      </c>
    </row>
    <row r="167" spans="1:8">
      <c r="A167" s="260"/>
      <c r="B167" s="23" t="s">
        <v>46</v>
      </c>
      <c r="C167" s="23"/>
      <c r="D167" s="20">
        <f>SUM(D165:D166)</f>
        <v>46019.999999999942</v>
      </c>
      <c r="E167" s="20">
        <f>SUM(E165:E166)</f>
        <v>181671.8294908402</v>
      </c>
      <c r="F167" s="20">
        <f>SUM(F165:F166)</f>
        <v>369701.99999998743</v>
      </c>
      <c r="G167" s="20">
        <f>SUM(G165:G166)</f>
        <v>1110000</v>
      </c>
    </row>
    <row r="168" spans="1:8" ht="4" customHeight="1">
      <c r="A168" s="260"/>
      <c r="B168" s="2"/>
      <c r="C168" s="2"/>
      <c r="D168" s="21"/>
      <c r="E168" s="21"/>
      <c r="F168" s="21"/>
      <c r="G168" s="21"/>
    </row>
    <row r="169" spans="1:8">
      <c r="A169" s="260"/>
      <c r="B169" s="2" t="s">
        <v>413</v>
      </c>
      <c r="C169" s="2"/>
      <c r="D169" s="21"/>
      <c r="E169" s="21"/>
      <c r="F169" s="21"/>
      <c r="G169" s="21"/>
    </row>
    <row r="170" spans="1:8">
      <c r="A170" s="260"/>
      <c r="B170" s="260" t="s">
        <v>37</v>
      </c>
      <c r="C170" s="260"/>
      <c r="D170" s="277">
        <f>-D110</f>
        <v>-5720.0295904537097</v>
      </c>
      <c r="E170" s="277">
        <f>-E110</f>
        <v>-23957.815301862505</v>
      </c>
      <c r="F170" s="277">
        <f>-F110</f>
        <v>-45230.641407267343</v>
      </c>
      <c r="G170" s="277">
        <f>-G110</f>
        <v>-155769.90092511053</v>
      </c>
      <c r="H170" s="507"/>
    </row>
    <row r="171" spans="1:8">
      <c r="A171" s="260"/>
      <c r="B171" s="2" t="s">
        <v>341</v>
      </c>
      <c r="C171" s="260"/>
      <c r="D171" s="277"/>
      <c r="E171" s="277"/>
      <c r="F171" s="277"/>
      <c r="G171" s="277"/>
    </row>
    <row r="172" spans="1:8">
      <c r="A172" s="260"/>
      <c r="B172" s="487" t="s">
        <v>408</v>
      </c>
      <c r="C172" s="66">
        <v>50</v>
      </c>
      <c r="D172" s="277">
        <f>-C172*D6</f>
        <v>-300</v>
      </c>
      <c r="E172" s="277">
        <f>-C172*E6</f>
        <v>-550</v>
      </c>
      <c r="F172" s="277">
        <f>-C172*F6</f>
        <v>-550</v>
      </c>
      <c r="G172" s="277">
        <f>-C172*G6</f>
        <v>-550</v>
      </c>
    </row>
    <row r="173" spans="1:8">
      <c r="A173" s="260"/>
      <c r="B173" s="10" t="s">
        <v>48</v>
      </c>
      <c r="C173" s="66">
        <v>10</v>
      </c>
      <c r="D173" s="277">
        <f>-$C173*D10</f>
        <v>-10</v>
      </c>
      <c r="E173" s="277">
        <f>-$C173*E10</f>
        <v>-10</v>
      </c>
      <c r="F173" s="277">
        <f>-$C173*F10</f>
        <v>-10</v>
      </c>
      <c r="G173" s="277">
        <f>-$C173*G10</f>
        <v>-10</v>
      </c>
    </row>
    <row r="174" spans="1:8">
      <c r="A174" s="260"/>
      <c r="B174" s="10" t="s">
        <v>121</v>
      </c>
      <c r="C174" s="17">
        <v>0.01</v>
      </c>
      <c r="D174" s="277">
        <f>(IF(($C174*(-SUM(D50:D73)))&gt;(2000*D6),-2000*D6,($C174*SUM(D50:D73))))*(1-D8)</f>
        <v>-1568.3199999999997</v>
      </c>
      <c r="E174" s="277">
        <f t="shared" ref="E174:G174" si="85">(IF(($C174*(-SUM(E50:E73)))&gt;(2000*E6),-2000*E6,($C174*SUM(E50:E73))))*(1-E8)</f>
        <v>-4204.646185835476</v>
      </c>
      <c r="F174" s="277">
        <f t="shared" si="85"/>
        <v>-8690.3157599998976</v>
      </c>
      <c r="G174" s="277">
        <f t="shared" si="85"/>
        <v>-19206</v>
      </c>
      <c r="H174" s="487"/>
    </row>
    <row r="175" spans="1:8">
      <c r="A175" s="260"/>
      <c r="B175" s="260" t="s">
        <v>49</v>
      </c>
      <c r="C175" s="67">
        <f>(0.35/1000)*1.075</f>
        <v>3.7624999999999996E-4</v>
      </c>
      <c r="D175" s="277">
        <f>-$C175*D13</f>
        <v>-48.912499999999994</v>
      </c>
      <c r="E175" s="277">
        <f>-$C175*E13</f>
        <v>-112.87499999999999</v>
      </c>
      <c r="F175" s="277">
        <f>-$C175*F13</f>
        <v>-214.46249999999998</v>
      </c>
      <c r="G175" s="277">
        <f>-$C175*G13</f>
        <v>-752.49999999999989</v>
      </c>
      <c r="H175" s="487"/>
    </row>
    <row r="176" spans="1:8" ht="15.5" customHeight="1">
      <c r="A176" s="502"/>
      <c r="B176" s="8" t="s">
        <v>414</v>
      </c>
      <c r="C176" s="289"/>
      <c r="D176" s="290">
        <f>SUM(D172:D175)</f>
        <v>-1927.2324999999996</v>
      </c>
      <c r="E176" s="290">
        <f t="shared" ref="E176:G176" si="86">SUM(E172:E175)</f>
        <v>-4877.521185835476</v>
      </c>
      <c r="F176" s="290">
        <f t="shared" si="86"/>
        <v>-9464.7782599998973</v>
      </c>
      <c r="G176" s="290">
        <f t="shared" si="86"/>
        <v>-20518.5</v>
      </c>
    </row>
    <row r="177" spans="1:8">
      <c r="A177" s="260"/>
      <c r="B177" s="505" t="s">
        <v>50</v>
      </c>
      <c r="C177" s="505"/>
      <c r="D177" s="506">
        <f>D170+D176</f>
        <v>-7647.2620904537089</v>
      </c>
      <c r="E177" s="506">
        <f t="shared" ref="E177:G177" si="87">E170+E176</f>
        <v>-28835.336487697983</v>
      </c>
      <c r="F177" s="506">
        <f t="shared" si="87"/>
        <v>-54695.419667267241</v>
      </c>
      <c r="G177" s="506">
        <f t="shared" si="87"/>
        <v>-176288.40092511053</v>
      </c>
      <c r="H177" s="507"/>
    </row>
    <row r="178" spans="1:8" ht="4" customHeight="1">
      <c r="A178" s="260"/>
      <c r="B178" s="260"/>
      <c r="C178" s="260"/>
      <c r="D178" s="291"/>
      <c r="E178" s="291"/>
      <c r="F178" s="291"/>
      <c r="G178" s="291"/>
    </row>
    <row r="179" spans="1:8">
      <c r="A179" s="260"/>
      <c r="B179" s="4" t="s">
        <v>475</v>
      </c>
      <c r="C179" s="260"/>
      <c r="D179" s="291"/>
      <c r="E179" s="291"/>
      <c r="F179" s="291"/>
      <c r="G179" s="291"/>
    </row>
    <row r="180" spans="1:8">
      <c r="B180" s="260" t="s">
        <v>56</v>
      </c>
      <c r="C180" s="17">
        <v>2.1000000000000001E-2</v>
      </c>
      <c r="D180" s="277"/>
      <c r="E180" s="277">
        <f>-$C$180*E11*0.74</f>
        <v>-4662</v>
      </c>
      <c r="F180" s="277">
        <f t="shared" ref="F180:G180" si="88">-$C$180*F11*0.74</f>
        <v>-8857.7999999999993</v>
      </c>
      <c r="G180" s="277">
        <f t="shared" si="88"/>
        <v>-31080</v>
      </c>
    </row>
    <row r="181" spans="1:8">
      <c r="B181" s="260" t="s">
        <v>57</v>
      </c>
      <c r="C181" s="17">
        <f>'Loan 3'!C180</f>
        <v>0</v>
      </c>
      <c r="D181" s="277"/>
      <c r="E181" s="277">
        <f>-$C$181*E11*0.74</f>
        <v>0</v>
      </c>
      <c r="F181" s="277">
        <f t="shared" ref="F181:G181" si="89">-$C$181*F11*0.74</f>
        <v>0</v>
      </c>
      <c r="G181" s="277">
        <f t="shared" si="89"/>
        <v>0</v>
      </c>
    </row>
    <row r="182" spans="1:8">
      <c r="B182" s="260" t="s">
        <v>58</v>
      </c>
      <c r="C182" s="17">
        <f>'Loan 3'!C181</f>
        <v>0</v>
      </c>
      <c r="D182" s="277"/>
      <c r="E182" s="277">
        <f>-$C$182*E11*0.74</f>
        <v>0</v>
      </c>
      <c r="F182" s="277">
        <f t="shared" ref="F182:G182" si="90">-$C$182*F11*0.74</f>
        <v>0</v>
      </c>
      <c r="G182" s="277">
        <f t="shared" si="90"/>
        <v>0</v>
      </c>
    </row>
    <row r="183" spans="1:8">
      <c r="B183" s="563" t="s">
        <v>474</v>
      </c>
      <c r="C183" s="642">
        <v>3.2000000000000001E-2</v>
      </c>
      <c r="D183" s="641"/>
      <c r="E183" s="641">
        <f>-$C$183*E11*0.26</f>
        <v>-2496</v>
      </c>
      <c r="F183" s="641">
        <f t="shared" ref="F183:G183" si="91">-$C$183*F11*0.26</f>
        <v>-4742.4000000000005</v>
      </c>
      <c r="G183" s="641">
        <f t="shared" si="91"/>
        <v>-16640</v>
      </c>
    </row>
    <row r="184" spans="1:8">
      <c r="B184" s="260"/>
      <c r="C184" s="260"/>
      <c r="D184" s="293">
        <f>SUM(D180:D182)</f>
        <v>0</v>
      </c>
      <c r="E184" s="293">
        <f>SUM(E180:E183)</f>
        <v>-7158</v>
      </c>
      <c r="F184" s="293">
        <f t="shared" ref="F184:G184" si="92">SUM(F180:F183)</f>
        <v>-13600.2</v>
      </c>
      <c r="G184" s="293">
        <f t="shared" si="92"/>
        <v>-47720</v>
      </c>
    </row>
    <row r="185" spans="1:8" s="62" customFormat="1">
      <c r="B185" s="23" t="s">
        <v>401</v>
      </c>
      <c r="C185" s="23"/>
      <c r="D185" s="11">
        <f>SUM(D184:D184)</f>
        <v>0</v>
      </c>
      <c r="E185" s="11">
        <f>SUM(E184:E184)</f>
        <v>-7158</v>
      </c>
      <c r="F185" s="11">
        <f>SUM(F184:F184)</f>
        <v>-13600.2</v>
      </c>
      <c r="G185" s="11">
        <f>SUM(G184:G184)</f>
        <v>-47720</v>
      </c>
    </row>
    <row r="186" spans="1:8" ht="4" customHeight="1">
      <c r="B186" s="260"/>
      <c r="C186" s="260"/>
      <c r="D186" s="260"/>
      <c r="E186" s="260"/>
      <c r="F186" s="260"/>
      <c r="G186" s="260"/>
    </row>
    <row r="187" spans="1:8">
      <c r="B187" s="4" t="s">
        <v>65</v>
      </c>
      <c r="C187" s="260"/>
      <c r="D187" s="260"/>
      <c r="E187" s="260"/>
      <c r="F187" s="260"/>
      <c r="G187" s="260"/>
    </row>
    <row r="188" spans="1:8">
      <c r="B188" s="260" t="s">
        <v>68</v>
      </c>
      <c r="C188" s="18">
        <f>Assumption_Sheet!B30</f>
        <v>76.649999999999991</v>
      </c>
      <c r="D188" s="277">
        <f>-$C$188*D$15</f>
        <v>-7664.9999999999991</v>
      </c>
      <c r="E188" s="277">
        <f>-$C$188*E$15</f>
        <v>-7664.9999999999991</v>
      </c>
      <c r="F188" s="277">
        <f>-$C$188*F$15</f>
        <v>-1916.2499999999998</v>
      </c>
      <c r="G188" s="277">
        <f>-$C$188*G$15</f>
        <v>-1277.5</v>
      </c>
    </row>
    <row r="189" spans="1:8">
      <c r="B189" s="23" t="s">
        <v>69</v>
      </c>
      <c r="C189" s="23"/>
      <c r="D189" s="11">
        <f>SUM(D188:D188)</f>
        <v>-7664.9999999999991</v>
      </c>
      <c r="E189" s="11">
        <f>SUM(E188:E188)</f>
        <v>-7664.9999999999991</v>
      </c>
      <c r="F189" s="11">
        <f>SUM(F188:F188)</f>
        <v>-1916.2499999999998</v>
      </c>
      <c r="G189" s="11">
        <f>SUM(G188:G188)</f>
        <v>-1277.5</v>
      </c>
    </row>
    <row r="190" spans="1:8" ht="4" customHeight="1">
      <c r="B190" s="260"/>
      <c r="C190" s="260"/>
      <c r="D190" s="260"/>
      <c r="E190" s="260"/>
      <c r="F190" s="260"/>
      <c r="G190" s="260"/>
    </row>
    <row r="191" spans="1:8">
      <c r="B191" s="4" t="s">
        <v>70</v>
      </c>
      <c r="C191" s="260"/>
      <c r="D191" s="260"/>
      <c r="E191" s="260"/>
      <c r="F191" s="260"/>
      <c r="G191" s="260"/>
    </row>
    <row r="192" spans="1:8">
      <c r="B192" s="4" t="s">
        <v>122</v>
      </c>
      <c r="C192" s="260"/>
      <c r="D192" s="260"/>
      <c r="E192" s="260"/>
      <c r="F192" s="260"/>
      <c r="G192" s="260"/>
    </row>
    <row r="193" spans="2:7">
      <c r="B193" s="223" t="s">
        <v>72</v>
      </c>
      <c r="C193" s="18">
        <f>Assumption_Sheet!C40</f>
        <v>182.5</v>
      </c>
      <c r="D193" s="277">
        <f>-$C$193*2</f>
        <v>-365</v>
      </c>
      <c r="E193" s="277">
        <f>-$C$193*2</f>
        <v>-365</v>
      </c>
      <c r="F193" s="277">
        <f>-$C$193*2</f>
        <v>-365</v>
      </c>
      <c r="G193" s="277">
        <f>-$C$193*2</f>
        <v>-365</v>
      </c>
    </row>
    <row r="194" spans="2:7">
      <c r="B194" s="260" t="s">
        <v>73</v>
      </c>
      <c r="C194" s="18">
        <f>Assumption_Sheet!$B$59</f>
        <v>117.80000000000001</v>
      </c>
      <c r="D194" s="277">
        <f>-$C194*D15*0.5</f>
        <v>-5890.0000000000009</v>
      </c>
      <c r="E194" s="277">
        <f>-$C194*E15*0.64</f>
        <v>-7539.2000000000016</v>
      </c>
      <c r="F194" s="277">
        <f>-$C194*F15*0.7</f>
        <v>-2061.5</v>
      </c>
      <c r="G194" s="277">
        <f>-$C194*G15*0.7</f>
        <v>-1374.3333333333335</v>
      </c>
    </row>
    <row r="195" spans="2:7">
      <c r="B195" s="260" t="s">
        <v>74</v>
      </c>
      <c r="C195" s="18">
        <v>15</v>
      </c>
      <c r="D195" s="277">
        <f>-$C195*D15</f>
        <v>-1500</v>
      </c>
      <c r="E195" s="277">
        <f>-$C195*E15</f>
        <v>-1500</v>
      </c>
      <c r="F195" s="277">
        <f>-$C195*F15</f>
        <v>-375</v>
      </c>
      <c r="G195" s="277">
        <f>-$C195*G15</f>
        <v>-250.00000000000003</v>
      </c>
    </row>
    <row r="196" spans="2:7">
      <c r="B196" s="260" t="s">
        <v>75</v>
      </c>
      <c r="C196" s="260"/>
      <c r="D196" s="277">
        <f>-Assumption_Sheet!$C$66*D$15*D14</f>
        <v>-1000</v>
      </c>
      <c r="E196" s="277">
        <f>-Assumption_Sheet!$C$66*E$15*E14</f>
        <v>-1000</v>
      </c>
      <c r="F196" s="277">
        <f>-Assumption_Sheet!$C$66*F$15*F14</f>
        <v>-1000</v>
      </c>
      <c r="G196" s="277">
        <f>-Assumption_Sheet!$C$66*G$15*G14</f>
        <v>-1000</v>
      </c>
    </row>
    <row r="197" spans="2:7">
      <c r="B197" s="260" t="s">
        <v>123</v>
      </c>
      <c r="C197" s="18">
        <f>Assumption_Sheet!B35</f>
        <v>298.94280369475052</v>
      </c>
      <c r="D197" s="277">
        <f>-$C$197*D15</f>
        <v>-29894.280369475051</v>
      </c>
      <c r="E197" s="277">
        <f>-$C$197*E15</f>
        <v>-29894.280369475051</v>
      </c>
      <c r="F197" s="277">
        <f>-$C$197*F15</f>
        <v>-7473.5700923687627</v>
      </c>
      <c r="G197" s="277">
        <f>-$C$197*G15</f>
        <v>-4982.3800615791761</v>
      </c>
    </row>
    <row r="198" spans="2:7">
      <c r="B198" s="260" t="s">
        <v>77</v>
      </c>
      <c r="C198" s="260"/>
      <c r="D198" s="277">
        <v>0</v>
      </c>
      <c r="E198" s="277">
        <v>0</v>
      </c>
      <c r="F198" s="277">
        <v>0</v>
      </c>
      <c r="G198" s="277">
        <v>0</v>
      </c>
    </row>
    <row r="199" spans="2:7" ht="4" customHeight="1">
      <c r="B199" s="260"/>
      <c r="C199" s="260"/>
      <c r="D199" s="276"/>
      <c r="E199" s="276"/>
      <c r="F199" s="276"/>
      <c r="G199" s="276"/>
    </row>
    <row r="200" spans="2:7" s="62" customFormat="1">
      <c r="B200" s="11" t="s">
        <v>78</v>
      </c>
      <c r="C200" s="11"/>
      <c r="D200" s="11">
        <f>SUM(D193:D199)</f>
        <v>-38649.280369475047</v>
      </c>
      <c r="E200" s="11">
        <f>SUM(E193:E199)</f>
        <v>-40298.480369475052</v>
      </c>
      <c r="F200" s="11">
        <f>SUM(F193:F199)</f>
        <v>-11275.070092368762</v>
      </c>
      <c r="G200" s="11">
        <f>SUM(G193:G199)</f>
        <v>-7971.7133949125091</v>
      </c>
    </row>
    <row r="201" spans="2:7" s="62" customFormat="1" ht="4" customHeight="1">
      <c r="B201" s="12"/>
      <c r="C201" s="12"/>
      <c r="D201" s="12"/>
      <c r="E201" s="12"/>
      <c r="F201" s="12"/>
      <c r="G201" s="12"/>
    </row>
    <row r="202" spans="2:7" s="62" customFormat="1">
      <c r="B202" s="11" t="s">
        <v>79</v>
      </c>
      <c r="C202" s="11"/>
      <c r="D202" s="11">
        <f>D185+D200+D177+D189</f>
        <v>-53961.542459928758</v>
      </c>
      <c r="E202" s="11">
        <f>E185+E200+E177+E189</f>
        <v>-83956.816857173035</v>
      </c>
      <c r="F202" s="11">
        <f>F185+F200+F177+F189</f>
        <v>-81486.939759636007</v>
      </c>
      <c r="G202" s="11">
        <f>G185+G200+G177+G189</f>
        <v>-233257.61432002304</v>
      </c>
    </row>
    <row r="203" spans="2:7" s="62" customFormat="1" ht="4" customHeight="1">
      <c r="B203" s="12"/>
      <c r="C203" s="12"/>
      <c r="D203" s="12"/>
      <c r="E203" s="12"/>
      <c r="F203" s="12"/>
      <c r="G203" s="12"/>
    </row>
    <row r="204" spans="2:7" ht="15" thickBot="1">
      <c r="B204" s="13" t="s">
        <v>80</v>
      </c>
      <c r="C204" s="296"/>
      <c r="D204" s="22">
        <f>D167+D202</f>
        <v>-7941.5424599288162</v>
      </c>
      <c r="E204" s="22">
        <f>E167+E202</f>
        <v>97715.012633667167</v>
      </c>
      <c r="F204" s="22">
        <f>F167+F202</f>
        <v>288215.06024035142</v>
      </c>
      <c r="G204" s="22">
        <f>G167+G202</f>
        <v>876742.38567997701</v>
      </c>
    </row>
    <row r="205" spans="2:7" s="62" customFormat="1" ht="10" customHeight="1" thickTop="1">
      <c r="B205" s="12"/>
      <c r="C205" s="12"/>
      <c r="D205" s="12"/>
      <c r="E205" s="12"/>
      <c r="F205" s="12"/>
      <c r="G205" s="12"/>
    </row>
    <row r="206" spans="2:7">
      <c r="B206" s="260" t="s">
        <v>124</v>
      </c>
      <c r="C206" s="562">
        <f>-11.1%</f>
        <v>-0.111</v>
      </c>
      <c r="D206" s="277">
        <f>C206*D11</f>
        <v>-14430</v>
      </c>
      <c r="E206" s="277">
        <f>C206*E11</f>
        <v>-33300</v>
      </c>
      <c r="F206" s="277">
        <f>C206*F11</f>
        <v>-63270</v>
      </c>
      <c r="G206" s="277">
        <f>C206*G11</f>
        <v>-222000</v>
      </c>
    </row>
    <row r="207" spans="2:7" ht="10" customHeight="1">
      <c r="B207" s="260"/>
      <c r="C207" s="260"/>
      <c r="D207" s="260"/>
      <c r="E207" s="260"/>
      <c r="F207" s="260"/>
      <c r="G207" s="260"/>
    </row>
    <row r="208" spans="2:7" ht="15" thickBot="1">
      <c r="B208" s="13" t="s">
        <v>82</v>
      </c>
      <c r="C208" s="296"/>
      <c r="D208" s="22">
        <f>D204+D206</f>
        <v>-22371.542459928816</v>
      </c>
      <c r="E208" s="22">
        <f>E204+E206</f>
        <v>64415.012633667167</v>
      </c>
      <c r="F208" s="22">
        <f>F204+F206</f>
        <v>224945.06024035142</v>
      </c>
      <c r="G208" s="22">
        <f>G204+G206</f>
        <v>654742.38567997701</v>
      </c>
    </row>
    <row r="209" spans="2:7" ht="15" thickTop="1">
      <c r="B209" s="260"/>
      <c r="C209" s="260"/>
      <c r="D209" s="298"/>
      <c r="E209" s="298"/>
      <c r="F209" s="298"/>
      <c r="G209" s="298"/>
    </row>
    <row r="210" spans="2:7">
      <c r="B210" s="260" t="s">
        <v>125</v>
      </c>
      <c r="C210" s="260"/>
      <c r="D210" s="307">
        <f>IFERROR(D204/D11,0)</f>
        <v>-6.1088788153298587E-2</v>
      </c>
      <c r="E210" s="307">
        <f>IFERROR(E204/E11,0)</f>
        <v>0.32571670877889058</v>
      </c>
      <c r="F210" s="307">
        <f>IFERROR(F204/F11,0)</f>
        <v>0.50564045656202006</v>
      </c>
      <c r="G210" s="307">
        <f>IFERROR(G204/G11,0)</f>
        <v>0.43837119283998849</v>
      </c>
    </row>
    <row r="211" spans="2:7">
      <c r="B211" s="260"/>
      <c r="C211" s="260"/>
      <c r="D211" s="300">
        <f>IFERROR(D208/D11,0)</f>
        <v>-0.17208878815329859</v>
      </c>
      <c r="E211" s="300">
        <f>IFERROR(E208/E11,0)</f>
        <v>0.21471670877889057</v>
      </c>
      <c r="F211" s="300">
        <f>IFERROR(F208/F11,0)</f>
        <v>0.39464045656202001</v>
      </c>
      <c r="G211" s="300">
        <f>IFERROR(G208/G11,0)</f>
        <v>0.3273711928399885</v>
      </c>
    </row>
    <row r="212" spans="2:7">
      <c r="B212" s="260"/>
      <c r="C212" s="260"/>
      <c r="D212" s="301"/>
      <c r="E212" s="301"/>
      <c r="F212" s="301"/>
      <c r="G212" s="301"/>
    </row>
    <row r="213" spans="2:7">
      <c r="B213" s="260"/>
      <c r="C213" s="260"/>
      <c r="D213" s="308"/>
      <c r="E213" s="308"/>
      <c r="F213" s="308"/>
      <c r="G213" s="308"/>
    </row>
    <row r="214" spans="2:7">
      <c r="B214" s="260"/>
      <c r="C214" s="260"/>
      <c r="D214" s="308"/>
      <c r="E214" s="308"/>
      <c r="F214" s="308"/>
      <c r="G214" s="308"/>
    </row>
    <row r="215" spans="2:7">
      <c r="B215" s="4"/>
      <c r="C215" s="260"/>
      <c r="D215" s="301"/>
      <c r="E215" s="301"/>
      <c r="F215" s="301"/>
      <c r="G215" s="301"/>
    </row>
    <row r="216" spans="2:7">
      <c r="B216" s="260"/>
      <c r="C216" s="260"/>
      <c r="D216" s="301"/>
      <c r="E216" s="301"/>
      <c r="F216" s="301"/>
      <c r="G216" s="301"/>
    </row>
    <row r="217" spans="2:7">
      <c r="B217" s="260"/>
      <c r="C217" s="260"/>
      <c r="D217" s="301"/>
      <c r="E217" s="301"/>
      <c r="F217" s="301"/>
      <c r="G217" s="301"/>
    </row>
    <row r="218" spans="2:7">
      <c r="B218" s="260"/>
      <c r="C218" s="260"/>
      <c r="D218" s="301"/>
      <c r="E218" s="301"/>
      <c r="F218" s="301"/>
      <c r="G218" s="301"/>
    </row>
    <row r="219" spans="2:7">
      <c r="B219" s="260"/>
      <c r="C219" s="260"/>
      <c r="D219" s="301"/>
      <c r="E219" s="301"/>
      <c r="F219" s="301"/>
      <c r="G219" s="301"/>
    </row>
    <row r="220" spans="2:7">
      <c r="B220" s="260"/>
      <c r="C220" s="260"/>
      <c r="D220" s="301"/>
      <c r="E220" s="301"/>
      <c r="F220" s="301"/>
      <c r="G220" s="301"/>
    </row>
    <row r="221" spans="2:7">
      <c r="B221" s="260"/>
      <c r="C221" s="260"/>
      <c r="D221" s="301"/>
      <c r="E221" s="301"/>
      <c r="F221" s="301"/>
      <c r="G221" s="301"/>
    </row>
    <row r="222" spans="2:7">
      <c r="B222" s="260"/>
      <c r="C222" s="260"/>
      <c r="D222" s="301"/>
      <c r="E222" s="301"/>
      <c r="F222" s="301"/>
      <c r="G222" s="301"/>
    </row>
    <row r="223" spans="2:7">
      <c r="B223" s="260"/>
      <c r="C223" s="260"/>
      <c r="D223" s="301"/>
      <c r="E223" s="301"/>
      <c r="F223" s="301"/>
      <c r="G223" s="301"/>
    </row>
    <row r="224" spans="2:7">
      <c r="B224" s="260"/>
      <c r="C224" s="260"/>
      <c r="D224" s="301"/>
      <c r="E224" s="301"/>
      <c r="F224" s="301"/>
      <c r="G224" s="301"/>
    </row>
    <row r="238" spans="4:7">
      <c r="D238" s="301"/>
      <c r="E238" s="301"/>
      <c r="F238" s="301"/>
      <c r="G238" s="301"/>
    </row>
    <row r="239" spans="4:7">
      <c r="D239" s="301"/>
      <c r="E239" s="301"/>
      <c r="F239" s="301"/>
      <c r="G239" s="301"/>
    </row>
    <row r="240" spans="4:7">
      <c r="D240" s="301"/>
      <c r="E240" s="301"/>
      <c r="F240" s="301"/>
      <c r="G240" s="301"/>
    </row>
    <row r="241" spans="4:7">
      <c r="D241" s="301"/>
      <c r="E241" s="301"/>
      <c r="F241" s="301"/>
      <c r="G241" s="301"/>
    </row>
    <row r="242" spans="4:7">
      <c r="D242" s="301"/>
      <c r="E242" s="301"/>
      <c r="F242" s="301"/>
      <c r="G242" s="301"/>
    </row>
    <row r="243" spans="4:7">
      <c r="D243" s="301"/>
      <c r="E243" s="301"/>
      <c r="F243" s="301"/>
      <c r="G243" s="301"/>
    </row>
    <row r="244" spans="4:7">
      <c r="D244" s="301"/>
      <c r="E244" s="301"/>
      <c r="F244" s="301"/>
      <c r="G244" s="301"/>
    </row>
    <row r="245" spans="4:7">
      <c r="D245" s="301"/>
      <c r="E245" s="301"/>
      <c r="F245" s="301"/>
      <c r="G245" s="301"/>
    </row>
    <row r="246" spans="4:7">
      <c r="D246" s="301"/>
      <c r="E246" s="301"/>
      <c r="F246" s="301"/>
      <c r="G246" s="301"/>
    </row>
    <row r="247" spans="4:7">
      <c r="D247" s="301"/>
      <c r="E247" s="301"/>
      <c r="F247" s="301"/>
      <c r="G247" s="301"/>
    </row>
    <row r="248" spans="4:7">
      <c r="D248" s="301"/>
      <c r="E248" s="301"/>
      <c r="F248" s="301"/>
      <c r="G248" s="301"/>
    </row>
    <row r="249" spans="4:7">
      <c r="D249" s="301"/>
      <c r="E249" s="301"/>
      <c r="F249" s="301"/>
      <c r="G249" s="301"/>
    </row>
    <row r="250" spans="4:7">
      <c r="D250" s="301"/>
      <c r="E250" s="301"/>
      <c r="F250" s="301"/>
      <c r="G250" s="301"/>
    </row>
    <row r="251" spans="4:7">
      <c r="D251" s="301"/>
      <c r="E251" s="301"/>
      <c r="F251" s="301"/>
      <c r="G251" s="301"/>
    </row>
    <row r="252" spans="4:7">
      <c r="D252" s="301"/>
      <c r="E252" s="301"/>
      <c r="F252" s="301"/>
      <c r="G252" s="301"/>
    </row>
    <row r="253" spans="4:7">
      <c r="D253" s="301"/>
      <c r="E253" s="301"/>
      <c r="F253" s="301"/>
      <c r="G253" s="301"/>
    </row>
    <row r="254" spans="4:7">
      <c r="D254" s="301"/>
      <c r="E254" s="301"/>
      <c r="F254" s="301"/>
      <c r="G254" s="301"/>
    </row>
    <row r="255" spans="4:7">
      <c r="D255" s="301"/>
      <c r="E255" s="301"/>
      <c r="F255" s="301"/>
      <c r="G255" s="301"/>
    </row>
    <row r="256" spans="4:7">
      <c r="D256" s="301"/>
      <c r="E256" s="301"/>
      <c r="F256" s="301"/>
      <c r="G256" s="301"/>
    </row>
    <row r="257" spans="1:7">
      <c r="D257" s="301"/>
      <c r="E257" s="301"/>
      <c r="F257" s="301"/>
      <c r="G257" s="301"/>
    </row>
    <row r="258" spans="1:7">
      <c r="D258" s="301"/>
      <c r="E258" s="301"/>
      <c r="F258" s="301"/>
      <c r="G258" s="301"/>
    </row>
    <row r="259" spans="1:7">
      <c r="D259" s="301"/>
      <c r="E259" s="301"/>
      <c r="F259" s="301"/>
      <c r="G259" s="301"/>
    </row>
    <row r="260" spans="1:7">
      <c r="D260" s="301"/>
      <c r="E260" s="301"/>
      <c r="F260" s="301"/>
      <c r="G260" s="301"/>
    </row>
    <row r="261" spans="1:7">
      <c r="A261" s="260"/>
      <c r="B261" s="260"/>
      <c r="C261" s="260"/>
      <c r="D261" s="301"/>
      <c r="E261" s="301"/>
      <c r="F261" s="301"/>
      <c r="G261" s="301"/>
    </row>
    <row r="262" spans="1:7">
      <c r="A262" s="260"/>
      <c r="B262" s="260"/>
      <c r="C262" s="260"/>
      <c r="D262" s="301"/>
      <c r="E262" s="301"/>
      <c r="F262" s="301"/>
      <c r="G262" s="301"/>
    </row>
    <row r="263" spans="1:7">
      <c r="A263" s="260"/>
      <c r="B263" s="260"/>
      <c r="C263" s="260"/>
      <c r="D263" s="301"/>
      <c r="E263" s="301"/>
      <c r="F263" s="301"/>
      <c r="G263" s="301"/>
    </row>
    <row r="264" spans="1:7">
      <c r="A264" s="260"/>
      <c r="B264" s="260"/>
      <c r="C264" s="260"/>
      <c r="D264" s="301"/>
      <c r="E264" s="301"/>
      <c r="F264" s="301"/>
      <c r="G264" s="301"/>
    </row>
    <row r="265" spans="1:7">
      <c r="A265" s="260"/>
      <c r="B265" s="260"/>
      <c r="C265" s="260"/>
      <c r="D265" s="301"/>
      <c r="E265" s="301"/>
      <c r="F265" s="301"/>
      <c r="G265" s="301"/>
    </row>
    <row r="266" spans="1:7">
      <c r="A266" s="260"/>
      <c r="B266" s="260"/>
      <c r="C266" s="260"/>
      <c r="D266" s="301"/>
      <c r="E266" s="301"/>
      <c r="F266" s="301"/>
      <c r="G266" s="301"/>
    </row>
    <row r="267" spans="1:7">
      <c r="A267" s="260"/>
      <c r="B267" s="260"/>
      <c r="C267" s="260"/>
      <c r="D267" s="301"/>
      <c r="E267" s="301"/>
      <c r="F267" s="301"/>
      <c r="G267" s="301"/>
    </row>
    <row r="268" spans="1:7">
      <c r="A268" s="260"/>
      <c r="B268" s="4" t="s">
        <v>92</v>
      </c>
      <c r="C268" s="260"/>
      <c r="D268" s="301"/>
      <c r="E268" s="301"/>
      <c r="F268" s="301"/>
      <c r="G268" s="301"/>
    </row>
    <row r="269" spans="1:7">
      <c r="A269" s="260"/>
      <c r="B269" s="260"/>
      <c r="C269" s="260"/>
      <c r="D269" s="301"/>
      <c r="E269" s="301"/>
      <c r="F269" s="301"/>
      <c r="G269" s="301"/>
    </row>
    <row r="270" spans="1:7" hidden="1">
      <c r="A270" s="2" t="s">
        <v>93</v>
      </c>
      <c r="B270" s="260"/>
      <c r="C270" s="260"/>
      <c r="D270" s="260"/>
      <c r="E270" s="260"/>
      <c r="F270" s="260"/>
      <c r="G270" s="260"/>
    </row>
    <row r="271" spans="1:7" hidden="1">
      <c r="A271" s="4" t="s">
        <v>94</v>
      </c>
      <c r="B271" s="260"/>
      <c r="C271" s="260"/>
      <c r="D271" s="260"/>
      <c r="E271" s="260"/>
      <c r="F271" s="260"/>
      <c r="G271" s="260"/>
    </row>
    <row r="272" spans="1:7" hidden="1">
      <c r="A272" s="303" t="s">
        <v>95</v>
      </c>
      <c r="B272" s="304">
        <v>0</v>
      </c>
      <c r="C272" s="304">
        <v>0</v>
      </c>
      <c r="D272" s="260"/>
      <c r="E272" s="260"/>
      <c r="F272" s="260"/>
      <c r="G272" s="260"/>
    </row>
    <row r="273" spans="1:7" hidden="1">
      <c r="A273" s="303" t="s">
        <v>95</v>
      </c>
      <c r="B273" s="304">
        <v>250000</v>
      </c>
      <c r="C273" s="304">
        <v>0</v>
      </c>
      <c r="D273" s="260"/>
      <c r="E273" s="260"/>
      <c r="F273" s="260"/>
      <c r="G273" s="260"/>
    </row>
    <row r="274" spans="1:7" hidden="1">
      <c r="A274" s="303"/>
      <c r="B274" s="304">
        <v>500000</v>
      </c>
      <c r="C274" s="304">
        <v>8000</v>
      </c>
      <c r="D274" s="260"/>
      <c r="E274" s="260"/>
      <c r="F274" s="260"/>
      <c r="G274" s="260"/>
    </row>
    <row r="275" spans="1:7" hidden="1">
      <c r="A275" s="303"/>
      <c r="B275" s="304">
        <v>1000000</v>
      </c>
      <c r="C275" s="304">
        <v>24000</v>
      </c>
      <c r="D275" s="260"/>
      <c r="E275" s="260"/>
      <c r="F275" s="260"/>
      <c r="G275" s="260"/>
    </row>
    <row r="276" spans="1:7" hidden="1">
      <c r="A276" s="303"/>
      <c r="B276" s="304">
        <v>2000000</v>
      </c>
      <c r="C276" s="304">
        <f>32000+C275</f>
        <v>56000</v>
      </c>
      <c r="D276" s="260"/>
      <c r="E276" s="260"/>
      <c r="F276" s="260"/>
      <c r="G276" s="260"/>
    </row>
    <row r="277" spans="1:7" hidden="1">
      <c r="A277" s="303"/>
      <c r="B277" s="304">
        <v>3000000</v>
      </c>
      <c r="C277" s="304">
        <f>C276+32000</f>
        <v>88000</v>
      </c>
    </row>
    <row r="278" spans="1:7" hidden="1">
      <c r="A278" s="303"/>
      <c r="B278" s="304">
        <v>4000000</v>
      </c>
      <c r="C278" s="304">
        <f t="shared" ref="C278:C284" si="93">C277+32000</f>
        <v>120000</v>
      </c>
    </row>
    <row r="279" spans="1:7" hidden="1">
      <c r="A279" s="303"/>
      <c r="B279" s="304">
        <v>5000000</v>
      </c>
      <c r="C279" s="304">
        <f t="shared" si="93"/>
        <v>152000</v>
      </c>
    </row>
    <row r="280" spans="1:7" hidden="1">
      <c r="A280" s="303"/>
      <c r="B280" s="304">
        <f>B279+1000000</f>
        <v>6000000</v>
      </c>
      <c r="C280" s="304">
        <f t="shared" si="93"/>
        <v>184000</v>
      </c>
    </row>
    <row r="281" spans="1:7" hidden="1">
      <c r="A281" s="303"/>
      <c r="B281" s="304">
        <f>B280+1000000</f>
        <v>7000000</v>
      </c>
      <c r="C281" s="304">
        <f t="shared" si="93"/>
        <v>216000</v>
      </c>
    </row>
    <row r="282" spans="1:7" hidden="1">
      <c r="A282" s="303"/>
      <c r="B282" s="304">
        <f>B281+1000000</f>
        <v>8000000</v>
      </c>
      <c r="C282" s="304">
        <f t="shared" si="93"/>
        <v>248000</v>
      </c>
    </row>
    <row r="283" spans="1:7" hidden="1">
      <c r="A283" s="303"/>
      <c r="B283" s="304">
        <f>B282+1000000</f>
        <v>9000000</v>
      </c>
      <c r="C283" s="304">
        <f t="shared" si="93"/>
        <v>280000</v>
      </c>
    </row>
    <row r="284" spans="1:7" hidden="1">
      <c r="A284" s="305"/>
      <c r="B284" s="306">
        <f>B283+1000000</f>
        <v>10000000</v>
      </c>
      <c r="C284" s="306">
        <f t="shared" si="93"/>
        <v>312000</v>
      </c>
    </row>
    <row r="285" spans="1:7" hidden="1">
      <c r="A285" s="303"/>
      <c r="B285" s="304">
        <v>0</v>
      </c>
      <c r="C285" s="304">
        <v>0</v>
      </c>
    </row>
    <row r="286" spans="1:7" hidden="1">
      <c r="A286" s="303" t="s">
        <v>96</v>
      </c>
      <c r="B286" s="304">
        <v>250000</v>
      </c>
      <c r="C286" s="304">
        <v>0</v>
      </c>
    </row>
    <row r="287" spans="1:7" hidden="1">
      <c r="A287" s="303"/>
      <c r="B287" s="304">
        <v>500000</v>
      </c>
      <c r="C287" s="304">
        <v>2000</v>
      </c>
    </row>
    <row r="288" spans="1:7" hidden="1">
      <c r="A288" s="260"/>
      <c r="B288" s="276">
        <v>1000000</v>
      </c>
      <c r="C288" s="276">
        <v>6000</v>
      </c>
    </row>
    <row r="289" spans="1:3" hidden="1">
      <c r="A289" s="260"/>
      <c r="B289" s="276">
        <v>2000000</v>
      </c>
      <c r="C289" s="276">
        <f>8000+C288</f>
        <v>14000</v>
      </c>
    </row>
    <row r="290" spans="1:3" hidden="1">
      <c r="A290" s="260"/>
      <c r="B290" s="276">
        <v>3000000</v>
      </c>
      <c r="C290" s="287">
        <f>8000+C289</f>
        <v>22000</v>
      </c>
    </row>
    <row r="291" spans="1:3" hidden="1">
      <c r="A291" s="260"/>
      <c r="B291" s="276">
        <v>4000000</v>
      </c>
      <c r="C291" s="287">
        <f t="shared" ref="C291:C297" si="94">8000+C290</f>
        <v>30000</v>
      </c>
    </row>
    <row r="292" spans="1:3" hidden="1">
      <c r="A292" s="260"/>
      <c r="B292" s="276">
        <v>5000000</v>
      </c>
      <c r="C292" s="287">
        <f t="shared" si="94"/>
        <v>38000</v>
      </c>
    </row>
    <row r="293" spans="1:3" hidden="1">
      <c r="B293" s="287">
        <f>B292+1000000</f>
        <v>6000000</v>
      </c>
      <c r="C293" s="287">
        <f t="shared" si="94"/>
        <v>46000</v>
      </c>
    </row>
    <row r="294" spans="1:3" hidden="1">
      <c r="B294" s="287">
        <f>B293+1000000</f>
        <v>7000000</v>
      </c>
      <c r="C294" s="287">
        <f t="shared" si="94"/>
        <v>54000</v>
      </c>
    </row>
    <row r="295" spans="1:3" hidden="1">
      <c r="B295" s="287">
        <f>B294+1000000</f>
        <v>8000000</v>
      </c>
      <c r="C295" s="287">
        <f t="shared" si="94"/>
        <v>62000</v>
      </c>
    </row>
    <row r="296" spans="1:3" hidden="1">
      <c r="B296" s="287">
        <f>B295+1000000</f>
        <v>9000000</v>
      </c>
      <c r="C296" s="287">
        <f t="shared" si="94"/>
        <v>70000</v>
      </c>
    </row>
    <row r="297" spans="1:3" hidden="1">
      <c r="B297" s="287">
        <f>B296+1000000</f>
        <v>10000000</v>
      </c>
      <c r="C297" s="287">
        <f t="shared" si="94"/>
        <v>78000</v>
      </c>
    </row>
    <row r="298" spans="1:3" hidden="1">
      <c r="B298" s="287"/>
      <c r="C298" s="287"/>
    </row>
    <row r="299" spans="1:3" hidden="1">
      <c r="B299" s="260"/>
      <c r="C299" s="260"/>
    </row>
    <row r="300" spans="1:3" hidden="1">
      <c r="B300" s="260"/>
      <c r="C300" s="260"/>
    </row>
    <row r="301" spans="1:3" hidden="1">
      <c r="B301" s="260"/>
      <c r="C301" s="260"/>
    </row>
    <row r="302" spans="1:3" hidden="1">
      <c r="B302" s="260"/>
      <c r="C302" s="260"/>
    </row>
    <row r="303" spans="1:3" hidden="1">
      <c r="B303" s="260"/>
      <c r="C303" s="260"/>
    </row>
    <row r="304" spans="1:3" hidden="1">
      <c r="B304" s="4" t="s">
        <v>97</v>
      </c>
      <c r="C304" s="260"/>
    </row>
    <row r="305" spans="2:3" hidden="1">
      <c r="B305" s="260" t="s">
        <v>98</v>
      </c>
      <c r="C305" s="260"/>
    </row>
    <row r="306" spans="2:3" hidden="1">
      <c r="B306" s="260" t="s">
        <v>99</v>
      </c>
      <c r="C306" s="260"/>
    </row>
    <row r="307" spans="2:3" hidden="1">
      <c r="B307" s="260" t="s">
        <v>100</v>
      </c>
      <c r="C307" s="260"/>
    </row>
    <row r="308" spans="2:3" hidden="1">
      <c r="B308" s="260" t="s">
        <v>101</v>
      </c>
      <c r="C308" s="276">
        <v>35000</v>
      </c>
    </row>
    <row r="309" spans="2:3" hidden="1">
      <c r="B309" s="260"/>
    </row>
    <row r="310" spans="2:3" hidden="1">
      <c r="B310" s="260"/>
    </row>
    <row r="311" spans="2:3" hidden="1">
      <c r="B311" s="4" t="s">
        <v>102</v>
      </c>
    </row>
    <row r="312" spans="2:3" hidden="1">
      <c r="B312" s="260" t="s">
        <v>67</v>
      </c>
    </row>
    <row r="313" spans="2:3" hidden="1">
      <c r="B313" s="260" t="s">
        <v>68</v>
      </c>
    </row>
    <row r="314" spans="2:3" hidden="1">
      <c r="B314" s="260" t="s">
        <v>103</v>
      </c>
    </row>
    <row r="315" spans="2:3" hidden="1">
      <c r="B315" s="260"/>
    </row>
    <row r="316" spans="2:3" hidden="1">
      <c r="B316" s="260"/>
    </row>
    <row r="317" spans="2:3" hidden="1">
      <c r="B317" s="260"/>
    </row>
    <row r="318" spans="2:3">
      <c r="B318" s="260"/>
    </row>
    <row r="319" spans="2:3">
      <c r="B319" s="260" t="s">
        <v>104</v>
      </c>
    </row>
    <row r="321" spans="2:3">
      <c r="B321" s="260" t="s">
        <v>105</v>
      </c>
    </row>
    <row r="323" spans="2:3">
      <c r="B323" s="260" t="s">
        <v>106</v>
      </c>
    </row>
    <row r="325" spans="2:3">
      <c r="B325" s="260" t="s">
        <v>107</v>
      </c>
      <c r="C325" s="276">
        <v>5168.7251661157843</v>
      </c>
    </row>
    <row r="326" spans="2:3">
      <c r="B326" s="260"/>
      <c r="C326" s="276">
        <v>1926137650.6707556</v>
      </c>
    </row>
    <row r="327" spans="2:3">
      <c r="B327" s="260" t="s">
        <v>108</v>
      </c>
      <c r="C327" s="260"/>
    </row>
    <row r="328" spans="2:3">
      <c r="B328" s="260" t="s">
        <v>109</v>
      </c>
      <c r="C328" s="260"/>
    </row>
    <row r="329" spans="2:3">
      <c r="B329" s="260" t="s">
        <v>110</v>
      </c>
      <c r="C329" s="260"/>
    </row>
    <row r="331" spans="2:3">
      <c r="B331" s="14" t="s">
        <v>111</v>
      </c>
      <c r="C331" s="17"/>
    </row>
    <row r="332" spans="2:3">
      <c r="B332" s="260"/>
      <c r="C332" s="18"/>
    </row>
    <row r="336" spans="2:3">
      <c r="B336" s="260" t="s">
        <v>112</v>
      </c>
      <c r="C336" s="260"/>
    </row>
    <row r="337" spans="2:3">
      <c r="B337" s="260" t="s">
        <v>113</v>
      </c>
      <c r="C337" s="260"/>
    </row>
  </sheetData>
  <mergeCells count="8">
    <mergeCell ref="A138:A147"/>
    <mergeCell ref="A148:A155"/>
    <mergeCell ref="A22:A31"/>
    <mergeCell ref="A32:A39"/>
    <mergeCell ref="A50:A59"/>
    <mergeCell ref="A60:A67"/>
    <mergeCell ref="A115:A124"/>
    <mergeCell ref="A125:A132"/>
  </mergeCells>
  <phoneticPr fontId="110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3F5B-526A-4322-BBEA-A56BB52FED3A}">
  <dimension ref="A1:G337"/>
  <sheetViews>
    <sheetView showGridLines="0" zoomScale="57" zoomScaleNormal="57" workbookViewId="0">
      <pane xSplit="3" ySplit="13" topLeftCell="D133" activePane="bottomRight" state="frozen"/>
      <selection pane="topRight" activeCell="C171" sqref="C171:C175"/>
      <selection pane="bottomLeft" activeCell="C171" sqref="C171:C175"/>
      <selection pane="bottomRight" activeCell="E183" sqref="E183:G183"/>
    </sheetView>
  </sheetViews>
  <sheetFormatPr defaultColWidth="8.58203125" defaultRowHeight="14.5" outlineLevelRow="1"/>
  <cols>
    <col min="1" max="1" width="5.25" style="60" customWidth="1"/>
    <col min="2" max="2" width="31.5" style="60" customWidth="1"/>
    <col min="3" max="3" width="11.5" style="60" customWidth="1"/>
    <col min="4" max="5" width="18.58203125" style="60" customWidth="1"/>
    <col min="6" max="6" width="17.33203125" style="60" customWidth="1"/>
    <col min="7" max="7" width="13.58203125" style="60" customWidth="1"/>
    <col min="8" max="16384" width="8.58203125" style="60"/>
  </cols>
  <sheetData>
    <row r="1" spans="2:7" s="62" customFormat="1" ht="18" customHeight="1">
      <c r="B1" s="15" t="s">
        <v>0</v>
      </c>
      <c r="C1" s="15"/>
      <c r="D1" s="47"/>
      <c r="E1" s="34" t="s">
        <v>471</v>
      </c>
      <c r="F1" s="47"/>
      <c r="G1" s="47"/>
    </row>
    <row r="2" spans="2:7" s="64" customFormat="1">
      <c r="B2" s="24" t="s">
        <v>1</v>
      </c>
      <c r="C2" s="63"/>
      <c r="D2" s="48" t="s">
        <v>129</v>
      </c>
      <c r="E2" s="48" t="s">
        <v>130</v>
      </c>
      <c r="F2" s="48" t="s">
        <v>131</v>
      </c>
      <c r="G2" s="48" t="s">
        <v>132</v>
      </c>
    </row>
    <row r="3" spans="2:7" ht="6.75" customHeight="1">
      <c r="B3" s="260"/>
      <c r="C3" s="260"/>
      <c r="D3" s="260"/>
      <c r="E3" s="260"/>
      <c r="F3" s="260"/>
      <c r="G3" s="260"/>
    </row>
    <row r="4" spans="2:7">
      <c r="B4" s="260" t="s">
        <v>8</v>
      </c>
      <c r="C4" s="4"/>
      <c r="D4" s="17">
        <f>Model_Summary!H$348</f>
        <v>0.13216996334258749</v>
      </c>
      <c r="E4" s="17">
        <f>Model_Summary!I$348</f>
        <v>0.10273796790282951</v>
      </c>
      <c r="F4" s="17">
        <f>Model_Summary!J$348</f>
        <v>9.8510687294957031E-2</v>
      </c>
      <c r="G4" s="17">
        <f>Model_Summary!K$348</f>
        <v>8.5605322245991752E-2</v>
      </c>
    </row>
    <row r="5" spans="2:7" ht="15" customHeight="1">
      <c r="B5" s="260" t="s">
        <v>9</v>
      </c>
      <c r="C5" s="4"/>
      <c r="D5" s="17">
        <f>Model_Summary!H$349</f>
        <v>8.5000000000000006E-2</v>
      </c>
      <c r="E5" s="17">
        <f>Model_Summary!I$349</f>
        <v>6.5000000000000002E-2</v>
      </c>
      <c r="F5" s="17">
        <f>Model_Summary!J$349</f>
        <v>6.2E-2</v>
      </c>
      <c r="G5" s="17">
        <f>Model_Summary!K$349</f>
        <v>5.2999999999999999E-2</v>
      </c>
    </row>
    <row r="6" spans="2:7" ht="15" customHeight="1">
      <c r="B6" s="260" t="s">
        <v>10</v>
      </c>
      <c r="C6" s="4"/>
      <c r="D6" s="18">
        <f>Model_Summary!H$352</f>
        <v>6</v>
      </c>
      <c r="E6" s="18">
        <f>Model_Summary!I$352</f>
        <v>11</v>
      </c>
      <c r="F6" s="18">
        <f>Model_Summary!J$352</f>
        <v>11</v>
      </c>
      <c r="G6" s="18">
        <f>Model_Summary!K$352</f>
        <v>11</v>
      </c>
    </row>
    <row r="7" spans="2:7" ht="15" customHeight="1">
      <c r="B7" s="260" t="s">
        <v>11</v>
      </c>
      <c r="C7" s="4"/>
      <c r="D7" s="17">
        <f>Model_Summary!H$353</f>
        <v>0.13500000000000001</v>
      </c>
      <c r="E7" s="17">
        <f>Model_Summary!I$353</f>
        <v>0.13500000000000001</v>
      </c>
      <c r="F7" s="17">
        <f>Model_Summary!J$353</f>
        <v>0.13500000000000001</v>
      </c>
      <c r="G7" s="17">
        <f>Model_Summary!K$353</f>
        <v>0.13500000000000001</v>
      </c>
    </row>
    <row r="8" spans="2:7">
      <c r="B8" s="274" t="s">
        <v>12</v>
      </c>
      <c r="C8" s="274"/>
      <c r="D8" s="27">
        <f>Model_Summary!H$354</f>
        <v>0.20399999999999999</v>
      </c>
      <c r="E8" s="27">
        <f>Model_Summary!I$354</f>
        <v>0.24099999999999999</v>
      </c>
      <c r="F8" s="27">
        <f>Model_Summary!J$354</f>
        <v>0.13400000000000001</v>
      </c>
      <c r="G8" s="27">
        <f>Model_Summary!K$354</f>
        <v>0.113</v>
      </c>
    </row>
    <row r="9" spans="2:7" ht="3" customHeight="1">
      <c r="B9" s="260"/>
      <c r="C9" s="260"/>
      <c r="D9" s="2"/>
      <c r="E9" s="2"/>
      <c r="F9" s="2"/>
      <c r="G9" s="2"/>
    </row>
    <row r="10" spans="2:7">
      <c r="B10" s="260" t="s">
        <v>13</v>
      </c>
      <c r="C10" s="260"/>
      <c r="D10" s="18">
        <f>Model_Summary!H$346</f>
        <v>1</v>
      </c>
      <c r="E10" s="18">
        <f>Model_Summary!I$346</f>
        <v>1</v>
      </c>
      <c r="F10" s="18">
        <f>Model_Summary!J$346</f>
        <v>1</v>
      </c>
      <c r="G10" s="18">
        <f>Model_Summary!K$346</f>
        <v>1</v>
      </c>
    </row>
    <row r="11" spans="2:7">
      <c r="B11" s="260" t="s">
        <v>14</v>
      </c>
      <c r="C11" s="276"/>
      <c r="D11" s="18">
        <f>Model_Summary!H$345</f>
        <v>130000</v>
      </c>
      <c r="E11" s="18">
        <f>Model_Summary!I$345</f>
        <v>300000</v>
      </c>
      <c r="F11" s="18">
        <f>Model_Summary!J$345</f>
        <v>570000</v>
      </c>
      <c r="G11" s="18">
        <f>Model_Summary!K$345</f>
        <v>2000000</v>
      </c>
    </row>
    <row r="12" spans="2:7" ht="7.5" customHeight="1">
      <c r="B12" s="260"/>
      <c r="C12" s="276"/>
      <c r="D12" s="276"/>
      <c r="E12" s="276"/>
      <c r="F12" s="276"/>
      <c r="G12" s="276"/>
    </row>
    <row r="13" spans="2:7" ht="15" thickBot="1">
      <c r="B13" s="2" t="s">
        <v>15</v>
      </c>
      <c r="C13" s="260"/>
      <c r="D13" s="19">
        <f>D10*D11</f>
        <v>130000</v>
      </c>
      <c r="E13" s="19">
        <f>E10*E11</f>
        <v>300000</v>
      </c>
      <c r="F13" s="19">
        <f>F10*F11</f>
        <v>570000</v>
      </c>
      <c r="G13" s="19">
        <f>G10*G11</f>
        <v>2000000</v>
      </c>
    </row>
    <row r="14" spans="2:7" ht="15" thickTop="1">
      <c r="B14" s="260" t="s">
        <v>16</v>
      </c>
      <c r="C14" s="260"/>
      <c r="D14" s="68">
        <f>Model_Summary!H347</f>
        <v>0.76595744680851063</v>
      </c>
      <c r="E14" s="68">
        <f>Model_Summary!I347</f>
        <v>0.77070063694267521</v>
      </c>
      <c r="F14" s="68">
        <f>Model_Summary!J347</f>
        <v>0.8571428571428571</v>
      </c>
      <c r="G14" s="68">
        <f>Model_Summary!K347</f>
        <v>0.76666666666666672</v>
      </c>
    </row>
    <row r="15" spans="2:7">
      <c r="B15" s="260" t="s">
        <v>17</v>
      </c>
      <c r="C15" s="260"/>
      <c r="D15" s="277">
        <f>IFERROR(D10/D14,0)</f>
        <v>1.3055555555555556</v>
      </c>
      <c r="E15" s="277">
        <f>IFERROR(E10/E14,0)</f>
        <v>1.2975206611570247</v>
      </c>
      <c r="F15" s="277">
        <f>IFERROR(F10/F14,0)</f>
        <v>1.1666666666666667</v>
      </c>
      <c r="G15" s="277">
        <f>IFERROR(G10/G14,0)</f>
        <v>1.3043478260869565</v>
      </c>
    </row>
    <row r="16" spans="2:7">
      <c r="B16" s="2" t="s">
        <v>18</v>
      </c>
      <c r="C16" s="260"/>
      <c r="D16" s="17"/>
      <c r="E16" s="17"/>
      <c r="F16" s="17"/>
      <c r="G16" s="17"/>
    </row>
    <row r="17" spans="1:7">
      <c r="A17" s="260"/>
      <c r="B17" s="2" t="s">
        <v>19</v>
      </c>
      <c r="C17" s="260"/>
      <c r="D17" s="277">
        <f>D$16*D13</f>
        <v>0</v>
      </c>
      <c r="E17" s="277">
        <f>E$16*E13</f>
        <v>0</v>
      </c>
      <c r="F17" s="277">
        <f>F$16*F13</f>
        <v>0</v>
      </c>
      <c r="G17" s="277">
        <f>G$16*G13</f>
        <v>0</v>
      </c>
    </row>
    <row r="18" spans="1:7" s="62" customFormat="1" ht="4" customHeight="1">
      <c r="A18" s="273"/>
      <c r="B18" s="26"/>
      <c r="C18" s="260"/>
      <c r="D18" s="260"/>
      <c r="E18" s="260"/>
      <c r="F18" s="260"/>
      <c r="G18" s="260"/>
    </row>
    <row r="19" spans="1:7">
      <c r="A19" s="260"/>
      <c r="B19" s="2" t="s">
        <v>11</v>
      </c>
      <c r="C19" s="260"/>
      <c r="D19" s="278">
        <f>D7</f>
        <v>0.13500000000000001</v>
      </c>
      <c r="E19" s="278">
        <f>E7</f>
        <v>0.13500000000000001</v>
      </c>
      <c r="F19" s="278">
        <f>F7</f>
        <v>0.13500000000000001</v>
      </c>
      <c r="G19" s="278">
        <f>G7</f>
        <v>0.13500000000000001</v>
      </c>
    </row>
    <row r="20" spans="1:7" ht="4" customHeight="1">
      <c r="A20" s="260"/>
      <c r="B20" s="260"/>
      <c r="C20" s="260"/>
      <c r="D20" s="260"/>
      <c r="E20" s="260"/>
      <c r="F20" s="260"/>
      <c r="G20" s="260"/>
    </row>
    <row r="21" spans="1:7" ht="15" hidden="1" customHeight="1" outlineLevel="1">
      <c r="A21" s="260"/>
      <c r="B21" s="6" t="s">
        <v>20</v>
      </c>
      <c r="C21" s="2"/>
      <c r="D21" s="260"/>
      <c r="E21" s="260"/>
      <c r="F21" s="260"/>
      <c r="G21" s="260"/>
    </row>
    <row r="22" spans="1:7" ht="15" hidden="1" customHeight="1" outlineLevel="1">
      <c r="A22" s="753" t="s">
        <v>21</v>
      </c>
      <c r="B22" s="7" t="s">
        <v>22</v>
      </c>
      <c r="C22" s="260">
        <v>1</v>
      </c>
      <c r="D22" s="279">
        <f t="shared" ref="D22:G29" si="0">IFERROR(PPMT(D$112,$C22,D$113,D$114),0)</f>
        <v>-15534.571432126293</v>
      </c>
      <c r="E22" s="279">
        <f t="shared" si="0"/>
        <v>-15951.336901878476</v>
      </c>
      <c r="F22" s="279">
        <f t="shared" si="0"/>
        <v>-31007.090060056311</v>
      </c>
      <c r="G22" s="279">
        <f t="shared" si="0"/>
        <v>-116607.53732620094</v>
      </c>
    </row>
    <row r="23" spans="1:7" ht="15" hidden="1" customHeight="1" outlineLevel="1">
      <c r="A23" s="753"/>
      <c r="B23" s="7" t="s">
        <v>23</v>
      </c>
      <c r="C23" s="260">
        <v>2</v>
      </c>
      <c r="D23" s="279">
        <f t="shared" si="0"/>
        <v>-17587.775168853233</v>
      </c>
      <c r="E23" s="279">
        <f t="shared" si="0"/>
        <v>-17590.144840510886</v>
      </c>
      <c r="F23" s="279">
        <f t="shared" si="0"/>
        <v>-34061.619812889097</v>
      </c>
      <c r="G23" s="279">
        <f t="shared" si="0"/>
        <v>-126589.76313532187</v>
      </c>
    </row>
    <row r="24" spans="1:7" ht="15" hidden="1" customHeight="1" outlineLevel="1">
      <c r="A24" s="753"/>
      <c r="B24" s="7" t="s">
        <v>24</v>
      </c>
      <c r="C24" s="260">
        <v>3</v>
      </c>
      <c r="D24" s="279">
        <f t="shared" si="0"/>
        <v>-19912.350768198234</v>
      </c>
      <c r="E24" s="279">
        <f t="shared" si="0"/>
        <v>-19397.320576541417</v>
      </c>
      <c r="F24" s="279">
        <f t="shared" si="0"/>
        <v>-37417.053391036323</v>
      </c>
      <c r="G24" s="279">
        <f t="shared" si="0"/>
        <v>-137426.52060156487</v>
      </c>
    </row>
    <row r="25" spans="1:7" ht="15" hidden="1" customHeight="1" outlineLevel="1">
      <c r="A25" s="753"/>
      <c r="B25" s="7" t="s">
        <v>25</v>
      </c>
      <c r="C25" s="260">
        <v>4</v>
      </c>
      <c r="D25" s="279">
        <f t="shared" si="0"/>
        <v>-22544.165439295739</v>
      </c>
      <c r="E25" s="279">
        <f t="shared" si="0"/>
        <v>-21390.161875335019</v>
      </c>
      <c r="F25" s="279">
        <f t="shared" si="0"/>
        <v>-41103.033037139408</v>
      </c>
      <c r="G25" s="279">
        <f t="shared" si="0"/>
        <v>-149190.96218280724</v>
      </c>
    </row>
    <row r="26" spans="1:7" ht="15" hidden="1" customHeight="1" outlineLevel="1">
      <c r="A26" s="753"/>
      <c r="B26" s="7" t="s">
        <v>26</v>
      </c>
      <c r="C26" s="260">
        <v>5</v>
      </c>
      <c r="D26" s="279">
        <f t="shared" si="0"/>
        <v>-25523.826958996684</v>
      </c>
      <c r="E26" s="279">
        <f t="shared" si="0"/>
        <v>-23587.743639519518</v>
      </c>
      <c r="F26" s="279">
        <f t="shared" si="0"/>
        <v>-45152.121071535345</v>
      </c>
      <c r="G26" s="279">
        <f t="shared" si="0"/>
        <v>-161962.50257665603</v>
      </c>
    </row>
    <row r="27" spans="1:7" ht="15" hidden="1" customHeight="1" outlineLevel="1">
      <c r="A27" s="753"/>
      <c r="B27" s="7" t="s">
        <v>27</v>
      </c>
      <c r="C27" s="260">
        <v>6</v>
      </c>
      <c r="D27" s="279">
        <f t="shared" si="0"/>
        <v>-28897.310232529824</v>
      </c>
      <c r="E27" s="279">
        <f t="shared" si="0"/>
        <v>-26011.100488456646</v>
      </c>
      <c r="F27" s="279">
        <f t="shared" si="0"/>
        <v>-49600.087551117409</v>
      </c>
      <c r="G27" s="279">
        <f t="shared" si="0"/>
        <v>-175827.35480149795</v>
      </c>
    </row>
    <row r="28" spans="1:7" ht="15" hidden="1" customHeight="1" outlineLevel="1">
      <c r="A28" s="753"/>
      <c r="B28" s="7" t="s">
        <v>28</v>
      </c>
      <c r="C28" s="260">
        <v>7</v>
      </c>
      <c r="D28" s="279">
        <f t="shared" si="0"/>
        <v>0</v>
      </c>
      <c r="E28" s="279">
        <f t="shared" si="0"/>
        <v>-28683.428095556977</v>
      </c>
      <c r="F28" s="279">
        <f t="shared" si="0"/>
        <v>-54486.22626566801</v>
      </c>
      <c r="G28" s="279">
        <f t="shared" si="0"/>
        <v>-190879.11216894051</v>
      </c>
    </row>
    <row r="29" spans="1:7" ht="15" hidden="1" customHeight="1" outlineLevel="1">
      <c r="A29" s="753"/>
      <c r="B29" s="7" t="s">
        <v>29</v>
      </c>
      <c r="C29" s="260">
        <v>8</v>
      </c>
      <c r="D29" s="279">
        <f t="shared" si="0"/>
        <v>0</v>
      </c>
      <c r="E29" s="279">
        <f t="shared" si="0"/>
        <v>-31630.305210581428</v>
      </c>
      <c r="F29" s="279">
        <f t="shared" si="0"/>
        <v>-59853.701863207512</v>
      </c>
      <c r="G29" s="279">
        <f t="shared" si="0"/>
        <v>-207219.38007619148</v>
      </c>
    </row>
    <row r="30" spans="1:7" ht="15" hidden="1" customHeight="1" outlineLevel="1">
      <c r="A30" s="753"/>
      <c r="B30" s="7" t="s">
        <v>30</v>
      </c>
      <c r="C30" s="260">
        <v>9</v>
      </c>
      <c r="D30" s="279">
        <f t="shared" ref="D30:D45" si="1">IFERROR(PPMT(D$112,$C30,D$113,D$114),0)</f>
        <v>0</v>
      </c>
      <c r="E30" s="279">
        <f t="shared" ref="E30:G32" si="2">IFERROR(PPMT(E$112,$C30,E$113,E$114),0)</f>
        <v>-34879.938492062844</v>
      </c>
      <c r="F30" s="279">
        <f t="shared" si="2"/>
        <v>-65749.931170899552</v>
      </c>
      <c r="G30" s="279">
        <f t="shared" si="2"/>
        <v>-224958.46188322851</v>
      </c>
    </row>
    <row r="31" spans="1:7" ht="15" hidden="1" customHeight="1" outlineLevel="1">
      <c r="A31" s="753"/>
      <c r="B31" s="7" t="s">
        <v>31</v>
      </c>
      <c r="C31" s="260">
        <v>10</v>
      </c>
      <c r="D31" s="279">
        <f t="shared" si="1"/>
        <v>0</v>
      </c>
      <c r="E31" s="279">
        <f t="shared" si="2"/>
        <v>-38463.432493313063</v>
      </c>
      <c r="F31" s="279">
        <f t="shared" si="2"/>
        <v>-72227.00208014097</v>
      </c>
      <c r="G31" s="279">
        <f t="shared" si="2"/>
        <v>-244216.10350470489</v>
      </c>
    </row>
    <row r="32" spans="1:7" ht="15" hidden="1" customHeight="1" outlineLevel="1">
      <c r="A32" s="753" t="s">
        <v>32</v>
      </c>
      <c r="B32" s="7" t="s">
        <v>33</v>
      </c>
      <c r="C32" s="260">
        <v>11</v>
      </c>
      <c r="D32" s="279">
        <f t="shared" si="1"/>
        <v>0</v>
      </c>
      <c r="E32" s="279">
        <f t="shared" si="2"/>
        <v>-42415.087386243715</v>
      </c>
      <c r="F32" s="279">
        <f t="shared" si="2"/>
        <v>-79342.133696309946</v>
      </c>
      <c r="G32" s="279">
        <f t="shared" si="2"/>
        <v>-265122.30174288561</v>
      </c>
    </row>
    <row r="33" spans="1:7" ht="15" hidden="1" customHeight="1" outlineLevel="1">
      <c r="A33" s="753"/>
      <c r="B33" s="7" t="s">
        <v>34</v>
      </c>
      <c r="C33" s="260">
        <v>12</v>
      </c>
      <c r="D33" s="279">
        <f t="shared" si="1"/>
        <v>0</v>
      </c>
      <c r="E33" s="279">
        <f t="shared" ref="E33:E45" si="3">IFERROR(PPMT(E$112,$C33,E$113,E$114),0)</f>
        <v>0</v>
      </c>
      <c r="F33" s="279">
        <f t="shared" ref="F33:F45" si="4">IFERROR(PPMT(F$112,$C33,F$113,F$114),0)</f>
        <v>0</v>
      </c>
      <c r="G33" s="279">
        <f t="shared" ref="G33:G45" si="5">IFERROR(PPMT(G$112,$C33,G$113,G$114),0)</f>
        <v>0</v>
      </c>
    </row>
    <row r="34" spans="1:7" ht="15" hidden="1" customHeight="1" outlineLevel="1">
      <c r="A34" s="753"/>
      <c r="B34" s="7" t="s">
        <v>22</v>
      </c>
      <c r="C34" s="260">
        <v>13</v>
      </c>
      <c r="D34" s="279">
        <f t="shared" si="1"/>
        <v>0</v>
      </c>
      <c r="E34" s="279">
        <f t="shared" si="3"/>
        <v>0</v>
      </c>
      <c r="F34" s="279">
        <f t="shared" si="4"/>
        <v>0</v>
      </c>
      <c r="G34" s="279">
        <f t="shared" si="5"/>
        <v>0</v>
      </c>
    </row>
    <row r="35" spans="1:7" ht="15" hidden="1" customHeight="1" outlineLevel="1">
      <c r="A35" s="753"/>
      <c r="B35" s="7" t="s">
        <v>23</v>
      </c>
      <c r="C35" s="260">
        <v>14</v>
      </c>
      <c r="D35" s="279">
        <f t="shared" si="1"/>
        <v>0</v>
      </c>
      <c r="E35" s="279">
        <f t="shared" si="3"/>
        <v>0</v>
      </c>
      <c r="F35" s="279">
        <f t="shared" si="4"/>
        <v>0</v>
      </c>
      <c r="G35" s="279">
        <f t="shared" si="5"/>
        <v>0</v>
      </c>
    </row>
    <row r="36" spans="1:7" ht="15" hidden="1" customHeight="1" outlineLevel="1">
      <c r="A36" s="753"/>
      <c r="B36" s="7" t="s">
        <v>24</v>
      </c>
      <c r="C36" s="260">
        <v>15</v>
      </c>
      <c r="D36" s="279">
        <f t="shared" si="1"/>
        <v>0</v>
      </c>
      <c r="E36" s="279">
        <f t="shared" si="3"/>
        <v>0</v>
      </c>
      <c r="F36" s="279">
        <f t="shared" si="4"/>
        <v>0</v>
      </c>
      <c r="G36" s="279">
        <f t="shared" si="5"/>
        <v>0</v>
      </c>
    </row>
    <row r="37" spans="1:7" ht="15" hidden="1" customHeight="1" outlineLevel="1">
      <c r="A37" s="753"/>
      <c r="B37" s="7" t="s">
        <v>25</v>
      </c>
      <c r="C37" s="260">
        <v>16</v>
      </c>
      <c r="D37" s="279">
        <f t="shared" si="1"/>
        <v>0</v>
      </c>
      <c r="E37" s="279">
        <f t="shared" si="3"/>
        <v>0</v>
      </c>
      <c r="F37" s="279">
        <f t="shared" si="4"/>
        <v>0</v>
      </c>
      <c r="G37" s="279">
        <f t="shared" si="5"/>
        <v>0</v>
      </c>
    </row>
    <row r="38" spans="1:7" ht="15" hidden="1" customHeight="1" outlineLevel="1">
      <c r="A38" s="753"/>
      <c r="B38" s="7" t="s">
        <v>26</v>
      </c>
      <c r="C38" s="260">
        <v>17</v>
      </c>
      <c r="D38" s="279">
        <f t="shared" si="1"/>
        <v>0</v>
      </c>
      <c r="E38" s="279">
        <f t="shared" si="3"/>
        <v>0</v>
      </c>
      <c r="F38" s="279">
        <f t="shared" si="4"/>
        <v>0</v>
      </c>
      <c r="G38" s="279">
        <f t="shared" si="5"/>
        <v>0</v>
      </c>
    </row>
    <row r="39" spans="1:7" ht="15" hidden="1" customHeight="1" outlineLevel="1">
      <c r="A39" s="753"/>
      <c r="B39" s="7" t="s">
        <v>27</v>
      </c>
      <c r="C39" s="260">
        <v>18</v>
      </c>
      <c r="D39" s="279">
        <f t="shared" si="1"/>
        <v>0</v>
      </c>
      <c r="E39" s="279">
        <f t="shared" si="3"/>
        <v>0</v>
      </c>
      <c r="F39" s="279">
        <f t="shared" si="4"/>
        <v>0</v>
      </c>
      <c r="G39" s="279">
        <f t="shared" si="5"/>
        <v>0</v>
      </c>
    </row>
    <row r="40" spans="1:7" ht="15" hidden="1" customHeight="1" outlineLevel="1">
      <c r="A40" s="637"/>
      <c r="B40" s="566" t="s">
        <v>28</v>
      </c>
      <c r="C40" s="260">
        <v>19</v>
      </c>
      <c r="D40" s="279">
        <f t="shared" si="1"/>
        <v>0</v>
      </c>
      <c r="E40" s="279">
        <f t="shared" si="3"/>
        <v>0</v>
      </c>
      <c r="F40" s="279">
        <f t="shared" si="4"/>
        <v>0</v>
      </c>
      <c r="G40" s="279">
        <f t="shared" si="5"/>
        <v>0</v>
      </c>
    </row>
    <row r="41" spans="1:7" ht="15" hidden="1" customHeight="1" outlineLevel="1">
      <c r="A41" s="637"/>
      <c r="B41" s="566" t="s">
        <v>29</v>
      </c>
      <c r="C41" s="260">
        <v>20</v>
      </c>
      <c r="D41" s="279">
        <f t="shared" si="1"/>
        <v>0</v>
      </c>
      <c r="E41" s="279">
        <f t="shared" si="3"/>
        <v>0</v>
      </c>
      <c r="F41" s="279">
        <f t="shared" si="4"/>
        <v>0</v>
      </c>
      <c r="G41" s="279">
        <f t="shared" si="5"/>
        <v>0</v>
      </c>
    </row>
    <row r="42" spans="1:7" ht="15" hidden="1" customHeight="1" outlineLevel="1">
      <c r="A42" s="637"/>
      <c r="B42" s="566" t="s">
        <v>30</v>
      </c>
      <c r="C42" s="260">
        <v>21</v>
      </c>
      <c r="D42" s="279">
        <f t="shared" si="1"/>
        <v>0</v>
      </c>
      <c r="E42" s="279">
        <f t="shared" si="3"/>
        <v>0</v>
      </c>
      <c r="F42" s="279">
        <f t="shared" si="4"/>
        <v>0</v>
      </c>
      <c r="G42" s="279">
        <f t="shared" si="5"/>
        <v>0</v>
      </c>
    </row>
    <row r="43" spans="1:7" ht="15" hidden="1" customHeight="1" outlineLevel="1">
      <c r="A43" s="637"/>
      <c r="B43" s="566" t="s">
        <v>31</v>
      </c>
      <c r="C43" s="260">
        <v>22</v>
      </c>
      <c r="D43" s="279">
        <f t="shared" si="1"/>
        <v>0</v>
      </c>
      <c r="E43" s="279">
        <f t="shared" si="3"/>
        <v>0</v>
      </c>
      <c r="F43" s="279">
        <f t="shared" si="4"/>
        <v>0</v>
      </c>
      <c r="G43" s="279">
        <f t="shared" si="5"/>
        <v>0</v>
      </c>
    </row>
    <row r="44" spans="1:7" ht="15" hidden="1" customHeight="1" outlineLevel="1">
      <c r="A44" s="637"/>
      <c r="B44" s="566" t="s">
        <v>33</v>
      </c>
      <c r="C44" s="260">
        <v>23</v>
      </c>
      <c r="D44" s="279">
        <f t="shared" si="1"/>
        <v>0</v>
      </c>
      <c r="E44" s="279">
        <f t="shared" si="3"/>
        <v>0</v>
      </c>
      <c r="F44" s="279">
        <f t="shared" si="4"/>
        <v>0</v>
      </c>
      <c r="G44" s="279">
        <f t="shared" si="5"/>
        <v>0</v>
      </c>
    </row>
    <row r="45" spans="1:7" ht="15" hidden="1" customHeight="1" outlineLevel="1">
      <c r="A45" s="637"/>
      <c r="B45" s="566" t="s">
        <v>34</v>
      </c>
      <c r="C45" s="260">
        <v>24</v>
      </c>
      <c r="D45" s="279">
        <f t="shared" si="1"/>
        <v>0</v>
      </c>
      <c r="E45" s="279">
        <f t="shared" si="3"/>
        <v>0</v>
      </c>
      <c r="F45" s="279">
        <f t="shared" si="4"/>
        <v>0</v>
      </c>
      <c r="G45" s="279">
        <f t="shared" si="5"/>
        <v>0</v>
      </c>
    </row>
    <row r="46" spans="1:7" ht="15" hidden="1" customHeight="1" outlineLevel="1">
      <c r="A46" s="260"/>
      <c r="B46" s="6"/>
      <c r="C46" s="2"/>
      <c r="D46" s="260"/>
      <c r="E46" s="260"/>
      <c r="F46" s="260"/>
      <c r="G46" s="260"/>
    </row>
    <row r="47" spans="1:7" ht="15" hidden="1" customHeight="1" outlineLevel="1">
      <c r="A47" s="260"/>
      <c r="B47" s="6"/>
      <c r="C47" s="2"/>
      <c r="D47" s="260"/>
      <c r="E47" s="260"/>
      <c r="F47" s="260"/>
      <c r="G47" s="260"/>
    </row>
    <row r="48" spans="1:7" ht="15" hidden="1" customHeight="1" outlineLevel="1">
      <c r="A48" s="260"/>
      <c r="B48" s="6"/>
      <c r="C48" s="2"/>
      <c r="D48" s="260"/>
      <c r="E48" s="260"/>
      <c r="F48" s="260"/>
      <c r="G48" s="260"/>
    </row>
    <row r="49" spans="1:7" ht="15" hidden="1" customHeight="1" outlineLevel="1">
      <c r="A49" s="260"/>
      <c r="B49" s="9" t="s">
        <v>35</v>
      </c>
      <c r="C49" s="2"/>
      <c r="D49" s="260"/>
      <c r="E49" s="260"/>
      <c r="F49" s="260"/>
      <c r="G49" s="260"/>
    </row>
    <row r="50" spans="1:7" ht="15" hidden="1" customHeight="1" outlineLevel="1">
      <c r="A50" s="753" t="s">
        <v>21</v>
      </c>
      <c r="B50" s="7" t="s">
        <v>22</v>
      </c>
      <c r="C50" s="260">
        <v>1</v>
      </c>
      <c r="D50" s="279">
        <f t="shared" ref="D50:F50" si="6">D22+D138</f>
        <v>-32716.666666662666</v>
      </c>
      <c r="E50" s="279">
        <f t="shared" si="6"/>
        <v>-46772.727272727323</v>
      </c>
      <c r="F50" s="279">
        <f t="shared" si="6"/>
        <v>-87158.181818181823</v>
      </c>
      <c r="G50" s="279">
        <f>G22+G138</f>
        <v>-287818.18181818444</v>
      </c>
    </row>
    <row r="51" spans="1:7" ht="15" hidden="1" customHeight="1" outlineLevel="1">
      <c r="A51" s="753"/>
      <c r="B51" s="7" t="s">
        <v>23</v>
      </c>
      <c r="C51" s="260">
        <v>2</v>
      </c>
      <c r="D51" s="279">
        <f t="shared" ref="D51:G51" si="7">D23+D139</f>
        <v>-32716.666666662666</v>
      </c>
      <c r="E51" s="279">
        <f t="shared" si="7"/>
        <v>-46772.727272727323</v>
      </c>
      <c r="F51" s="279">
        <f t="shared" si="7"/>
        <v>-87158.181818181823</v>
      </c>
      <c r="G51" s="279">
        <f t="shared" si="7"/>
        <v>-287818.18181818444</v>
      </c>
    </row>
    <row r="52" spans="1:7" ht="15" hidden="1" customHeight="1" outlineLevel="1">
      <c r="A52" s="753"/>
      <c r="B52" s="7" t="s">
        <v>24</v>
      </c>
      <c r="C52" s="260">
        <v>3</v>
      </c>
      <c r="D52" s="279">
        <f t="shared" ref="D52:G52" si="8">D24+D140</f>
        <v>-32716.666666662666</v>
      </c>
      <c r="E52" s="279">
        <f t="shared" si="8"/>
        <v>-46772.72727272733</v>
      </c>
      <c r="F52" s="279">
        <f t="shared" si="8"/>
        <v>-87158.181818181823</v>
      </c>
      <c r="G52" s="279">
        <f t="shared" si="8"/>
        <v>-287818.18181818444</v>
      </c>
    </row>
    <row r="53" spans="1:7" ht="15" hidden="1" customHeight="1" outlineLevel="1">
      <c r="A53" s="753"/>
      <c r="B53" s="7" t="s">
        <v>25</v>
      </c>
      <c r="C53" s="260">
        <v>4</v>
      </c>
      <c r="D53" s="279">
        <f t="shared" ref="D53:G53" si="9">D25+D141</f>
        <v>-32716.666666662666</v>
      </c>
      <c r="E53" s="279">
        <f t="shared" si="9"/>
        <v>-46772.727272727323</v>
      </c>
      <c r="F53" s="279">
        <f t="shared" si="9"/>
        <v>-87158.181818181794</v>
      </c>
      <c r="G53" s="279">
        <f t="shared" si="9"/>
        <v>-287818.18181818438</v>
      </c>
    </row>
    <row r="54" spans="1:7" ht="15" hidden="1" customHeight="1" outlineLevel="1">
      <c r="A54" s="753"/>
      <c r="B54" s="7" t="s">
        <v>26</v>
      </c>
      <c r="C54" s="260">
        <v>5</v>
      </c>
      <c r="D54" s="279">
        <f t="shared" ref="D54:G54" si="10">D26+D142</f>
        <v>-32716.666666662666</v>
      </c>
      <c r="E54" s="279">
        <f t="shared" si="10"/>
        <v>-46772.727272727323</v>
      </c>
      <c r="F54" s="279">
        <f t="shared" si="10"/>
        <v>-87158.181818181823</v>
      </c>
      <c r="G54" s="279">
        <f t="shared" si="10"/>
        <v>-287818.18181818438</v>
      </c>
    </row>
    <row r="55" spans="1:7" ht="15" hidden="1" customHeight="1" outlineLevel="1">
      <c r="A55" s="753"/>
      <c r="B55" s="7" t="s">
        <v>27</v>
      </c>
      <c r="C55" s="260">
        <v>6</v>
      </c>
      <c r="D55" s="279">
        <f t="shared" ref="D55:G55" si="11">D27+D143</f>
        <v>-32716.66666666267</v>
      </c>
      <c r="E55" s="279">
        <f t="shared" si="11"/>
        <v>-46772.727272727323</v>
      </c>
      <c r="F55" s="279">
        <f t="shared" si="11"/>
        <v>-87158.181818181823</v>
      </c>
      <c r="G55" s="279">
        <f t="shared" si="11"/>
        <v>-287818.18181818444</v>
      </c>
    </row>
    <row r="56" spans="1:7" ht="15" hidden="1" customHeight="1" outlineLevel="1">
      <c r="A56" s="753"/>
      <c r="B56" s="7" t="s">
        <v>28</v>
      </c>
      <c r="C56" s="260">
        <v>7</v>
      </c>
      <c r="D56" s="279">
        <f t="shared" ref="D56:G56" si="12">D28+D144</f>
        <v>0</v>
      </c>
      <c r="E56" s="279">
        <f t="shared" si="12"/>
        <v>-46772.727272727323</v>
      </c>
      <c r="F56" s="279">
        <f t="shared" si="12"/>
        <v>-87158.181818181809</v>
      </c>
      <c r="G56" s="279">
        <f t="shared" si="12"/>
        <v>-287818.18181818438</v>
      </c>
    </row>
    <row r="57" spans="1:7" ht="15" hidden="1" customHeight="1" outlineLevel="1">
      <c r="A57" s="753"/>
      <c r="B57" s="7" t="s">
        <v>29</v>
      </c>
      <c r="C57" s="260">
        <v>8</v>
      </c>
      <c r="D57" s="279">
        <f t="shared" ref="D57:G57" si="13">D29+D145</f>
        <v>0</v>
      </c>
      <c r="E57" s="279">
        <f t="shared" si="13"/>
        <v>-46772.727272727323</v>
      </c>
      <c r="F57" s="279">
        <f t="shared" si="13"/>
        <v>-87158.181818181809</v>
      </c>
      <c r="G57" s="279">
        <f t="shared" si="13"/>
        <v>-287818.18181818444</v>
      </c>
    </row>
    <row r="58" spans="1:7" ht="15" hidden="1" customHeight="1" outlineLevel="1">
      <c r="A58" s="753"/>
      <c r="B58" s="7" t="s">
        <v>30</v>
      </c>
      <c r="C58" s="260">
        <v>9</v>
      </c>
      <c r="D58" s="279">
        <f t="shared" ref="D58:G58" si="14">D30+D146</f>
        <v>0</v>
      </c>
      <c r="E58" s="279">
        <f t="shared" si="14"/>
        <v>-46772.727272727323</v>
      </c>
      <c r="F58" s="279">
        <f t="shared" si="14"/>
        <v>-87158.181818181823</v>
      </c>
      <c r="G58" s="279">
        <f t="shared" si="14"/>
        <v>-287818.18181818444</v>
      </c>
    </row>
    <row r="59" spans="1:7" ht="15" hidden="1" customHeight="1" outlineLevel="1">
      <c r="A59" s="753"/>
      <c r="B59" s="7" t="s">
        <v>31</v>
      </c>
      <c r="C59" s="260">
        <v>10</v>
      </c>
      <c r="D59" s="279">
        <f t="shared" ref="D59:G59" si="15">D31+D147</f>
        <v>0</v>
      </c>
      <c r="E59" s="279">
        <f t="shared" si="15"/>
        <v>-46772.727272727323</v>
      </c>
      <c r="F59" s="279">
        <f t="shared" si="15"/>
        <v>-87158.181818181809</v>
      </c>
      <c r="G59" s="279">
        <f t="shared" si="15"/>
        <v>-287818.18181818444</v>
      </c>
    </row>
    <row r="60" spans="1:7" ht="15" hidden="1" customHeight="1" outlineLevel="1">
      <c r="A60" s="753" t="s">
        <v>32</v>
      </c>
      <c r="B60" s="7" t="s">
        <v>33</v>
      </c>
      <c r="C60" s="260">
        <v>11</v>
      </c>
      <c r="D60" s="279">
        <f t="shared" ref="D60:G60" si="16">D32+D148</f>
        <v>0</v>
      </c>
      <c r="E60" s="279">
        <f t="shared" si="16"/>
        <v>-46772.72727272733</v>
      </c>
      <c r="F60" s="279">
        <f t="shared" si="16"/>
        <v>-87158.181818181809</v>
      </c>
      <c r="G60" s="279">
        <f t="shared" si="16"/>
        <v>-287818.18181818438</v>
      </c>
    </row>
    <row r="61" spans="1:7" ht="15" hidden="1" customHeight="1" outlineLevel="1">
      <c r="A61" s="753"/>
      <c r="B61" s="7" t="s">
        <v>34</v>
      </c>
      <c r="C61" s="260">
        <v>12</v>
      </c>
      <c r="D61" s="279">
        <f t="shared" ref="D61:G61" si="17">D33+D149</f>
        <v>0</v>
      </c>
      <c r="E61" s="279">
        <f t="shared" si="17"/>
        <v>0</v>
      </c>
      <c r="F61" s="279">
        <f t="shared" si="17"/>
        <v>0</v>
      </c>
      <c r="G61" s="279">
        <f t="shared" si="17"/>
        <v>0</v>
      </c>
    </row>
    <row r="62" spans="1:7" ht="15" hidden="1" customHeight="1" outlineLevel="1">
      <c r="A62" s="753"/>
      <c r="B62" s="7" t="s">
        <v>22</v>
      </c>
      <c r="C62" s="260">
        <v>13</v>
      </c>
      <c r="D62" s="279">
        <f t="shared" ref="D62:G62" si="18">D34+D150</f>
        <v>0</v>
      </c>
      <c r="E62" s="279">
        <f t="shared" si="18"/>
        <v>0</v>
      </c>
      <c r="F62" s="279">
        <f t="shared" si="18"/>
        <v>0</v>
      </c>
      <c r="G62" s="279">
        <f t="shared" si="18"/>
        <v>0</v>
      </c>
    </row>
    <row r="63" spans="1:7" ht="15" hidden="1" customHeight="1" outlineLevel="1">
      <c r="A63" s="753"/>
      <c r="B63" s="7" t="s">
        <v>23</v>
      </c>
      <c r="C63" s="260">
        <v>14</v>
      </c>
      <c r="D63" s="279">
        <f t="shared" ref="D63:G63" si="19">D35+D151</f>
        <v>0</v>
      </c>
      <c r="E63" s="279">
        <f t="shared" si="19"/>
        <v>0</v>
      </c>
      <c r="F63" s="279">
        <f t="shared" si="19"/>
        <v>0</v>
      </c>
      <c r="G63" s="279">
        <f t="shared" si="19"/>
        <v>0</v>
      </c>
    </row>
    <row r="64" spans="1:7" ht="15" hidden="1" customHeight="1" outlineLevel="1">
      <c r="A64" s="753"/>
      <c r="B64" s="7" t="s">
        <v>24</v>
      </c>
      <c r="C64" s="260">
        <v>15</v>
      </c>
      <c r="D64" s="279">
        <f t="shared" ref="D64:G64" si="20">D36+D152</f>
        <v>0</v>
      </c>
      <c r="E64" s="279">
        <f t="shared" si="20"/>
        <v>0</v>
      </c>
      <c r="F64" s="279">
        <f t="shared" si="20"/>
        <v>0</v>
      </c>
      <c r="G64" s="279">
        <f t="shared" si="20"/>
        <v>0</v>
      </c>
    </row>
    <row r="65" spans="1:7" ht="15" hidden="1" customHeight="1" outlineLevel="1">
      <c r="A65" s="753"/>
      <c r="B65" s="7" t="s">
        <v>25</v>
      </c>
      <c r="C65" s="260">
        <v>16</v>
      </c>
      <c r="D65" s="279">
        <f t="shared" ref="D65:G65" si="21">D37+D153</f>
        <v>0</v>
      </c>
      <c r="E65" s="279">
        <f t="shared" si="21"/>
        <v>0</v>
      </c>
      <c r="F65" s="279">
        <f t="shared" si="21"/>
        <v>0</v>
      </c>
      <c r="G65" s="279">
        <f t="shared" si="21"/>
        <v>0</v>
      </c>
    </row>
    <row r="66" spans="1:7" ht="15" hidden="1" customHeight="1" outlineLevel="1">
      <c r="A66" s="753"/>
      <c r="B66" s="7" t="s">
        <v>26</v>
      </c>
      <c r="C66" s="260">
        <v>17</v>
      </c>
      <c r="D66" s="279">
        <f t="shared" ref="D66:G66" si="22">D38+D154</f>
        <v>0</v>
      </c>
      <c r="E66" s="279">
        <f t="shared" si="22"/>
        <v>0</v>
      </c>
      <c r="F66" s="279">
        <f t="shared" si="22"/>
        <v>0</v>
      </c>
      <c r="G66" s="279">
        <f t="shared" si="22"/>
        <v>0</v>
      </c>
    </row>
    <row r="67" spans="1:7" ht="15" hidden="1" customHeight="1" outlineLevel="1">
      <c r="A67" s="753"/>
      <c r="B67" s="7" t="s">
        <v>27</v>
      </c>
      <c r="C67" s="260">
        <v>18</v>
      </c>
      <c r="D67" s="279">
        <f t="shared" ref="D67:G67" si="23">D39+D155</f>
        <v>0</v>
      </c>
      <c r="E67" s="279">
        <f t="shared" si="23"/>
        <v>0</v>
      </c>
      <c r="F67" s="279">
        <f t="shared" si="23"/>
        <v>0</v>
      </c>
      <c r="G67" s="279">
        <f t="shared" si="23"/>
        <v>0</v>
      </c>
    </row>
    <row r="68" spans="1:7" ht="15" hidden="1" customHeight="1" outlineLevel="1">
      <c r="A68" s="637"/>
      <c r="B68" s="566" t="s">
        <v>28</v>
      </c>
      <c r="C68" s="260">
        <v>19</v>
      </c>
      <c r="D68" s="279">
        <f t="shared" ref="D68:G68" si="24">D40+D156</f>
        <v>0</v>
      </c>
      <c r="E68" s="279">
        <f t="shared" si="24"/>
        <v>0</v>
      </c>
      <c r="F68" s="279">
        <f t="shared" si="24"/>
        <v>0</v>
      </c>
      <c r="G68" s="279">
        <f t="shared" si="24"/>
        <v>0</v>
      </c>
    </row>
    <row r="69" spans="1:7" ht="15" hidden="1" customHeight="1" outlineLevel="1">
      <c r="A69" s="637"/>
      <c r="B69" s="566" t="s">
        <v>29</v>
      </c>
      <c r="C69" s="260">
        <v>20</v>
      </c>
      <c r="D69" s="279">
        <f t="shared" ref="D69:G69" si="25">D41+D157</f>
        <v>0</v>
      </c>
      <c r="E69" s="279">
        <f t="shared" si="25"/>
        <v>0</v>
      </c>
      <c r="F69" s="279">
        <f t="shared" si="25"/>
        <v>0</v>
      </c>
      <c r="G69" s="279">
        <f t="shared" si="25"/>
        <v>0</v>
      </c>
    </row>
    <row r="70" spans="1:7" ht="15" hidden="1" customHeight="1" outlineLevel="1">
      <c r="A70" s="637"/>
      <c r="B70" s="566" t="s">
        <v>30</v>
      </c>
      <c r="C70" s="260">
        <v>21</v>
      </c>
      <c r="D70" s="279">
        <f t="shared" ref="D70:G70" si="26">D42+D158</f>
        <v>0</v>
      </c>
      <c r="E70" s="279">
        <f t="shared" si="26"/>
        <v>0</v>
      </c>
      <c r="F70" s="279">
        <f t="shared" si="26"/>
        <v>0</v>
      </c>
      <c r="G70" s="279">
        <f t="shared" si="26"/>
        <v>0</v>
      </c>
    </row>
    <row r="71" spans="1:7" ht="15" hidden="1" customHeight="1" outlineLevel="1">
      <c r="A71" s="637"/>
      <c r="B71" s="566" t="s">
        <v>31</v>
      </c>
      <c r="C71" s="260">
        <v>22</v>
      </c>
      <c r="D71" s="279">
        <f t="shared" ref="D71:G71" si="27">D43+D159</f>
        <v>0</v>
      </c>
      <c r="E71" s="279">
        <f t="shared" si="27"/>
        <v>0</v>
      </c>
      <c r="F71" s="279">
        <f t="shared" si="27"/>
        <v>0</v>
      </c>
      <c r="G71" s="279">
        <f t="shared" si="27"/>
        <v>0</v>
      </c>
    </row>
    <row r="72" spans="1:7" ht="15" hidden="1" customHeight="1" outlineLevel="1">
      <c r="A72" s="637"/>
      <c r="B72" s="566" t="s">
        <v>33</v>
      </c>
      <c r="C72" s="260">
        <v>23</v>
      </c>
      <c r="D72" s="279">
        <f t="shared" ref="D72:G72" si="28">D44+D160</f>
        <v>0</v>
      </c>
      <c r="E72" s="279">
        <f t="shared" si="28"/>
        <v>0</v>
      </c>
      <c r="F72" s="279">
        <f t="shared" si="28"/>
        <v>0</v>
      </c>
      <c r="G72" s="279">
        <f t="shared" si="28"/>
        <v>0</v>
      </c>
    </row>
    <row r="73" spans="1:7" ht="15" hidden="1" customHeight="1" outlineLevel="1">
      <c r="A73" s="637"/>
      <c r="B73" s="566" t="s">
        <v>34</v>
      </c>
      <c r="C73" s="260">
        <v>24</v>
      </c>
      <c r="D73" s="279">
        <f t="shared" ref="D73:G73" si="29">D45+D161</f>
        <v>0</v>
      </c>
      <c r="E73" s="279">
        <f t="shared" si="29"/>
        <v>0</v>
      </c>
      <c r="F73" s="279">
        <f t="shared" si="29"/>
        <v>0</v>
      </c>
      <c r="G73" s="279">
        <f t="shared" si="29"/>
        <v>0</v>
      </c>
    </row>
    <row r="74" spans="1:7" ht="15" hidden="1" customHeight="1" outlineLevel="1">
      <c r="A74" s="260"/>
      <c r="B74" s="260"/>
      <c r="C74" s="260"/>
      <c r="D74" s="260"/>
      <c r="E74" s="260"/>
      <c r="F74" s="260"/>
      <c r="G74" s="260"/>
    </row>
    <row r="75" spans="1:7" ht="15" hidden="1" customHeight="1" outlineLevel="1">
      <c r="A75" s="260"/>
      <c r="B75" s="260"/>
      <c r="C75" s="260"/>
      <c r="D75" s="260"/>
      <c r="E75" s="260"/>
      <c r="F75" s="260"/>
      <c r="G75" s="260"/>
    </row>
    <row r="76" spans="1:7" ht="15" hidden="1" customHeight="1" outlineLevel="1">
      <c r="A76" s="260"/>
      <c r="B76" s="2" t="s">
        <v>36</v>
      </c>
      <c r="C76" s="260"/>
      <c r="D76" s="260"/>
      <c r="E76" s="260"/>
      <c r="F76" s="260"/>
      <c r="G76" s="260"/>
    </row>
    <row r="77" spans="1:7" ht="15" hidden="1" customHeight="1" outlineLevel="1">
      <c r="D77" s="281">
        <f>D114</f>
        <v>130000</v>
      </c>
      <c r="E77" s="281">
        <f>E114</f>
        <v>300000</v>
      </c>
      <c r="F77" s="281">
        <f>F114</f>
        <v>570000</v>
      </c>
      <c r="G77" s="281">
        <f>G114</f>
        <v>2000000</v>
      </c>
    </row>
    <row r="78" spans="1:7" ht="15" hidden="1" customHeight="1" outlineLevel="1">
      <c r="D78" s="281">
        <f t="shared" ref="D78:D92" si="30">IF((D77+D22)&lt;0,0,D77+D22)</f>
        <v>114465.42856787371</v>
      </c>
      <c r="E78" s="281">
        <f t="shared" ref="E78:E92" si="31">IF((E77+E22)&lt;0,0,E77+E22)</f>
        <v>284048.66309812153</v>
      </c>
      <c r="F78" s="281">
        <f t="shared" ref="F78:F92" si="32">IF((F77+F22)&lt;0,0,F77+F22)</f>
        <v>538992.9099399437</v>
      </c>
      <c r="G78" s="281">
        <f t="shared" ref="G78:G92" si="33">IF((G77+G22)&lt;0,0,G77+G22)</f>
        <v>1883392.4626737991</v>
      </c>
    </row>
    <row r="79" spans="1:7" ht="15" hidden="1" customHeight="1" outlineLevel="1">
      <c r="D79" s="281">
        <f t="shared" si="30"/>
        <v>96877.653399020477</v>
      </c>
      <c r="E79" s="281">
        <f t="shared" si="31"/>
        <v>266458.51825761062</v>
      </c>
      <c r="F79" s="281">
        <f t="shared" si="32"/>
        <v>504931.29012705461</v>
      </c>
      <c r="G79" s="281">
        <f t="shared" si="33"/>
        <v>1756802.6995384772</v>
      </c>
    </row>
    <row r="80" spans="1:7" ht="15" hidden="1" customHeight="1" outlineLevel="1">
      <c r="D80" s="281">
        <f t="shared" si="30"/>
        <v>76965.302630822247</v>
      </c>
      <c r="E80" s="281">
        <f t="shared" si="31"/>
        <v>247061.1976810692</v>
      </c>
      <c r="F80" s="281">
        <f t="shared" si="32"/>
        <v>467514.23673601827</v>
      </c>
      <c r="G80" s="281">
        <f t="shared" si="33"/>
        <v>1619376.1789369124</v>
      </c>
    </row>
    <row r="81" spans="2:7" ht="15" hidden="1" customHeight="1" outlineLevel="1">
      <c r="D81" s="281">
        <f t="shared" si="30"/>
        <v>54421.137191526504</v>
      </c>
      <c r="E81" s="281">
        <f t="shared" si="31"/>
        <v>225671.03580573417</v>
      </c>
      <c r="F81" s="281">
        <f t="shared" si="32"/>
        <v>426411.20369887888</v>
      </c>
      <c r="G81" s="281">
        <f t="shared" si="33"/>
        <v>1470185.2167541052</v>
      </c>
    </row>
    <row r="82" spans="2:7" ht="15" hidden="1" customHeight="1" outlineLevel="1">
      <c r="D82" s="281">
        <f t="shared" si="30"/>
        <v>28897.31023252982</v>
      </c>
      <c r="E82" s="281">
        <f t="shared" si="31"/>
        <v>202083.29216621464</v>
      </c>
      <c r="F82" s="281">
        <f t="shared" si="32"/>
        <v>381259.08262734354</v>
      </c>
      <c r="G82" s="281">
        <f t="shared" si="33"/>
        <v>1308222.7141774492</v>
      </c>
    </row>
    <row r="83" spans="2:7" ht="15" hidden="1" customHeight="1" outlineLevel="1">
      <c r="D83" s="281">
        <f t="shared" si="30"/>
        <v>0</v>
      </c>
      <c r="E83" s="281">
        <f t="shared" si="31"/>
        <v>176072.191677758</v>
      </c>
      <c r="F83" s="281">
        <f t="shared" si="32"/>
        <v>331658.99507622613</v>
      </c>
      <c r="G83" s="281">
        <f t="shared" si="33"/>
        <v>1132395.3593759513</v>
      </c>
    </row>
    <row r="84" spans="2:7" ht="15" hidden="1" customHeight="1" outlineLevel="1">
      <c r="D84" s="281">
        <f t="shared" si="30"/>
        <v>0</v>
      </c>
      <c r="E84" s="281">
        <f t="shared" si="31"/>
        <v>147388.76358220103</v>
      </c>
      <c r="F84" s="281">
        <f t="shared" si="32"/>
        <v>277172.76881055813</v>
      </c>
      <c r="G84" s="281">
        <f t="shared" si="33"/>
        <v>941516.24720701086</v>
      </c>
    </row>
    <row r="85" spans="2:7" ht="15" hidden="1" customHeight="1" outlineLevel="1">
      <c r="D85" s="281">
        <f t="shared" si="30"/>
        <v>0</v>
      </c>
      <c r="E85" s="281">
        <f t="shared" si="31"/>
        <v>115758.45837161961</v>
      </c>
      <c r="F85" s="281">
        <f t="shared" si="32"/>
        <v>217319.06694735063</v>
      </c>
      <c r="G85" s="281">
        <f t="shared" si="33"/>
        <v>734296.86713081936</v>
      </c>
    </row>
    <row r="86" spans="2:7" ht="15" hidden="1" customHeight="1" outlineLevel="1">
      <c r="D86" s="281">
        <f t="shared" si="30"/>
        <v>0</v>
      </c>
      <c r="E86" s="281">
        <f t="shared" si="31"/>
        <v>80878.519879556756</v>
      </c>
      <c r="F86" s="281">
        <f t="shared" si="32"/>
        <v>151569.13577645109</v>
      </c>
      <c r="G86" s="281">
        <f t="shared" si="33"/>
        <v>509338.40524759085</v>
      </c>
    </row>
    <row r="87" spans="2:7" ht="15" hidden="1" customHeight="1" outlineLevel="1">
      <c r="D87" s="281">
        <f t="shared" si="30"/>
        <v>0</v>
      </c>
      <c r="E87" s="281">
        <f t="shared" si="31"/>
        <v>42415.087386243693</v>
      </c>
      <c r="F87" s="281">
        <f t="shared" si="32"/>
        <v>79342.13369631012</v>
      </c>
      <c r="G87" s="281">
        <f t="shared" si="33"/>
        <v>265122.30174288596</v>
      </c>
    </row>
    <row r="88" spans="2:7" ht="15" hidden="1" customHeight="1" outlineLevel="1">
      <c r="D88" s="281">
        <f t="shared" si="30"/>
        <v>0</v>
      </c>
      <c r="E88" s="281">
        <f t="shared" si="31"/>
        <v>0</v>
      </c>
      <c r="F88" s="281">
        <f t="shared" si="32"/>
        <v>1.7462298274040222E-10</v>
      </c>
      <c r="G88" s="281">
        <f t="shared" si="33"/>
        <v>3.4924596548080444E-10</v>
      </c>
    </row>
    <row r="89" spans="2:7" ht="15" hidden="1" customHeight="1" outlineLevel="1">
      <c r="D89" s="281">
        <f t="shared" si="30"/>
        <v>0</v>
      </c>
      <c r="E89" s="281">
        <f t="shared" si="31"/>
        <v>0</v>
      </c>
      <c r="F89" s="281">
        <f t="shared" si="32"/>
        <v>1.7462298274040222E-10</v>
      </c>
      <c r="G89" s="281">
        <f t="shared" si="33"/>
        <v>3.4924596548080444E-10</v>
      </c>
    </row>
    <row r="90" spans="2:7" ht="15" hidden="1" customHeight="1" outlineLevel="1">
      <c r="D90" s="281">
        <f t="shared" si="30"/>
        <v>0</v>
      </c>
      <c r="E90" s="281">
        <f t="shared" si="31"/>
        <v>0</v>
      </c>
      <c r="F90" s="281">
        <f t="shared" si="32"/>
        <v>1.7462298274040222E-10</v>
      </c>
      <c r="G90" s="281">
        <f t="shared" si="33"/>
        <v>3.4924596548080444E-10</v>
      </c>
    </row>
    <row r="91" spans="2:7" ht="15" hidden="1" customHeight="1" outlineLevel="1">
      <c r="D91" s="281">
        <f t="shared" si="30"/>
        <v>0</v>
      </c>
      <c r="E91" s="281">
        <f t="shared" si="31"/>
        <v>0</v>
      </c>
      <c r="F91" s="281">
        <f t="shared" si="32"/>
        <v>1.7462298274040222E-10</v>
      </c>
      <c r="G91" s="281">
        <f t="shared" si="33"/>
        <v>3.4924596548080444E-10</v>
      </c>
    </row>
    <row r="92" spans="2:7" ht="15" hidden="1" customHeight="1" outlineLevel="1">
      <c r="D92" s="281">
        <f t="shared" si="30"/>
        <v>0</v>
      </c>
      <c r="E92" s="281">
        <f t="shared" si="31"/>
        <v>0</v>
      </c>
      <c r="F92" s="281">
        <f t="shared" si="32"/>
        <v>1.7462298274040222E-10</v>
      </c>
      <c r="G92" s="281">
        <f t="shared" si="33"/>
        <v>3.4924596548080444E-10</v>
      </c>
    </row>
    <row r="93" spans="2:7" ht="15" hidden="1" customHeight="1" outlineLevel="1">
      <c r="B93" s="260"/>
      <c r="C93" s="260"/>
      <c r="D93" s="260"/>
      <c r="E93" s="260"/>
      <c r="F93" s="260"/>
      <c r="G93" s="260"/>
    </row>
    <row r="94" spans="2:7" ht="15" hidden="1" customHeight="1" outlineLevel="1">
      <c r="B94" s="2" t="s">
        <v>37</v>
      </c>
      <c r="C94" s="260"/>
      <c r="D94" s="260"/>
      <c r="E94" s="260"/>
      <c r="F94" s="260"/>
      <c r="G94" s="260"/>
    </row>
    <row r="95" spans="2:7" ht="15" hidden="1" customHeight="1" outlineLevel="1">
      <c r="B95" s="2" t="s">
        <v>38</v>
      </c>
      <c r="C95" s="260"/>
      <c r="D95" s="278">
        <f>D19/12</f>
        <v>1.1250000000000001E-2</v>
      </c>
      <c r="E95" s="278">
        <f>E19/12</f>
        <v>1.1250000000000001E-2</v>
      </c>
      <c r="F95" s="278">
        <f>F19/12</f>
        <v>1.1250000000000001E-2</v>
      </c>
      <c r="G95" s="278">
        <f>G19/12</f>
        <v>1.1250000000000001E-2</v>
      </c>
    </row>
    <row r="96" spans="2:7" ht="15" hidden="1" customHeight="1" outlineLevel="1">
      <c r="B96" s="260"/>
      <c r="C96" s="260"/>
      <c r="D96" s="282"/>
      <c r="E96" s="282"/>
      <c r="F96" s="282"/>
      <c r="G96" s="282"/>
    </row>
    <row r="97" spans="1:7" ht="15" hidden="1" customHeight="1" outlineLevel="1">
      <c r="B97" s="260"/>
      <c r="C97" s="260"/>
      <c r="D97" s="283">
        <f t="shared" ref="D97:G108" si="34">(D77*D$95)</f>
        <v>1462.5000000000002</v>
      </c>
      <c r="E97" s="283">
        <f t="shared" si="34"/>
        <v>3375.0000000000005</v>
      </c>
      <c r="F97" s="283">
        <f t="shared" si="34"/>
        <v>6412.5000000000009</v>
      </c>
      <c r="G97" s="283">
        <f t="shared" si="34"/>
        <v>22500.000000000004</v>
      </c>
    </row>
    <row r="98" spans="1:7" ht="15" hidden="1" customHeight="1" outlineLevel="1">
      <c r="B98" s="260"/>
      <c r="C98" s="260"/>
      <c r="D98" s="283">
        <f t="shared" si="34"/>
        <v>1287.7360713885794</v>
      </c>
      <c r="E98" s="283">
        <f t="shared" si="34"/>
        <v>3195.5474598538676</v>
      </c>
      <c r="F98" s="283">
        <f t="shared" si="34"/>
        <v>6063.6702368243677</v>
      </c>
      <c r="G98" s="283">
        <f t="shared" si="34"/>
        <v>21188.165205080244</v>
      </c>
    </row>
    <row r="99" spans="1:7" ht="15" hidden="1" customHeight="1" outlineLevel="1">
      <c r="B99" s="260"/>
      <c r="C99" s="260"/>
      <c r="D99" s="283">
        <f t="shared" si="34"/>
        <v>1089.8736007389805</v>
      </c>
      <c r="E99" s="283">
        <f t="shared" si="34"/>
        <v>2997.6583303981197</v>
      </c>
      <c r="F99" s="283">
        <f t="shared" si="34"/>
        <v>5680.4770139293651</v>
      </c>
      <c r="G99" s="283">
        <f t="shared" si="34"/>
        <v>19764.030369807871</v>
      </c>
    </row>
    <row r="100" spans="1:7" ht="15" hidden="1" customHeight="1" outlineLevel="1">
      <c r="B100" s="260"/>
      <c r="C100" s="260"/>
      <c r="D100" s="283">
        <f t="shared" si="34"/>
        <v>865.85965459675037</v>
      </c>
      <c r="E100" s="283">
        <f t="shared" si="34"/>
        <v>2779.4384739120287</v>
      </c>
      <c r="F100" s="283">
        <f t="shared" si="34"/>
        <v>5259.5351632802058</v>
      </c>
      <c r="G100" s="283">
        <f t="shared" si="34"/>
        <v>18217.982013040266</v>
      </c>
    </row>
    <row r="101" spans="1:7" ht="15" hidden="1" customHeight="1" outlineLevel="1">
      <c r="B101" s="260"/>
      <c r="C101" s="260"/>
      <c r="D101" s="283">
        <f t="shared" si="34"/>
        <v>612.2377934046732</v>
      </c>
      <c r="E101" s="283">
        <f t="shared" si="34"/>
        <v>2538.7991528145099</v>
      </c>
      <c r="F101" s="283">
        <f t="shared" si="34"/>
        <v>4797.1260416123878</v>
      </c>
      <c r="G101" s="283">
        <f t="shared" si="34"/>
        <v>16539.583688483686</v>
      </c>
    </row>
    <row r="102" spans="1:7" ht="15" hidden="1" customHeight="1" outlineLevel="1">
      <c r="B102" s="260"/>
      <c r="C102" s="260"/>
      <c r="D102" s="283">
        <f t="shared" si="34"/>
        <v>325.09474011596052</v>
      </c>
      <c r="E102" s="283">
        <f t="shared" si="34"/>
        <v>2273.4370368699151</v>
      </c>
      <c r="F102" s="283">
        <f t="shared" si="34"/>
        <v>4289.1646795576153</v>
      </c>
      <c r="G102" s="283">
        <f t="shared" si="34"/>
        <v>14717.505534496306</v>
      </c>
    </row>
    <row r="103" spans="1:7" ht="15" hidden="1" customHeight="1" outlineLevel="1">
      <c r="B103" s="260"/>
      <c r="C103" s="260"/>
      <c r="D103" s="283">
        <f t="shared" si="34"/>
        <v>0</v>
      </c>
      <c r="E103" s="283">
        <f t="shared" si="34"/>
        <v>1980.8121563747777</v>
      </c>
      <c r="F103" s="283">
        <f t="shared" si="34"/>
        <v>3731.1636946075446</v>
      </c>
      <c r="G103" s="283">
        <f t="shared" si="34"/>
        <v>12739.447792979454</v>
      </c>
    </row>
    <row r="104" spans="1:7" ht="15" hidden="1" customHeight="1" outlineLevel="1">
      <c r="B104" s="260"/>
      <c r="C104" s="260"/>
      <c r="D104" s="283">
        <f t="shared" si="34"/>
        <v>0</v>
      </c>
      <c r="E104" s="283">
        <f t="shared" si="34"/>
        <v>1658.1235902997619</v>
      </c>
      <c r="F104" s="283">
        <f t="shared" si="34"/>
        <v>3118.1936491187794</v>
      </c>
      <c r="G104" s="283">
        <f t="shared" si="34"/>
        <v>10592.057781078873</v>
      </c>
    </row>
    <row r="105" spans="1:7" ht="15" hidden="1" customHeight="1" outlineLevel="1">
      <c r="B105" s="260"/>
      <c r="C105" s="260"/>
      <c r="D105" s="283">
        <f t="shared" si="34"/>
        <v>0</v>
      </c>
      <c r="E105" s="283">
        <f t="shared" si="34"/>
        <v>1302.2826566807207</v>
      </c>
      <c r="F105" s="283">
        <f t="shared" si="34"/>
        <v>2444.8395031576947</v>
      </c>
      <c r="G105" s="283">
        <f t="shared" si="34"/>
        <v>8260.8397552217193</v>
      </c>
    </row>
    <row r="106" spans="1:7" ht="15" hidden="1" customHeight="1" outlineLevel="1">
      <c r="B106" s="260"/>
      <c r="C106" s="260"/>
      <c r="D106" s="283">
        <f t="shared" si="34"/>
        <v>0</v>
      </c>
      <c r="E106" s="283">
        <f t="shared" si="34"/>
        <v>909.8833486450136</v>
      </c>
      <c r="F106" s="283">
        <f t="shared" si="34"/>
        <v>1705.1527774850749</v>
      </c>
      <c r="G106" s="283">
        <f t="shared" si="34"/>
        <v>5730.0570590353982</v>
      </c>
    </row>
    <row r="107" spans="1:7" ht="15" hidden="1" customHeight="1" outlineLevel="1">
      <c r="B107" s="260"/>
      <c r="C107" s="260"/>
      <c r="D107" s="283">
        <f t="shared" si="34"/>
        <v>0</v>
      </c>
      <c r="E107" s="283">
        <f t="shared" si="34"/>
        <v>477.16973309524161</v>
      </c>
      <c r="F107" s="283">
        <f t="shared" si="34"/>
        <v>892.59900408348892</v>
      </c>
      <c r="G107" s="283">
        <f t="shared" si="34"/>
        <v>2982.6258946074672</v>
      </c>
    </row>
    <row r="108" spans="1:7" ht="15" hidden="1" customHeight="1" outlineLevel="1">
      <c r="B108" s="260"/>
      <c r="C108" s="260"/>
      <c r="D108" s="283">
        <f t="shared" si="34"/>
        <v>0</v>
      </c>
      <c r="E108" s="283">
        <f t="shared" si="34"/>
        <v>0</v>
      </c>
      <c r="F108" s="283">
        <f t="shared" si="34"/>
        <v>1.9645085558295251E-12</v>
      </c>
      <c r="G108" s="283">
        <f t="shared" si="34"/>
        <v>3.9290171116590502E-12</v>
      </c>
    </row>
    <row r="109" spans="1:7" ht="15" hidden="1" customHeight="1" outlineLevel="1">
      <c r="A109" s="260"/>
      <c r="B109" s="260"/>
      <c r="C109" s="260"/>
      <c r="D109" s="260"/>
      <c r="E109" s="260"/>
      <c r="F109" s="260"/>
      <c r="G109" s="260"/>
    </row>
    <row r="110" spans="1:7" collapsed="1">
      <c r="A110" s="260"/>
      <c r="B110" s="2" t="s">
        <v>37</v>
      </c>
      <c r="C110" s="2"/>
      <c r="D110" s="25">
        <f>SUM(D97:D109)</f>
        <v>5643.3018602449438</v>
      </c>
      <c r="E110" s="25">
        <f>SUM(E97:E109)</f>
        <v>23488.151938943956</v>
      </c>
      <c r="F110" s="25">
        <f>SUM(F97:F109)</f>
        <v>44394.421763656523</v>
      </c>
      <c r="G110" s="25">
        <f>SUM(G97:G109)</f>
        <v>153232.29509383132</v>
      </c>
    </row>
    <row r="111" spans="1:7" ht="4" customHeight="1">
      <c r="A111" s="260"/>
      <c r="B111" s="8"/>
      <c r="C111" s="273"/>
      <c r="D111" s="260"/>
      <c r="E111" s="260"/>
      <c r="F111" s="260"/>
      <c r="G111" s="260"/>
    </row>
    <row r="112" spans="1:7">
      <c r="A112" s="260"/>
      <c r="B112" s="8" t="s">
        <v>39</v>
      </c>
      <c r="C112" s="273"/>
      <c r="D112" s="278">
        <f>D4</f>
        <v>0.13216996334258749</v>
      </c>
      <c r="E112" s="278">
        <f>E4</f>
        <v>0.10273796790282951</v>
      </c>
      <c r="F112" s="278">
        <f>F4</f>
        <v>9.8510687294957031E-2</v>
      </c>
      <c r="G112" s="278">
        <f>G4</f>
        <v>8.5605322245991752E-2</v>
      </c>
    </row>
    <row r="113" spans="1:7">
      <c r="A113" s="260"/>
      <c r="B113" s="260" t="s">
        <v>40</v>
      </c>
      <c r="C113" s="273"/>
      <c r="D113" s="284">
        <f>ROUND(D6,0)</f>
        <v>6</v>
      </c>
      <c r="E113" s="284">
        <f>ROUND(E6,0)</f>
        <v>11</v>
      </c>
      <c r="F113" s="284">
        <f>ROUND(F6,0)</f>
        <v>11</v>
      </c>
      <c r="G113" s="284">
        <f>ROUND(G6,0)</f>
        <v>11</v>
      </c>
    </row>
    <row r="114" spans="1:7">
      <c r="A114" s="260"/>
      <c r="B114" s="260" t="s">
        <v>41</v>
      </c>
      <c r="C114" s="260"/>
      <c r="D114" s="285">
        <f>D17+D13</f>
        <v>130000</v>
      </c>
      <c r="E114" s="285">
        <f>E17+E13</f>
        <v>300000</v>
      </c>
      <c r="F114" s="285">
        <f>F17+F13</f>
        <v>570000</v>
      </c>
      <c r="G114" s="285">
        <f>G17+G13</f>
        <v>2000000</v>
      </c>
    </row>
    <row r="115" spans="1:7" hidden="1" outlineLevel="1">
      <c r="A115" s="753" t="s">
        <v>21</v>
      </c>
      <c r="B115" s="7" t="s">
        <v>22</v>
      </c>
      <c r="C115" s="260">
        <v>1</v>
      </c>
      <c r="D115" s="286">
        <f>IFERROR(IPMT(D$112,$C115,D$113,D$114),0)*Assumption_Sheet!$C82</f>
        <v>-16666.092072336694</v>
      </c>
      <c r="E115" s="286">
        <f>IFERROR(IPMT(E$112,$C115,E$113,E$114),0)*Assumption_Sheet!$C82</f>
        <v>-29895.779455668875</v>
      </c>
      <c r="F115" s="286">
        <f>IFERROR(IPMT(F$112,$C115,F$113,F$114),0)*Assumption_Sheet!$C82</f>
        <v>-54464.79328796464</v>
      </c>
      <c r="G115" s="286">
        <f>IFERROR(IPMT(G$112,$C115,G$113,G$114),0)*Assumption_Sheet!$C82</f>
        <v>-166068.94129722222</v>
      </c>
    </row>
    <row r="116" spans="1:7" hidden="1" outlineLevel="1">
      <c r="A116" s="753"/>
      <c r="B116" s="7" t="s">
        <v>23</v>
      </c>
      <c r="C116" s="260">
        <v>2</v>
      </c>
      <c r="D116" s="286">
        <f>IFERROR(IPMT(D$112,$C116,D$113,D$114),0)*Assumption_Sheet!$C83</f>
        <v>-14206.402295319062</v>
      </c>
      <c r="E116" s="286">
        <f>IFERROR(IPMT(E$112,$C116,E$113,E$114),0)*Assumption_Sheet!$C83</f>
        <v>-27403.164740021159</v>
      </c>
      <c r="F116" s="286">
        <f>IFERROR(IPMT(F$112,$C116,F$113,F$114),0)*Assumption_Sheet!$C83</f>
        <v>-49858.981436595059</v>
      </c>
      <c r="G116" s="286">
        <f>IFERROR(IPMT(G$112,$C116,G$113,G$114),0)*Assumption_Sheet!$C83</f>
        <v>-151397.4621060986</v>
      </c>
    </row>
    <row r="117" spans="1:7" hidden="1" outlineLevel="1">
      <c r="A117" s="753"/>
      <c r="B117" s="7" t="s">
        <v>24</v>
      </c>
      <c r="C117" s="260">
        <v>3</v>
      </c>
      <c r="D117" s="286">
        <f>IFERROR(IPMT(D$112,$C117,D$113,D$114),0)*Assumption_Sheet!$C84</f>
        <v>-11392.41231250182</v>
      </c>
      <c r="E117" s="286">
        <f>IFERROR(IPMT(E$112,$C117,E$113,E$114),0)*Assumption_Sheet!$C84</f>
        <v>-24356.781164917578</v>
      </c>
      <c r="F117" s="286">
        <f>IFERROR(IPMT(F$112,$C117,F$113,F$114),0)*Assumption_Sheet!$C84</f>
        <v>-44256.284242339345</v>
      </c>
      <c r="G117" s="286">
        <f>IFERROR(IPMT(G$112,$C117,G$113,G$114),0)*Assumption_Sheet!$C84</f>
        <v>-133808.30545951234</v>
      </c>
    </row>
    <row r="118" spans="1:7" hidden="1" outlineLevel="1">
      <c r="A118" s="753"/>
      <c r="B118" s="7" t="s">
        <v>25</v>
      </c>
      <c r="C118" s="260">
        <v>4</v>
      </c>
      <c r="D118" s="286">
        <f>IFERROR(IPMT(D$112,$C118,D$113,D$114),0)*Assumption_Sheet!$C85</f>
        <v>-8386.9081679498104</v>
      </c>
      <c r="E118" s="286">
        <f>IFERROR(IPMT(E$112,$C118,E$113,E$114),0)*Assumption_Sheet!$C85</f>
        <v>-20927.128962363608</v>
      </c>
      <c r="F118" s="286">
        <f>IFERROR(IPMT(F$112,$C118,F$113,F$114),0)*Assumption_Sheet!$C85</f>
        <v>-37971.025498499614</v>
      </c>
      <c r="G118" s="286">
        <f>IFERROR(IPMT(G$112,$C118,G$113,G$114),0)*Assumption_Sheet!$C85</f>
        <v>-114293.7940899183</v>
      </c>
    </row>
    <row r="119" spans="1:7" hidden="1" outlineLevel="1">
      <c r="A119" s="753"/>
      <c r="B119" s="7" t="s">
        <v>26</v>
      </c>
      <c r="C119" s="260">
        <v>5</v>
      </c>
      <c r="D119" s="286">
        <f>IFERROR(IPMT(D$112,$C119,D$113,D$114),0)*Assumption_Sheet!$C86</f>
        <v>-5425.3465296836785</v>
      </c>
      <c r="E119" s="286">
        <f>IFERROR(IPMT(E$112,$C119,E$113,E$114),0)*Assumption_Sheet!$C86</f>
        <v>-17487.748317418514</v>
      </c>
      <c r="F119" s="286">
        <f>IFERROR(IPMT(F$112,$C119,F$113,F$114),0)*Assumption_Sheet!$C86</f>
        <v>-31683.930847869695</v>
      </c>
      <c r="G119" s="286">
        <f>IFERROR(IPMT(G$112,$C119,G$113,G$114),0)*Assumption_Sheet!$C86</f>
        <v>-94929.221331914625</v>
      </c>
    </row>
    <row r="120" spans="1:7" hidden="1" outlineLevel="1">
      <c r="A120" s="753"/>
      <c r="B120" s="7" t="s">
        <v>27</v>
      </c>
      <c r="C120" s="260">
        <v>6</v>
      </c>
      <c r="D120" s="286">
        <f>IFERROR(IPMT(D$112,$C120,D$113,D$114),0)*Assumption_Sheet!$C87</f>
        <v>-2585.4540082773324</v>
      </c>
      <c r="E120" s="286">
        <f>IFERROR(IPMT(E$112,$C120,E$113,E$114),0)*Assumption_Sheet!$C87</f>
        <v>-14054.260740903559</v>
      </c>
      <c r="F120" s="286">
        <f>IFERROR(IPMT(F$112,$C120,F$113,F$114),0)*Assumption_Sheet!$C87</f>
        <v>-25424.36848738011</v>
      </c>
      <c r="G120" s="286">
        <f>IFERROR(IPMT(G$112,$C120,G$113,G$114),0)*Assumption_Sheet!$C87</f>
        <v>-75810.450685607415</v>
      </c>
    </row>
    <row r="121" spans="1:7" hidden="1" outlineLevel="1">
      <c r="A121" s="753"/>
      <c r="B121" s="7" t="s">
        <v>28</v>
      </c>
      <c r="C121" s="260">
        <v>7</v>
      </c>
      <c r="D121" s="286">
        <f>IFERROR(IPMT(D$112,$C121,D$113,D$114),0)*Assumption_Sheet!$C88</f>
        <v>0</v>
      </c>
      <c r="E121" s="286">
        <f>IFERROR(IPMT(E$112,$C121,E$113,E$114),0)*Assumption_Sheet!$C88</f>
        <v>-11072.3392365829</v>
      </c>
      <c r="F121" s="286">
        <f>IFERROR(IPMT(F$112,$C121,F$113,F$114),0)*Assumption_Sheet!$C88</f>
        <v>-19998.285829477845</v>
      </c>
      <c r="G121" s="286">
        <f>IFERROR(IPMT(G$112,$C121,G$113,G$114),0)*Assumption_Sheet!$C88</f>
        <v>-59335.757229875453</v>
      </c>
    </row>
    <row r="122" spans="1:7" hidden="1" outlineLevel="1">
      <c r="A122" s="753"/>
      <c r="B122" s="7" t="s">
        <v>29</v>
      </c>
      <c r="C122" s="260">
        <v>8</v>
      </c>
      <c r="D122" s="286">
        <f>IFERROR(IPMT(D$112,$C122,D$113,D$114),0)*Assumption_Sheet!$C89</f>
        <v>0</v>
      </c>
      <c r="E122" s="286">
        <f>IFERROR(IPMT(E$112,$C122,E$113,E$114),0)*Assumption_Sheet!$C89</f>
        <v>-8332.1056096311859</v>
      </c>
      <c r="F122" s="286">
        <f>IFERROR(IPMT(F$112,$C122,F$113,F$114),0)*Assumption_Sheet!$C89</f>
        <v>-15024.268222560895</v>
      </c>
      <c r="G122" s="286">
        <f>IFERROR(IPMT(G$112,$C122,G$113,G$114),0)*Assumption_Sheet!$C89</f>
        <v>-44349.426093651091</v>
      </c>
    </row>
    <row r="123" spans="1:7" hidden="1" outlineLevel="1">
      <c r="A123" s="753"/>
      <c r="B123" s="7" t="s">
        <v>30</v>
      </c>
      <c r="C123" s="260">
        <v>9</v>
      </c>
      <c r="D123" s="286">
        <f>IFERROR(IPMT(D$112,$C123,D$113,D$114),0)*Assumption_Sheet!$C90</f>
        <v>0</v>
      </c>
      <c r="E123" s="286">
        <f>IFERROR(IPMT(E$112,$C123,E$113,E$114),0)*Assumption_Sheet!$C90</f>
        <v>-6140.3449184028304</v>
      </c>
      <c r="F123" s="286">
        <f>IFERROR(IPMT(F$112,$C123,F$113,F$114),0)*Assumption_Sheet!$C90</f>
        <v>-11053.25634704404</v>
      </c>
      <c r="G123" s="286">
        <f>IFERROR(IPMT(G$112,$C123,G$113,G$114),0)*Assumption_Sheet!$C90</f>
        <v>-32454.991759575012</v>
      </c>
    </row>
    <row r="124" spans="1:7" hidden="1" outlineLevel="1">
      <c r="A124" s="753"/>
      <c r="B124" s="7" t="s">
        <v>31</v>
      </c>
      <c r="C124" s="260">
        <v>10</v>
      </c>
      <c r="D124" s="286">
        <f>IFERROR(IPMT(D$112,$C124,D$113,D$114),0)*Assumption_Sheet!$C91</f>
        <v>0</v>
      </c>
      <c r="E124" s="286">
        <f>IFERROR(IPMT(E$112,$C124,E$113,E$114),0)*Assumption_Sheet!$C91</f>
        <v>-4011.6064865551243</v>
      </c>
      <c r="F124" s="286">
        <f>IFERROR(IPMT(F$112,$C124,F$113,F$114),0)*Assumption_Sheet!$C91</f>
        <v>-7208.5560903963251</v>
      </c>
      <c r="G124" s="286">
        <f>IFERROR(IPMT(G$112,$C124,G$113,G$114),0)*Assumption_Sheet!$C91</f>
        <v>-21050.448303143359</v>
      </c>
    </row>
    <row r="125" spans="1:7" hidden="1" outlineLevel="1">
      <c r="A125" s="753" t="s">
        <v>32</v>
      </c>
      <c r="B125" s="7" t="s">
        <v>33</v>
      </c>
      <c r="C125" s="260">
        <v>11</v>
      </c>
      <c r="D125" s="286">
        <f>IFERROR(IPMT(D$112,$C125,D$113,D$114),0)*Assumption_Sheet!$C92</f>
        <v>0</v>
      </c>
      <c r="E125" s="286">
        <f>IFERROR(IPMT(E$112,$C125,E$113,E$114),0)*Assumption_Sheet!$C92</f>
        <v>-2103.8050639384446</v>
      </c>
      <c r="F125" s="286">
        <f>IFERROR(IPMT(F$112,$C125,F$113,F$114),0)*Assumption_Sheet!$C92</f>
        <v>-3773.4741849101206</v>
      </c>
      <c r="G125" s="286">
        <f>IFERROR(IPMT(G$112,$C125,G$113,G$114),0)*Assumption_Sheet!$C92</f>
        <v>-10957.240312825183</v>
      </c>
    </row>
    <row r="126" spans="1:7" hidden="1" outlineLevel="1">
      <c r="A126" s="753"/>
      <c r="B126" s="7" t="s">
        <v>34</v>
      </c>
      <c r="C126" s="260">
        <v>12</v>
      </c>
      <c r="D126" s="286">
        <f>IFERROR(IPMT(D$112,$C126,D$113,D$114),0)*Assumption_Sheet!$C93</f>
        <v>0</v>
      </c>
      <c r="E126" s="286">
        <f>IFERROR(IPMT(E$112,$C126,E$113,E$114),0)*Assumption_Sheet!$C93</f>
        <v>0</v>
      </c>
      <c r="F126" s="286">
        <f>IFERROR(IPMT(F$112,$C126,F$113,F$114),0)*Assumption_Sheet!$C93</f>
        <v>0</v>
      </c>
      <c r="G126" s="286">
        <f>IFERROR(IPMT(G$112,$C126,G$113,G$114),0)*Assumption_Sheet!$C93</f>
        <v>0</v>
      </c>
    </row>
    <row r="127" spans="1:7" hidden="1" outlineLevel="1">
      <c r="A127" s="753"/>
      <c r="B127" s="7" t="s">
        <v>22</v>
      </c>
      <c r="C127" s="260">
        <v>13</v>
      </c>
      <c r="D127" s="286">
        <f t="shared" ref="D127:G132" si="35">IFERROR(IPMT(D$112,$C127,D$113,D$114),0)</f>
        <v>0</v>
      </c>
      <c r="E127" s="286">
        <f t="shared" si="35"/>
        <v>0</v>
      </c>
      <c r="F127" s="286">
        <f t="shared" si="35"/>
        <v>0</v>
      </c>
      <c r="G127" s="286">
        <f t="shared" si="35"/>
        <v>0</v>
      </c>
    </row>
    <row r="128" spans="1:7" hidden="1" outlineLevel="1">
      <c r="A128" s="753"/>
      <c r="B128" s="7" t="s">
        <v>23</v>
      </c>
      <c r="C128" s="260">
        <v>14</v>
      </c>
      <c r="D128" s="286">
        <f t="shared" si="35"/>
        <v>0</v>
      </c>
      <c r="E128" s="286">
        <f t="shared" si="35"/>
        <v>0</v>
      </c>
      <c r="F128" s="286">
        <f t="shared" si="35"/>
        <v>0</v>
      </c>
      <c r="G128" s="286">
        <f t="shared" si="35"/>
        <v>0</v>
      </c>
    </row>
    <row r="129" spans="1:7" hidden="1" outlineLevel="1">
      <c r="A129" s="753"/>
      <c r="B129" s="7" t="s">
        <v>24</v>
      </c>
      <c r="C129" s="260">
        <v>15</v>
      </c>
      <c r="D129" s="286">
        <f t="shared" si="35"/>
        <v>0</v>
      </c>
      <c r="E129" s="286">
        <f t="shared" si="35"/>
        <v>0</v>
      </c>
      <c r="F129" s="286">
        <f t="shared" si="35"/>
        <v>0</v>
      </c>
      <c r="G129" s="286">
        <f t="shared" si="35"/>
        <v>0</v>
      </c>
    </row>
    <row r="130" spans="1:7" hidden="1" outlineLevel="1">
      <c r="A130" s="753"/>
      <c r="B130" s="7" t="s">
        <v>25</v>
      </c>
      <c r="C130" s="260">
        <v>16</v>
      </c>
      <c r="D130" s="286">
        <f t="shared" si="35"/>
        <v>0</v>
      </c>
      <c r="E130" s="286">
        <f t="shared" si="35"/>
        <v>0</v>
      </c>
      <c r="F130" s="286">
        <f t="shared" si="35"/>
        <v>0</v>
      </c>
      <c r="G130" s="286">
        <f t="shared" si="35"/>
        <v>0</v>
      </c>
    </row>
    <row r="131" spans="1:7" hidden="1" outlineLevel="1">
      <c r="A131" s="753"/>
      <c r="B131" s="7" t="s">
        <v>26</v>
      </c>
      <c r="C131" s="260">
        <v>17</v>
      </c>
      <c r="D131" s="286">
        <f t="shared" si="35"/>
        <v>0</v>
      </c>
      <c r="E131" s="286">
        <f t="shared" si="35"/>
        <v>0</v>
      </c>
      <c r="F131" s="286">
        <f t="shared" si="35"/>
        <v>0</v>
      </c>
      <c r="G131" s="286">
        <f t="shared" si="35"/>
        <v>0</v>
      </c>
    </row>
    <row r="132" spans="1:7" hidden="1" outlineLevel="1">
      <c r="A132" s="753"/>
      <c r="B132" s="7" t="s">
        <v>27</v>
      </c>
      <c r="C132" s="260">
        <v>18</v>
      </c>
      <c r="D132" s="286">
        <f t="shared" si="35"/>
        <v>0</v>
      </c>
      <c r="E132" s="286">
        <f t="shared" si="35"/>
        <v>0</v>
      </c>
      <c r="F132" s="286">
        <f t="shared" si="35"/>
        <v>0</v>
      </c>
      <c r="G132" s="286">
        <f t="shared" si="35"/>
        <v>0</v>
      </c>
    </row>
    <row r="133" spans="1:7" collapsed="1">
      <c r="A133" s="260"/>
      <c r="B133" s="260"/>
      <c r="C133" s="260"/>
      <c r="D133" s="260"/>
      <c r="E133" s="260"/>
      <c r="F133" s="260"/>
      <c r="G133" s="260"/>
    </row>
    <row r="134" spans="1:7" hidden="1">
      <c r="A134" s="260"/>
      <c r="B134" s="8" t="s">
        <v>42</v>
      </c>
      <c r="C134" s="8"/>
      <c r="D134" s="260"/>
      <c r="E134" s="260"/>
      <c r="F134" s="260"/>
      <c r="G134" s="260"/>
    </row>
    <row r="135" spans="1:7" hidden="1">
      <c r="A135" s="260"/>
      <c r="B135" s="260" t="s">
        <v>43</v>
      </c>
      <c r="C135" s="17">
        <v>6.4500000000000002E-2</v>
      </c>
      <c r="D135" s="17">
        <v>6.4500000000000002E-2</v>
      </c>
      <c r="E135" s="17">
        <v>6.4500000000000002E-2</v>
      </c>
      <c r="F135" s="17">
        <v>6.4500000000000002E-2</v>
      </c>
      <c r="G135" s="17">
        <v>1.0645</v>
      </c>
    </row>
    <row r="136" spans="1:7" hidden="1">
      <c r="A136" s="260"/>
      <c r="B136" s="260" t="s">
        <v>40</v>
      </c>
      <c r="C136" s="18">
        <v>7.9</v>
      </c>
      <c r="D136" s="18">
        <v>7.9</v>
      </c>
      <c r="E136" s="18">
        <v>7.9</v>
      </c>
      <c r="F136" s="18">
        <v>7.9</v>
      </c>
      <c r="G136" s="18">
        <v>8.9</v>
      </c>
    </row>
    <row r="137" spans="1:7" hidden="1">
      <c r="A137" s="260"/>
      <c r="B137" s="260" t="s">
        <v>41</v>
      </c>
      <c r="C137" s="260"/>
      <c r="D137" s="287" t="e">
        <f>#REF!+D18</f>
        <v>#REF!</v>
      </c>
      <c r="E137" s="287" t="e">
        <f>#REF!+E18</f>
        <v>#REF!</v>
      </c>
      <c r="F137" s="287" t="e">
        <f>#REF!+F18</f>
        <v>#REF!</v>
      </c>
      <c r="G137" s="287" t="e">
        <f>#REF!+G18</f>
        <v>#REF!</v>
      </c>
    </row>
    <row r="138" spans="1:7" hidden="1" outlineLevel="1">
      <c r="A138" s="753">
        <v>2016</v>
      </c>
      <c r="B138" s="7" t="s">
        <v>22</v>
      </c>
      <c r="C138" s="260">
        <v>1</v>
      </c>
      <c r="D138" s="286">
        <f>IFERROR(IPMT($D$4,C138,$D$6,$D$11),0)</f>
        <v>-17182.095234536373</v>
      </c>
      <c r="E138" s="286">
        <f>IFERROR(IPMT($E$4,C138,$E$6,$E$11,),0)</f>
        <v>-30821.390370848851</v>
      </c>
      <c r="F138" s="286">
        <f>IFERROR(IPMT($F$4,C138,$F$6,$F$11),0)</f>
        <v>-56151.091758125505</v>
      </c>
      <c r="G138" s="286">
        <f>IFERROR(IPMT($G$4,C138,$G$6,$G$11),0)</f>
        <v>-171210.64449198349</v>
      </c>
    </row>
    <row r="139" spans="1:7" hidden="1" outlineLevel="1">
      <c r="A139" s="753"/>
      <c r="B139" s="7" t="s">
        <v>23</v>
      </c>
      <c r="C139" s="260">
        <v>2</v>
      </c>
      <c r="D139" s="286">
        <f t="shared" ref="D139:D161" si="36">IFERROR(IPMT($D$4,C139,$D$6,$D$11),0)</f>
        <v>-15128.891497809433</v>
      </c>
      <c r="E139" s="286">
        <f t="shared" ref="E139:E161" si="37">IFERROR(IPMT($E$4,C139,$E$6,$E$11,),0)</f>
        <v>-29182.582432216441</v>
      </c>
      <c r="F139" s="286">
        <f t="shared" ref="F139:F161" si="38">IFERROR(IPMT($F$4,C139,$F$6,$F$11),0)</f>
        <v>-53096.562005292719</v>
      </c>
      <c r="G139" s="286">
        <f t="shared" ref="G139:G161" si="39">IFERROR(IPMT($G$4,C139,$G$6,$G$11),0)</f>
        <v>-161228.41868286254</v>
      </c>
    </row>
    <row r="140" spans="1:7" hidden="1" outlineLevel="1">
      <c r="A140" s="753"/>
      <c r="B140" s="7" t="s">
        <v>24</v>
      </c>
      <c r="C140" s="260">
        <v>3</v>
      </c>
      <c r="D140" s="286">
        <f t="shared" si="36"/>
        <v>-12804.315898464432</v>
      </c>
      <c r="E140" s="286">
        <f t="shared" si="37"/>
        <v>-27375.406696185913</v>
      </c>
      <c r="F140" s="286">
        <f t="shared" si="38"/>
        <v>-49741.128427145493</v>
      </c>
      <c r="G140" s="286">
        <f t="shared" si="39"/>
        <v>-150391.66121661954</v>
      </c>
    </row>
    <row r="141" spans="1:7" hidden="1" outlineLevel="1">
      <c r="A141" s="753"/>
      <c r="B141" s="7" t="s">
        <v>25</v>
      </c>
      <c r="C141" s="260">
        <v>4</v>
      </c>
      <c r="D141" s="286">
        <f t="shared" si="36"/>
        <v>-10172.501227366927</v>
      </c>
      <c r="E141" s="286">
        <f t="shared" si="37"/>
        <v>-25382.565397392307</v>
      </c>
      <c r="F141" s="286">
        <f t="shared" si="38"/>
        <v>-46055.148781042393</v>
      </c>
      <c r="G141" s="286">
        <f t="shared" si="39"/>
        <v>-138627.21963537714</v>
      </c>
    </row>
    <row r="142" spans="1:7" hidden="1" outlineLevel="1">
      <c r="A142" s="753"/>
      <c r="B142" s="7" t="s">
        <v>26</v>
      </c>
      <c r="C142" s="260">
        <v>5</v>
      </c>
      <c r="D142" s="286">
        <f t="shared" si="36"/>
        <v>-7192.8397076659821</v>
      </c>
      <c r="E142" s="286">
        <f t="shared" si="37"/>
        <v>-23184.983633207808</v>
      </c>
      <c r="F142" s="286">
        <f t="shared" si="38"/>
        <v>-42006.060746646479</v>
      </c>
      <c r="G142" s="286">
        <f t="shared" si="39"/>
        <v>-125855.67924152837</v>
      </c>
    </row>
    <row r="143" spans="1:7" hidden="1" outlineLevel="1">
      <c r="A143" s="753"/>
      <c r="B143" s="7" t="s">
        <v>27</v>
      </c>
      <c r="C143" s="260">
        <v>6</v>
      </c>
      <c r="D143" s="286">
        <f t="shared" si="36"/>
        <v>-3819.3564341328447</v>
      </c>
      <c r="E143" s="286">
        <f t="shared" si="37"/>
        <v>-20761.62678427068</v>
      </c>
      <c r="F143" s="286">
        <f t="shared" si="38"/>
        <v>-37558.094267064407</v>
      </c>
      <c r="G143" s="286">
        <f t="shared" si="39"/>
        <v>-111990.82701668648</v>
      </c>
    </row>
    <row r="144" spans="1:7" hidden="1" outlineLevel="1">
      <c r="A144" s="753"/>
      <c r="B144" s="7" t="s">
        <v>28</v>
      </c>
      <c r="C144" s="260">
        <v>7</v>
      </c>
      <c r="D144" s="286">
        <f t="shared" si="36"/>
        <v>0</v>
      </c>
      <c r="E144" s="286">
        <f t="shared" si="37"/>
        <v>-18089.299177170349</v>
      </c>
      <c r="F144" s="286">
        <f t="shared" si="38"/>
        <v>-32671.955552513795</v>
      </c>
      <c r="G144" s="286">
        <f t="shared" si="39"/>
        <v>-96939.069649243887</v>
      </c>
    </row>
    <row r="145" spans="1:7" hidden="1" outlineLevel="1">
      <c r="A145" s="753"/>
      <c r="B145" s="7" t="s">
        <v>29</v>
      </c>
      <c r="C145" s="260">
        <v>8</v>
      </c>
      <c r="D145" s="286">
        <f t="shared" si="36"/>
        <v>0</v>
      </c>
      <c r="E145" s="286">
        <f t="shared" si="37"/>
        <v>-15142.422062145899</v>
      </c>
      <c r="F145" s="286">
        <f t="shared" si="38"/>
        <v>-27304.4799549743</v>
      </c>
      <c r="G145" s="286">
        <f t="shared" si="39"/>
        <v>-80598.801741992953</v>
      </c>
    </row>
    <row r="146" spans="1:7" hidden="1" outlineLevel="1">
      <c r="A146" s="753"/>
      <c r="B146" s="7" t="s">
        <v>30</v>
      </c>
      <c r="C146" s="260">
        <v>9</v>
      </c>
      <c r="D146" s="286">
        <f t="shared" si="36"/>
        <v>0</v>
      </c>
      <c r="E146" s="286">
        <f t="shared" si="37"/>
        <v>-11892.788780664481</v>
      </c>
      <c r="F146" s="286">
        <f t="shared" si="38"/>
        <v>-21408.250647282275</v>
      </c>
      <c r="G146" s="286">
        <f t="shared" si="39"/>
        <v>-62859.719934955952</v>
      </c>
    </row>
    <row r="147" spans="1:7" hidden="1" outlineLevel="1">
      <c r="A147" s="753"/>
      <c r="B147" s="7" t="s">
        <v>31</v>
      </c>
      <c r="C147" s="260">
        <v>10</v>
      </c>
      <c r="D147" s="286">
        <f t="shared" si="36"/>
        <v>0</v>
      </c>
      <c r="E147" s="286">
        <f t="shared" si="37"/>
        <v>-8309.2947794142638</v>
      </c>
      <c r="F147" s="286">
        <f t="shared" si="38"/>
        <v>-14931.179738040841</v>
      </c>
      <c r="G147" s="286">
        <f t="shared" si="39"/>
        <v>-43602.07831347952</v>
      </c>
    </row>
    <row r="148" spans="1:7" hidden="1" outlineLevel="1">
      <c r="A148" s="753">
        <v>2017</v>
      </c>
      <c r="B148" s="7" t="s">
        <v>33</v>
      </c>
      <c r="C148" s="260">
        <v>11</v>
      </c>
      <c r="D148" s="286">
        <f t="shared" si="36"/>
        <v>0</v>
      </c>
      <c r="E148" s="286">
        <f t="shared" si="37"/>
        <v>-4357.6398864836156</v>
      </c>
      <c r="F148" s="286">
        <f t="shared" si="38"/>
        <v>-7816.0481218718623</v>
      </c>
      <c r="G148" s="286">
        <f t="shared" si="39"/>
        <v>-22695.880075298785</v>
      </c>
    </row>
    <row r="149" spans="1:7" hidden="1" outlineLevel="1">
      <c r="A149" s="753"/>
      <c r="B149" s="7" t="s">
        <v>34</v>
      </c>
      <c r="C149" s="260">
        <v>12</v>
      </c>
      <c r="D149" s="286">
        <f t="shared" si="36"/>
        <v>0</v>
      </c>
      <c r="E149" s="286">
        <f t="shared" si="37"/>
        <v>0</v>
      </c>
      <c r="F149" s="286">
        <f t="shared" si="38"/>
        <v>0</v>
      </c>
      <c r="G149" s="286">
        <f t="shared" si="39"/>
        <v>0</v>
      </c>
    </row>
    <row r="150" spans="1:7" hidden="1" outlineLevel="1">
      <c r="A150" s="753"/>
      <c r="B150" s="7" t="s">
        <v>22</v>
      </c>
      <c r="C150" s="260">
        <v>13</v>
      </c>
      <c r="D150" s="286">
        <f t="shared" si="36"/>
        <v>0</v>
      </c>
      <c r="E150" s="286">
        <f t="shared" si="37"/>
        <v>0</v>
      </c>
      <c r="F150" s="286">
        <f t="shared" si="38"/>
        <v>0</v>
      </c>
      <c r="G150" s="286">
        <f t="shared" si="39"/>
        <v>0</v>
      </c>
    </row>
    <row r="151" spans="1:7" hidden="1" outlineLevel="1">
      <c r="A151" s="753"/>
      <c r="B151" s="7" t="s">
        <v>23</v>
      </c>
      <c r="C151" s="260">
        <v>14</v>
      </c>
      <c r="D151" s="286">
        <f t="shared" si="36"/>
        <v>0</v>
      </c>
      <c r="E151" s="286">
        <f t="shared" si="37"/>
        <v>0</v>
      </c>
      <c r="F151" s="286">
        <f t="shared" si="38"/>
        <v>0</v>
      </c>
      <c r="G151" s="286">
        <f t="shared" si="39"/>
        <v>0</v>
      </c>
    </row>
    <row r="152" spans="1:7" hidden="1" outlineLevel="1">
      <c r="A152" s="753"/>
      <c r="B152" s="7" t="s">
        <v>24</v>
      </c>
      <c r="C152" s="260">
        <v>15</v>
      </c>
      <c r="D152" s="286">
        <f t="shared" si="36"/>
        <v>0</v>
      </c>
      <c r="E152" s="286">
        <f t="shared" si="37"/>
        <v>0</v>
      </c>
      <c r="F152" s="286">
        <f t="shared" si="38"/>
        <v>0</v>
      </c>
      <c r="G152" s="286">
        <f t="shared" si="39"/>
        <v>0</v>
      </c>
    </row>
    <row r="153" spans="1:7" hidden="1" outlineLevel="1">
      <c r="A153" s="753"/>
      <c r="B153" s="7" t="s">
        <v>25</v>
      </c>
      <c r="C153" s="260">
        <v>16</v>
      </c>
      <c r="D153" s="286">
        <f t="shared" si="36"/>
        <v>0</v>
      </c>
      <c r="E153" s="286">
        <f t="shared" si="37"/>
        <v>0</v>
      </c>
      <c r="F153" s="286">
        <f t="shared" si="38"/>
        <v>0</v>
      </c>
      <c r="G153" s="286">
        <f t="shared" si="39"/>
        <v>0</v>
      </c>
    </row>
    <row r="154" spans="1:7" hidden="1" outlineLevel="1">
      <c r="A154" s="753"/>
      <c r="B154" s="7" t="s">
        <v>26</v>
      </c>
      <c r="C154" s="260">
        <v>17</v>
      </c>
      <c r="D154" s="286">
        <f t="shared" si="36"/>
        <v>0</v>
      </c>
      <c r="E154" s="286">
        <f t="shared" si="37"/>
        <v>0</v>
      </c>
      <c r="F154" s="286">
        <f t="shared" si="38"/>
        <v>0</v>
      </c>
      <c r="G154" s="286">
        <f t="shared" si="39"/>
        <v>0</v>
      </c>
    </row>
    <row r="155" spans="1:7" hidden="1" outlineLevel="1">
      <c r="A155" s="753"/>
      <c r="B155" s="7" t="s">
        <v>27</v>
      </c>
      <c r="C155" s="260">
        <v>18</v>
      </c>
      <c r="D155" s="286">
        <f t="shared" si="36"/>
        <v>0</v>
      </c>
      <c r="E155" s="286">
        <f t="shared" si="37"/>
        <v>0</v>
      </c>
      <c r="F155" s="286">
        <f t="shared" si="38"/>
        <v>0</v>
      </c>
      <c r="G155" s="286">
        <f t="shared" si="39"/>
        <v>0</v>
      </c>
    </row>
    <row r="156" spans="1:7" hidden="1" outlineLevel="1">
      <c r="A156" s="637"/>
      <c r="B156" s="566" t="s">
        <v>28</v>
      </c>
      <c r="C156" s="260">
        <v>19</v>
      </c>
      <c r="D156" s="286">
        <f t="shared" si="36"/>
        <v>0</v>
      </c>
      <c r="E156" s="286">
        <f t="shared" si="37"/>
        <v>0</v>
      </c>
      <c r="F156" s="286">
        <f t="shared" si="38"/>
        <v>0</v>
      </c>
      <c r="G156" s="286">
        <f t="shared" si="39"/>
        <v>0</v>
      </c>
    </row>
    <row r="157" spans="1:7" hidden="1" outlineLevel="1">
      <c r="A157" s="637"/>
      <c r="B157" s="566" t="s">
        <v>29</v>
      </c>
      <c r="C157" s="260">
        <v>20</v>
      </c>
      <c r="D157" s="286">
        <f t="shared" si="36"/>
        <v>0</v>
      </c>
      <c r="E157" s="286">
        <f t="shared" si="37"/>
        <v>0</v>
      </c>
      <c r="F157" s="286">
        <f t="shared" si="38"/>
        <v>0</v>
      </c>
      <c r="G157" s="286">
        <f t="shared" si="39"/>
        <v>0</v>
      </c>
    </row>
    <row r="158" spans="1:7" hidden="1" outlineLevel="1">
      <c r="A158" s="637"/>
      <c r="B158" s="566" t="s">
        <v>30</v>
      </c>
      <c r="C158" s="260">
        <v>21</v>
      </c>
      <c r="D158" s="286">
        <f t="shared" si="36"/>
        <v>0</v>
      </c>
      <c r="E158" s="286">
        <f t="shared" si="37"/>
        <v>0</v>
      </c>
      <c r="F158" s="286">
        <f t="shared" si="38"/>
        <v>0</v>
      </c>
      <c r="G158" s="286">
        <f t="shared" si="39"/>
        <v>0</v>
      </c>
    </row>
    <row r="159" spans="1:7" hidden="1" outlineLevel="1">
      <c r="A159" s="637"/>
      <c r="B159" s="566" t="s">
        <v>31</v>
      </c>
      <c r="C159" s="260">
        <v>22</v>
      </c>
      <c r="D159" s="286">
        <f t="shared" si="36"/>
        <v>0</v>
      </c>
      <c r="E159" s="286">
        <f t="shared" si="37"/>
        <v>0</v>
      </c>
      <c r="F159" s="286">
        <f t="shared" si="38"/>
        <v>0</v>
      </c>
      <c r="G159" s="286">
        <f t="shared" si="39"/>
        <v>0</v>
      </c>
    </row>
    <row r="160" spans="1:7" hidden="1" outlineLevel="1">
      <c r="A160" s="637"/>
      <c r="B160" s="566" t="s">
        <v>33</v>
      </c>
      <c r="C160" s="260">
        <v>23</v>
      </c>
      <c r="D160" s="286">
        <f t="shared" si="36"/>
        <v>0</v>
      </c>
      <c r="E160" s="286">
        <f t="shared" si="37"/>
        <v>0</v>
      </c>
      <c r="F160" s="286">
        <f t="shared" si="38"/>
        <v>0</v>
      </c>
      <c r="G160" s="286">
        <f t="shared" si="39"/>
        <v>0</v>
      </c>
    </row>
    <row r="161" spans="1:7" hidden="1" outlineLevel="1">
      <c r="A161" s="637"/>
      <c r="B161" s="566" t="s">
        <v>34</v>
      </c>
      <c r="C161" s="260">
        <v>24</v>
      </c>
      <c r="D161" s="286">
        <f t="shared" si="36"/>
        <v>0</v>
      </c>
      <c r="E161" s="286">
        <f t="shared" si="37"/>
        <v>0</v>
      </c>
      <c r="F161" s="286">
        <f t="shared" si="38"/>
        <v>0</v>
      </c>
      <c r="G161" s="286">
        <f t="shared" si="39"/>
        <v>0</v>
      </c>
    </row>
    <row r="162" spans="1:7" collapsed="1">
      <c r="A162" s="260"/>
      <c r="B162" s="260"/>
      <c r="C162" s="260"/>
      <c r="D162" s="260"/>
      <c r="E162" s="260"/>
      <c r="F162" s="260"/>
      <c r="G162" s="260"/>
    </row>
    <row r="163" spans="1:7">
      <c r="A163" s="260"/>
      <c r="B163" s="288"/>
      <c r="C163" s="288"/>
      <c r="D163" s="288"/>
      <c r="E163" s="288"/>
      <c r="F163" s="288"/>
      <c r="G163" s="288"/>
    </row>
    <row r="164" spans="1:7">
      <c r="A164" s="260"/>
      <c r="B164" s="2" t="s">
        <v>44</v>
      </c>
      <c r="C164" s="260"/>
      <c r="D164" s="260"/>
      <c r="E164" s="260"/>
      <c r="F164" s="260"/>
      <c r="G164" s="260"/>
    </row>
    <row r="165" spans="1:7">
      <c r="A165" s="260"/>
      <c r="B165" s="260" t="s">
        <v>45</v>
      </c>
      <c r="C165" s="260"/>
      <c r="D165" s="277">
        <f>(-PMT(D4,D6,D11,0))*D6-D11</f>
        <v>66299.999999975989</v>
      </c>
      <c r="E165" s="277">
        <f t="shared" ref="E165:F165" si="40">(-PMT(E4,E6,E11,0))*E6-E11</f>
        <v>214500.00000000064</v>
      </c>
      <c r="F165" s="277">
        <f t="shared" si="40"/>
        <v>388739.99999999988</v>
      </c>
      <c r="G165" s="277">
        <f>(-PMT(G4,G6,G11,0))*G6-G11</f>
        <v>1166000.0000000289</v>
      </c>
    </row>
    <row r="166" spans="1:7">
      <c r="A166" s="260"/>
      <c r="B166" s="260" t="s">
        <v>12</v>
      </c>
      <c r="C166" s="260"/>
      <c r="D166" s="277">
        <f>-D8*(D13)</f>
        <v>-26520</v>
      </c>
      <c r="E166" s="277">
        <f>-E8*(E13)</f>
        <v>-72300</v>
      </c>
      <c r="F166" s="277">
        <f>-F8*(F13)</f>
        <v>-76380</v>
      </c>
      <c r="G166" s="277">
        <f>-G8*(G13)</f>
        <v>-226000</v>
      </c>
    </row>
    <row r="167" spans="1:7">
      <c r="A167" s="260"/>
      <c r="B167" s="23" t="s">
        <v>46</v>
      </c>
      <c r="C167" s="23"/>
      <c r="D167" s="20">
        <f>SUM(D165:D166)</f>
        <v>39779.999999975989</v>
      </c>
      <c r="E167" s="20">
        <f>SUM(E165:E166)</f>
        <v>142200.00000000064</v>
      </c>
      <c r="F167" s="20">
        <f>SUM(F165:F166)</f>
        <v>312359.99999999988</v>
      </c>
      <c r="G167" s="20">
        <f>SUM(G165:G166)</f>
        <v>940000.00000002887</v>
      </c>
    </row>
    <row r="168" spans="1:7" ht="4" customHeight="1">
      <c r="A168" s="260"/>
      <c r="B168" s="2"/>
      <c r="C168" s="2"/>
      <c r="D168" s="21"/>
      <c r="E168" s="21"/>
      <c r="F168" s="21"/>
      <c r="G168" s="21"/>
    </row>
    <row r="169" spans="1:7">
      <c r="A169" s="260"/>
      <c r="B169" s="2" t="s">
        <v>47</v>
      </c>
      <c r="C169" s="2"/>
      <c r="D169" s="21"/>
      <c r="E169" s="21"/>
      <c r="F169" s="21"/>
      <c r="G169" s="21"/>
    </row>
    <row r="170" spans="1:7">
      <c r="A170" s="260"/>
      <c r="B170" s="260" t="s">
        <v>37</v>
      </c>
      <c r="C170" s="260"/>
      <c r="D170" s="277">
        <f>-D110</f>
        <v>-5643.3018602449438</v>
      </c>
      <c r="E170" s="277">
        <f>-E110</f>
        <v>-23488.151938943956</v>
      </c>
      <c r="F170" s="277">
        <f>-F110</f>
        <v>-44394.421763656523</v>
      </c>
      <c r="G170" s="277">
        <f>-G110</f>
        <v>-153232.29509383132</v>
      </c>
    </row>
    <row r="171" spans="1:7">
      <c r="A171" s="260"/>
      <c r="B171" s="487" t="s">
        <v>408</v>
      </c>
      <c r="C171" s="66">
        <v>50</v>
      </c>
      <c r="D171" s="277">
        <f>-C171*D6</f>
        <v>-300</v>
      </c>
      <c r="E171" s="277">
        <f>-C171*E6</f>
        <v>-550</v>
      </c>
      <c r="F171" s="277">
        <f>-C171*F6</f>
        <v>-550</v>
      </c>
      <c r="G171" s="277">
        <f>-C171*G6</f>
        <v>-550</v>
      </c>
    </row>
    <row r="172" spans="1:7">
      <c r="A172" s="260"/>
      <c r="B172" s="10" t="s">
        <v>48</v>
      </c>
      <c r="C172" s="66">
        <v>10</v>
      </c>
      <c r="D172" s="277">
        <f>-$C172*D10</f>
        <v>-10</v>
      </c>
      <c r="E172" s="277">
        <f>-$C172*E10</f>
        <v>-10</v>
      </c>
      <c r="F172" s="277">
        <f>-$C172*F10</f>
        <v>-10</v>
      </c>
      <c r="G172" s="277">
        <f>-$C172*G10</f>
        <v>-10</v>
      </c>
    </row>
    <row r="173" spans="1:7">
      <c r="A173" s="260"/>
      <c r="B173" s="10" t="s">
        <v>121</v>
      </c>
      <c r="C173" s="17">
        <v>0.01</v>
      </c>
      <c r="D173" s="277">
        <f>(IF(($C173*(-SUM(D50:D73)))&gt;(2000*D6),-2000*D6,($C173*SUM(D50:D73))))*(1-D8)</f>
        <v>-1562.547999999809</v>
      </c>
      <c r="E173" s="277">
        <f t="shared" ref="E173:G173" si="41">(IF(($C173*(-SUM(E50:E73)))&gt;(2000*E6),-2000*E6,($C173*SUM(E50:E73))))*(1-E8)</f>
        <v>-3905.0550000000044</v>
      </c>
      <c r="F173" s="277">
        <f t="shared" si="41"/>
        <v>-8302.6883999999973</v>
      </c>
      <c r="G173" s="277">
        <f t="shared" si="41"/>
        <v>-19514</v>
      </c>
    </row>
    <row r="174" spans="1:7">
      <c r="A174" s="260"/>
      <c r="B174" s="260" t="s">
        <v>49</v>
      </c>
      <c r="C174" s="67">
        <f>(0.35/1000)*1.075</f>
        <v>3.7624999999999996E-4</v>
      </c>
      <c r="D174" s="277">
        <f>-$C174*D13</f>
        <v>-48.912499999999994</v>
      </c>
      <c r="E174" s="277">
        <f>-$C174*E13</f>
        <v>-112.87499999999999</v>
      </c>
      <c r="F174" s="277">
        <f>-$C174*F13</f>
        <v>-214.46249999999998</v>
      </c>
      <c r="G174" s="277">
        <f>-$C174*G13</f>
        <v>-752.49999999999989</v>
      </c>
    </row>
    <row r="175" spans="1:7" ht="4" customHeight="1">
      <c r="A175" s="273"/>
      <c r="B175" s="273"/>
      <c r="C175" s="289"/>
      <c r="D175" s="290"/>
      <c r="E175" s="290"/>
      <c r="F175" s="290"/>
      <c r="G175" s="290"/>
    </row>
    <row r="176" spans="1:7">
      <c r="A176" s="260"/>
      <c r="B176" s="23" t="s">
        <v>50</v>
      </c>
      <c r="C176" s="23"/>
      <c r="D176" s="20">
        <f>SUM(D170:D175)</f>
        <v>-7564.7623602447529</v>
      </c>
      <c r="E176" s="20">
        <f>SUM(E170:E175)</f>
        <v>-28066.08193894396</v>
      </c>
      <c r="F176" s="20">
        <f>SUM(F170:F175)</f>
        <v>-53471.572663656523</v>
      </c>
      <c r="G176" s="20">
        <f>SUM(G170:G175)</f>
        <v>-174058.79509383132</v>
      </c>
    </row>
    <row r="177" spans="1:7" ht="4" customHeight="1">
      <c r="A177" s="260"/>
      <c r="B177" s="260"/>
      <c r="C177" s="260"/>
      <c r="D177" s="291"/>
      <c r="E177" s="291"/>
      <c r="F177" s="291"/>
      <c r="G177" s="291"/>
    </row>
    <row r="178" spans="1:7">
      <c r="A178" s="260"/>
      <c r="B178" s="4" t="s">
        <v>405</v>
      </c>
      <c r="C178" s="260"/>
      <c r="D178" s="291"/>
      <c r="E178" s="291"/>
      <c r="F178" s="291"/>
      <c r="G178" s="291"/>
    </row>
    <row r="179" spans="1:7">
      <c r="B179" s="260" t="s">
        <v>56</v>
      </c>
      <c r="C179" s="17">
        <v>1.0500000000000001E-2</v>
      </c>
      <c r="D179" s="277"/>
      <c r="E179" s="277">
        <f>-$C$179*E11*0.74</f>
        <v>-2331</v>
      </c>
      <c r="F179" s="277">
        <f t="shared" ref="F179:G179" si="42">-$C$179*F11*0.74</f>
        <v>-4428.8999999999996</v>
      </c>
      <c r="G179" s="277">
        <f t="shared" si="42"/>
        <v>-15540</v>
      </c>
    </row>
    <row r="180" spans="1:7">
      <c r="B180" s="260" t="s">
        <v>57</v>
      </c>
      <c r="C180" s="17">
        <f>'Loan 3'!C180</f>
        <v>0</v>
      </c>
      <c r="D180" s="277"/>
      <c r="E180" s="277">
        <f>-$C$180*E11*0.74</f>
        <v>0</v>
      </c>
      <c r="F180" s="277">
        <f t="shared" ref="F180:G180" si="43">-$C$180*F11*0.74</f>
        <v>0</v>
      </c>
      <c r="G180" s="277">
        <f t="shared" si="43"/>
        <v>0</v>
      </c>
    </row>
    <row r="181" spans="1:7">
      <c r="B181" s="260" t="s">
        <v>58</v>
      </c>
      <c r="C181" s="17">
        <f>'Loan 3'!C181</f>
        <v>0</v>
      </c>
      <c r="D181" s="277"/>
      <c r="E181" s="277">
        <f>-$C$181*E11*0.74</f>
        <v>0</v>
      </c>
      <c r="F181" s="277">
        <f t="shared" ref="F181:G181" si="44">-$C$181*F11*0.74</f>
        <v>0</v>
      </c>
      <c r="G181" s="277">
        <f t="shared" si="44"/>
        <v>0</v>
      </c>
    </row>
    <row r="182" spans="1:7">
      <c r="B182" s="563" t="s">
        <v>474</v>
      </c>
      <c r="C182" s="642">
        <v>0.02</v>
      </c>
      <c r="D182" s="641"/>
      <c r="E182" s="641">
        <f>-$C$182*E11*0.26</f>
        <v>-1560</v>
      </c>
      <c r="F182" s="641">
        <f t="shared" ref="F182:G182" si="45">-$C$182*F11*0.26</f>
        <v>-2964</v>
      </c>
      <c r="G182" s="641">
        <f t="shared" si="45"/>
        <v>-10400</v>
      </c>
    </row>
    <row r="183" spans="1:7">
      <c r="B183" s="260"/>
      <c r="C183" s="260"/>
      <c r="D183" s="293">
        <f>SUM(D179:D181)</f>
        <v>0</v>
      </c>
      <c r="E183" s="293">
        <f>SUM(E179:E182)</f>
        <v>-3891</v>
      </c>
      <c r="F183" s="293">
        <f t="shared" ref="F183:G183" si="46">SUM(F179:F182)</f>
        <v>-7392.9</v>
      </c>
      <c r="G183" s="293">
        <f t="shared" si="46"/>
        <v>-25940</v>
      </c>
    </row>
    <row r="184" spans="1:7" ht="4" customHeight="1">
      <c r="B184" s="260"/>
      <c r="C184" s="260"/>
      <c r="D184" s="287"/>
      <c r="E184" s="287"/>
      <c r="F184" s="287"/>
      <c r="G184" s="287"/>
    </row>
    <row r="185" spans="1:7" s="62" customFormat="1">
      <c r="B185" s="23" t="s">
        <v>406</v>
      </c>
      <c r="C185" s="23"/>
      <c r="D185" s="11">
        <f>SUM(D183:D184)</f>
        <v>0</v>
      </c>
      <c r="E185" s="11">
        <f>SUM(E183:E184)</f>
        <v>-3891</v>
      </c>
      <c r="F185" s="11">
        <f>SUM(F183:F184)</f>
        <v>-7392.9</v>
      </c>
      <c r="G185" s="11">
        <f>SUM(G183:G184)</f>
        <v>-25940</v>
      </c>
    </row>
    <row r="186" spans="1:7" ht="4" customHeight="1">
      <c r="B186" s="260"/>
      <c r="C186" s="260"/>
      <c r="D186" s="260"/>
      <c r="E186" s="260"/>
      <c r="F186" s="260"/>
      <c r="G186" s="260"/>
    </row>
    <row r="187" spans="1:7">
      <c r="B187" s="4" t="s">
        <v>65</v>
      </c>
      <c r="C187" s="260"/>
      <c r="D187" s="260"/>
      <c r="E187" s="260"/>
      <c r="F187" s="260"/>
      <c r="G187" s="260"/>
    </row>
    <row r="188" spans="1:7">
      <c r="B188" s="260" t="s">
        <v>68</v>
      </c>
      <c r="C188" s="18">
        <f>Assumption_Sheet!B30</f>
        <v>76.649999999999991</v>
      </c>
      <c r="D188" s="277">
        <f>-$C$188*D$15</f>
        <v>-100.07083333333333</v>
      </c>
      <c r="E188" s="277">
        <f>-$C$188*E$15</f>
        <v>-99.454958677685937</v>
      </c>
      <c r="F188" s="277">
        <f>-$C$188*F$15</f>
        <v>-89.424999999999997</v>
      </c>
      <c r="G188" s="277">
        <f>-$C$188*G$15</f>
        <v>-99.978260869565204</v>
      </c>
    </row>
    <row r="189" spans="1:7">
      <c r="B189" s="23" t="s">
        <v>69</v>
      </c>
      <c r="C189" s="23"/>
      <c r="D189" s="11">
        <f>SUM(D188:D188)</f>
        <v>-100.07083333333333</v>
      </c>
      <c r="E189" s="11">
        <f>SUM(E188:E188)</f>
        <v>-99.454958677685937</v>
      </c>
      <c r="F189" s="11">
        <f>SUM(F188:F188)</f>
        <v>-89.424999999999997</v>
      </c>
      <c r="G189" s="11">
        <f>SUM(G188:G188)</f>
        <v>-99.978260869565204</v>
      </c>
    </row>
    <row r="190" spans="1:7" ht="4" customHeight="1">
      <c r="B190" s="260"/>
      <c r="C190" s="260"/>
      <c r="D190" s="260"/>
      <c r="E190" s="260"/>
      <c r="F190" s="260"/>
      <c r="G190" s="260"/>
    </row>
    <row r="191" spans="1:7">
      <c r="B191" s="4" t="s">
        <v>70</v>
      </c>
      <c r="C191" s="260"/>
      <c r="D191" s="260"/>
      <c r="E191" s="260"/>
      <c r="F191" s="260"/>
      <c r="G191" s="260"/>
    </row>
    <row r="192" spans="1:7">
      <c r="B192" s="4" t="s">
        <v>122</v>
      </c>
      <c r="C192" s="260"/>
      <c r="D192" s="260"/>
      <c r="E192" s="260"/>
      <c r="F192" s="260"/>
      <c r="G192" s="260"/>
    </row>
    <row r="193" spans="2:7">
      <c r="B193" s="223" t="s">
        <v>72</v>
      </c>
      <c r="C193" s="18">
        <f>Assumption_Sheet!C40</f>
        <v>182.5</v>
      </c>
      <c r="D193" s="277">
        <v>0</v>
      </c>
      <c r="E193" s="277">
        <v>0</v>
      </c>
      <c r="F193" s="277">
        <v>0</v>
      </c>
      <c r="G193" s="277">
        <v>0</v>
      </c>
    </row>
    <row r="194" spans="2:7">
      <c r="B194" s="260" t="s">
        <v>73</v>
      </c>
      <c r="C194" s="18">
        <f>Assumption_Sheet!$B$59</f>
        <v>117.80000000000001</v>
      </c>
      <c r="D194" s="277">
        <f>-$C194*D15*0.68</f>
        <v>-104.58022222222223</v>
      </c>
      <c r="E194" s="277">
        <f>-$C194*E15*0.68</f>
        <v>-103.93659504132233</v>
      </c>
      <c r="F194" s="277">
        <f>-$C194*F15*0.68</f>
        <v>-93.454666666666697</v>
      </c>
      <c r="G194" s="277">
        <f>-$C194*G15*0.68</f>
        <v>-104.48347826086959</v>
      </c>
    </row>
    <row r="195" spans="2:7">
      <c r="B195" s="260" t="s">
        <v>74</v>
      </c>
      <c r="C195" s="18">
        <v>0</v>
      </c>
      <c r="D195" s="330">
        <v>0</v>
      </c>
      <c r="E195" s="330">
        <v>0</v>
      </c>
      <c r="F195" s="330">
        <v>0</v>
      </c>
      <c r="G195" s="330">
        <v>0</v>
      </c>
    </row>
    <row r="196" spans="2:7">
      <c r="B196" s="260" t="s">
        <v>75</v>
      </c>
      <c r="C196" s="260"/>
      <c r="D196" s="277">
        <f>-Assumption_Sheet!$C$66*D$15*D14</f>
        <v>-1000.0000000000001</v>
      </c>
      <c r="E196" s="277">
        <f>-Assumption_Sheet!$C$66*E$15*E14</f>
        <v>-1000</v>
      </c>
      <c r="F196" s="277">
        <f>-Assumption_Sheet!$C$66*F$15*F14</f>
        <v>-1000</v>
      </c>
      <c r="G196" s="277">
        <f>-Assumption_Sheet!$C$66*G$15*G14</f>
        <v>-1000</v>
      </c>
    </row>
    <row r="197" spans="2:7">
      <c r="B197" s="260" t="s">
        <v>123</v>
      </c>
      <c r="C197" s="260"/>
      <c r="D197" s="277"/>
      <c r="E197" s="277"/>
      <c r="F197" s="277"/>
      <c r="G197" s="277"/>
    </row>
    <row r="198" spans="2:7">
      <c r="B198" s="260" t="s">
        <v>77</v>
      </c>
      <c r="C198" s="260"/>
      <c r="D198" s="277">
        <v>0</v>
      </c>
      <c r="E198" s="277">
        <v>0</v>
      </c>
      <c r="F198" s="277">
        <v>0</v>
      </c>
      <c r="G198" s="277">
        <v>0</v>
      </c>
    </row>
    <row r="199" spans="2:7" ht="4" customHeight="1">
      <c r="B199" s="260"/>
      <c r="C199" s="260"/>
      <c r="D199" s="276"/>
      <c r="E199" s="276"/>
      <c r="F199" s="276"/>
      <c r="G199" s="276"/>
    </row>
    <row r="200" spans="2:7" s="62" customFormat="1">
      <c r="B200" s="11" t="s">
        <v>78</v>
      </c>
      <c r="C200" s="11"/>
      <c r="D200" s="11">
        <f>SUM(D193:D199)</f>
        <v>-1104.5802222222223</v>
      </c>
      <c r="E200" s="11">
        <f>SUM(E193:E199)</f>
        <v>-1103.9365950413223</v>
      </c>
      <c r="F200" s="11">
        <f>SUM(F193:F199)</f>
        <v>-1093.4546666666668</v>
      </c>
      <c r="G200" s="11">
        <f>SUM(G193:G199)</f>
        <v>-1104.4834782608696</v>
      </c>
    </row>
    <row r="201" spans="2:7" s="62" customFormat="1" ht="4" customHeight="1">
      <c r="B201" s="12"/>
      <c r="C201" s="12"/>
      <c r="D201" s="12"/>
      <c r="E201" s="12"/>
      <c r="F201" s="12"/>
      <c r="G201" s="12"/>
    </row>
    <row r="202" spans="2:7" s="62" customFormat="1">
      <c r="B202" s="11" t="s">
        <v>79</v>
      </c>
      <c r="C202" s="11"/>
      <c r="D202" s="11">
        <f>D185+D200+D176+D189</f>
        <v>-8769.4134158003089</v>
      </c>
      <c r="E202" s="11">
        <f>E185+E200+E176+E189</f>
        <v>-33160.473492662968</v>
      </c>
      <c r="F202" s="11">
        <f>F185+F200+F176+F189</f>
        <v>-62047.352330323192</v>
      </c>
      <c r="G202" s="11">
        <f>G185+G200+G176+G189</f>
        <v>-201203.25683296175</v>
      </c>
    </row>
    <row r="203" spans="2:7" s="62" customFormat="1" ht="4" customHeight="1">
      <c r="B203" s="12"/>
      <c r="C203" s="12"/>
      <c r="D203" s="12"/>
      <c r="E203" s="12"/>
      <c r="F203" s="12"/>
      <c r="G203" s="12"/>
    </row>
    <row r="204" spans="2:7" ht="15" thickBot="1">
      <c r="B204" s="13" t="s">
        <v>80</v>
      </c>
      <c r="C204" s="296"/>
      <c r="D204" s="22">
        <f>D167+D202</f>
        <v>31010.586584175682</v>
      </c>
      <c r="E204" s="22">
        <f>E167+E202</f>
        <v>109039.52650733766</v>
      </c>
      <c r="F204" s="22">
        <f>F167+F202</f>
        <v>250312.64766967669</v>
      </c>
      <c r="G204" s="22">
        <f>G167+G202</f>
        <v>738796.74316706718</v>
      </c>
    </row>
    <row r="205" spans="2:7" s="62" customFormat="1" ht="10" customHeight="1" thickTop="1">
      <c r="B205" s="12"/>
      <c r="C205" s="12"/>
      <c r="D205" s="12"/>
      <c r="E205" s="12"/>
      <c r="F205" s="12"/>
      <c r="G205" s="12"/>
    </row>
    <row r="206" spans="2:7">
      <c r="B206" s="260" t="s">
        <v>124</v>
      </c>
      <c r="C206" s="562">
        <f>-11.1%</f>
        <v>-0.111</v>
      </c>
      <c r="D206" s="277">
        <f>C206*D11</f>
        <v>-14430</v>
      </c>
      <c r="E206" s="277">
        <f>C206*E11</f>
        <v>-33300</v>
      </c>
      <c r="F206" s="277">
        <f>C206*F11</f>
        <v>-63270</v>
      </c>
      <c r="G206" s="277">
        <f>C206*G11</f>
        <v>-222000</v>
      </c>
    </row>
    <row r="207" spans="2:7" ht="10" customHeight="1">
      <c r="B207" s="260"/>
      <c r="C207" s="260"/>
      <c r="D207" s="260"/>
      <c r="E207" s="260"/>
      <c r="F207" s="260"/>
      <c r="G207" s="260"/>
    </row>
    <row r="208" spans="2:7" ht="15" thickBot="1">
      <c r="B208" s="13" t="s">
        <v>82</v>
      </c>
      <c r="C208" s="296"/>
      <c r="D208" s="22">
        <f>D204+D206</f>
        <v>16580.586584175682</v>
      </c>
      <c r="E208" s="22">
        <f>E204+E206</f>
        <v>75739.526507337665</v>
      </c>
      <c r="F208" s="22">
        <f>F204+F206</f>
        <v>187042.64766967669</v>
      </c>
      <c r="G208" s="22">
        <f>G204+G206</f>
        <v>516796.74316706718</v>
      </c>
    </row>
    <row r="209" spans="2:7" ht="15" thickTop="1">
      <c r="B209" s="260"/>
      <c r="C209" s="260"/>
      <c r="D209" s="298"/>
      <c r="E209" s="298"/>
      <c r="F209" s="298"/>
      <c r="G209" s="298"/>
    </row>
    <row r="210" spans="2:7">
      <c r="B210" s="260" t="s">
        <v>125</v>
      </c>
      <c r="C210" s="260"/>
      <c r="D210" s="307">
        <f>IFERROR(D204/D11,0)</f>
        <v>0.23854297372442831</v>
      </c>
      <c r="E210" s="307">
        <f>IFERROR(E204/E11,0)</f>
        <v>0.36346508835779223</v>
      </c>
      <c r="F210" s="307">
        <f>IFERROR(F204/F11,0)</f>
        <v>0.43914499591171352</v>
      </c>
      <c r="G210" s="307">
        <f>IFERROR(G204/G11,0)</f>
        <v>0.36939837158353361</v>
      </c>
    </row>
    <row r="211" spans="2:7">
      <c r="B211" s="260"/>
      <c r="C211" s="260"/>
      <c r="D211" s="300">
        <f>IFERROR(D208/D11,0)</f>
        <v>0.12754297372442833</v>
      </c>
      <c r="E211" s="300">
        <f>IFERROR(E208/E11,0)</f>
        <v>0.25246508835779219</v>
      </c>
      <c r="F211" s="300">
        <f>IFERROR(F208/F11,0)</f>
        <v>0.32814499591171348</v>
      </c>
      <c r="G211" s="300">
        <f>IFERROR(G208/G11,0)</f>
        <v>0.25839837158353357</v>
      </c>
    </row>
    <row r="212" spans="2:7">
      <c r="B212" s="260"/>
      <c r="C212" s="260"/>
      <c r="D212" s="301"/>
      <c r="E212" s="301"/>
      <c r="F212" s="301"/>
      <c r="G212" s="301"/>
    </row>
    <row r="213" spans="2:7">
      <c r="B213" s="260"/>
      <c r="C213" s="260"/>
      <c r="D213" s="308"/>
      <c r="E213" s="308"/>
      <c r="F213" s="308"/>
      <c r="G213" s="308"/>
    </row>
    <row r="214" spans="2:7">
      <c r="B214" s="260"/>
      <c r="C214" s="260"/>
      <c r="D214" s="308"/>
      <c r="E214" s="308"/>
      <c r="F214" s="308"/>
      <c r="G214" s="308"/>
    </row>
    <row r="215" spans="2:7">
      <c r="B215" s="4"/>
      <c r="C215" s="260"/>
      <c r="D215" s="301"/>
      <c r="E215" s="301"/>
      <c r="F215" s="301"/>
      <c r="G215" s="301"/>
    </row>
    <row r="216" spans="2:7">
      <c r="B216" s="260"/>
      <c r="C216" s="260"/>
      <c r="D216" s="301"/>
      <c r="E216" s="301"/>
      <c r="F216" s="301"/>
      <c r="G216" s="301"/>
    </row>
    <row r="217" spans="2:7">
      <c r="B217" s="260"/>
      <c r="C217" s="260"/>
      <c r="D217" s="301"/>
      <c r="E217" s="301"/>
      <c r="F217" s="301"/>
      <c r="G217" s="301"/>
    </row>
    <row r="218" spans="2:7">
      <c r="B218" s="260"/>
      <c r="C218" s="260"/>
      <c r="D218" s="301"/>
      <c r="E218" s="301"/>
      <c r="F218" s="301"/>
      <c r="G218" s="301"/>
    </row>
    <row r="219" spans="2:7">
      <c r="B219" s="260"/>
      <c r="C219" s="260"/>
      <c r="D219" s="301"/>
      <c r="E219" s="301"/>
      <c r="F219" s="301"/>
      <c r="G219" s="301"/>
    </row>
    <row r="220" spans="2:7">
      <c r="B220" s="260"/>
      <c r="C220" s="260"/>
      <c r="D220" s="301"/>
      <c r="E220" s="301"/>
      <c r="F220" s="301"/>
      <c r="G220" s="301"/>
    </row>
    <row r="221" spans="2:7">
      <c r="B221" s="260"/>
      <c r="C221" s="260"/>
      <c r="D221" s="301"/>
      <c r="E221" s="301"/>
      <c r="F221" s="301"/>
      <c r="G221" s="301"/>
    </row>
    <row r="222" spans="2:7">
      <c r="B222" s="260"/>
      <c r="C222" s="260"/>
      <c r="D222" s="301"/>
      <c r="E222" s="301"/>
      <c r="F222" s="301"/>
      <c r="G222" s="301"/>
    </row>
    <row r="223" spans="2:7">
      <c r="B223" s="260"/>
      <c r="C223" s="260"/>
      <c r="D223" s="301"/>
      <c r="E223" s="301"/>
      <c r="F223" s="301"/>
      <c r="G223" s="301"/>
    </row>
    <row r="224" spans="2:7">
      <c r="B224" s="260"/>
      <c r="C224" s="260"/>
      <c r="D224" s="301"/>
      <c r="E224" s="301"/>
      <c r="F224" s="301"/>
      <c r="G224" s="301"/>
    </row>
    <row r="238" spans="4:7">
      <c r="D238" s="301"/>
      <c r="E238" s="301"/>
      <c r="F238" s="301"/>
      <c r="G238" s="301"/>
    </row>
    <row r="239" spans="4:7">
      <c r="D239" s="301"/>
      <c r="E239" s="301"/>
      <c r="F239" s="301"/>
      <c r="G239" s="301"/>
    </row>
    <row r="240" spans="4:7">
      <c r="D240" s="301"/>
      <c r="E240" s="301"/>
      <c r="F240" s="301"/>
      <c r="G240" s="301"/>
    </row>
    <row r="241" spans="4:7">
      <c r="D241" s="301"/>
      <c r="E241" s="301"/>
      <c r="F241" s="301"/>
      <c r="G241" s="301"/>
    </row>
    <row r="242" spans="4:7">
      <c r="D242" s="301"/>
      <c r="E242" s="301"/>
      <c r="F242" s="301"/>
      <c r="G242" s="301"/>
    </row>
    <row r="243" spans="4:7">
      <c r="D243" s="301"/>
      <c r="E243" s="301"/>
      <c r="F243" s="301"/>
      <c r="G243" s="301"/>
    </row>
    <row r="244" spans="4:7">
      <c r="D244" s="301"/>
      <c r="E244" s="301"/>
      <c r="F244" s="301"/>
      <c r="G244" s="301"/>
    </row>
    <row r="245" spans="4:7">
      <c r="D245" s="301"/>
      <c r="E245" s="301"/>
      <c r="F245" s="301"/>
      <c r="G245" s="301"/>
    </row>
    <row r="246" spans="4:7">
      <c r="D246" s="301"/>
      <c r="E246" s="301"/>
      <c r="F246" s="301"/>
      <c r="G246" s="301"/>
    </row>
    <row r="247" spans="4:7">
      <c r="D247" s="301"/>
      <c r="E247" s="301"/>
      <c r="F247" s="301"/>
      <c r="G247" s="301"/>
    </row>
    <row r="248" spans="4:7">
      <c r="D248" s="301"/>
      <c r="E248" s="301"/>
      <c r="F248" s="301"/>
      <c r="G248" s="301"/>
    </row>
    <row r="249" spans="4:7">
      <c r="D249" s="301"/>
      <c r="E249" s="301"/>
      <c r="F249" s="301"/>
      <c r="G249" s="301"/>
    </row>
    <row r="250" spans="4:7">
      <c r="D250" s="301"/>
      <c r="E250" s="301"/>
      <c r="F250" s="301"/>
      <c r="G250" s="301"/>
    </row>
    <row r="251" spans="4:7">
      <c r="D251" s="301"/>
      <c r="E251" s="301"/>
      <c r="F251" s="301"/>
      <c r="G251" s="301"/>
    </row>
    <row r="252" spans="4:7">
      <c r="D252" s="301"/>
      <c r="E252" s="301"/>
      <c r="F252" s="301"/>
      <c r="G252" s="301"/>
    </row>
    <row r="253" spans="4:7">
      <c r="D253" s="301"/>
      <c r="E253" s="301"/>
      <c r="F253" s="301"/>
      <c r="G253" s="301"/>
    </row>
    <row r="254" spans="4:7">
      <c r="D254" s="301"/>
      <c r="E254" s="301"/>
      <c r="F254" s="301"/>
      <c r="G254" s="301"/>
    </row>
    <row r="255" spans="4:7">
      <c r="D255" s="301"/>
      <c r="E255" s="301"/>
      <c r="F255" s="301"/>
      <c r="G255" s="301"/>
    </row>
    <row r="256" spans="4:7">
      <c r="D256" s="301"/>
      <c r="E256" s="301"/>
      <c r="F256" s="301"/>
      <c r="G256" s="301"/>
    </row>
    <row r="257" spans="1:7">
      <c r="D257" s="301"/>
      <c r="E257" s="301"/>
      <c r="F257" s="301"/>
      <c r="G257" s="301"/>
    </row>
    <row r="258" spans="1:7">
      <c r="D258" s="301"/>
      <c r="E258" s="301"/>
      <c r="F258" s="301"/>
      <c r="G258" s="301"/>
    </row>
    <row r="259" spans="1:7">
      <c r="D259" s="301"/>
      <c r="E259" s="301"/>
      <c r="F259" s="301"/>
      <c r="G259" s="301"/>
    </row>
    <row r="260" spans="1:7">
      <c r="D260" s="301"/>
      <c r="E260" s="301"/>
      <c r="F260" s="301"/>
      <c r="G260" s="301"/>
    </row>
    <row r="261" spans="1:7">
      <c r="A261" s="260"/>
      <c r="B261" s="260"/>
      <c r="C261" s="260"/>
      <c r="D261" s="301"/>
      <c r="E261" s="301"/>
      <c r="F261" s="301"/>
      <c r="G261" s="301"/>
    </row>
    <row r="262" spans="1:7">
      <c r="A262" s="260"/>
      <c r="B262" s="260"/>
      <c r="C262" s="260"/>
      <c r="D262" s="301"/>
      <c r="E262" s="301"/>
      <c r="F262" s="301"/>
      <c r="G262" s="301"/>
    </row>
    <row r="263" spans="1:7">
      <c r="A263" s="260"/>
      <c r="B263" s="260"/>
      <c r="C263" s="260"/>
      <c r="D263" s="301"/>
      <c r="E263" s="301"/>
      <c r="F263" s="301"/>
      <c r="G263" s="301"/>
    </row>
    <row r="264" spans="1:7">
      <c r="A264" s="260"/>
      <c r="B264" s="260"/>
      <c r="C264" s="260"/>
      <c r="D264" s="301"/>
      <c r="E264" s="301"/>
      <c r="F264" s="301"/>
      <c r="G264" s="301"/>
    </row>
    <row r="265" spans="1:7">
      <c r="A265" s="260"/>
      <c r="B265" s="260"/>
      <c r="C265" s="260"/>
      <c r="D265" s="301"/>
      <c r="E265" s="301"/>
      <c r="F265" s="301"/>
      <c r="G265" s="301"/>
    </row>
    <row r="266" spans="1:7">
      <c r="A266" s="260"/>
      <c r="B266" s="260"/>
      <c r="C266" s="260"/>
      <c r="D266" s="301"/>
      <c r="E266" s="301"/>
      <c r="F266" s="301"/>
      <c r="G266" s="301"/>
    </row>
    <row r="267" spans="1:7">
      <c r="A267" s="260"/>
      <c r="B267" s="260"/>
      <c r="C267" s="260"/>
      <c r="D267" s="301"/>
      <c r="E267" s="301"/>
      <c r="F267" s="301"/>
      <c r="G267" s="301"/>
    </row>
    <row r="268" spans="1:7">
      <c r="A268" s="260"/>
      <c r="B268" s="4" t="s">
        <v>92</v>
      </c>
      <c r="C268" s="260"/>
      <c r="D268" s="301"/>
      <c r="E268" s="301"/>
      <c r="F268" s="301"/>
      <c r="G268" s="301"/>
    </row>
    <row r="269" spans="1:7">
      <c r="A269" s="260"/>
      <c r="B269" s="260"/>
      <c r="C269" s="260"/>
      <c r="D269" s="301"/>
      <c r="E269" s="301"/>
      <c r="F269" s="301"/>
      <c r="G269" s="301"/>
    </row>
    <row r="270" spans="1:7" hidden="1">
      <c r="A270" s="2" t="s">
        <v>93</v>
      </c>
      <c r="B270" s="260"/>
      <c r="C270" s="260"/>
      <c r="D270" s="260"/>
      <c r="E270" s="260"/>
      <c r="F270" s="260"/>
      <c r="G270" s="260"/>
    </row>
    <row r="271" spans="1:7" hidden="1">
      <c r="A271" s="4" t="s">
        <v>94</v>
      </c>
      <c r="B271" s="260"/>
      <c r="C271" s="260"/>
      <c r="D271" s="260"/>
      <c r="E271" s="260"/>
      <c r="F271" s="260"/>
      <c r="G271" s="260"/>
    </row>
    <row r="272" spans="1:7" hidden="1">
      <c r="A272" s="303" t="s">
        <v>95</v>
      </c>
      <c r="B272" s="304">
        <v>0</v>
      </c>
      <c r="C272" s="304">
        <v>0</v>
      </c>
      <c r="D272" s="260"/>
      <c r="E272" s="260"/>
      <c r="F272" s="260"/>
      <c r="G272" s="260"/>
    </row>
    <row r="273" spans="1:7" hidden="1">
      <c r="A273" s="303" t="s">
        <v>95</v>
      </c>
      <c r="B273" s="304">
        <v>250000</v>
      </c>
      <c r="C273" s="304">
        <v>0</v>
      </c>
      <c r="D273" s="260"/>
      <c r="E273" s="260"/>
      <c r="F273" s="260"/>
      <c r="G273" s="260"/>
    </row>
    <row r="274" spans="1:7" hidden="1">
      <c r="A274" s="303"/>
      <c r="B274" s="304">
        <v>500000</v>
      </c>
      <c r="C274" s="304">
        <v>8000</v>
      </c>
      <c r="D274" s="260"/>
      <c r="E274" s="260"/>
      <c r="F274" s="260"/>
      <c r="G274" s="260"/>
    </row>
    <row r="275" spans="1:7" hidden="1">
      <c r="A275" s="303"/>
      <c r="B275" s="304">
        <v>1000000</v>
      </c>
      <c r="C275" s="304">
        <v>24000</v>
      </c>
      <c r="D275" s="260"/>
      <c r="E275" s="260"/>
      <c r="F275" s="260"/>
      <c r="G275" s="260"/>
    </row>
    <row r="276" spans="1:7" hidden="1">
      <c r="A276" s="303"/>
      <c r="B276" s="304">
        <v>2000000</v>
      </c>
      <c r="C276" s="304">
        <f>32000+C275</f>
        <v>56000</v>
      </c>
      <c r="D276" s="260"/>
      <c r="E276" s="260"/>
      <c r="F276" s="260"/>
      <c r="G276" s="260"/>
    </row>
    <row r="277" spans="1:7" hidden="1">
      <c r="A277" s="303"/>
      <c r="B277" s="304">
        <v>3000000</v>
      </c>
      <c r="C277" s="304">
        <f>C276+32000</f>
        <v>88000</v>
      </c>
    </row>
    <row r="278" spans="1:7" hidden="1">
      <c r="A278" s="303"/>
      <c r="B278" s="304">
        <v>4000000</v>
      </c>
      <c r="C278" s="304">
        <f t="shared" ref="C278:C284" si="47">C277+32000</f>
        <v>120000</v>
      </c>
    </row>
    <row r="279" spans="1:7" hidden="1">
      <c r="A279" s="303"/>
      <c r="B279" s="304">
        <v>5000000</v>
      </c>
      <c r="C279" s="304">
        <f t="shared" si="47"/>
        <v>152000</v>
      </c>
    </row>
    <row r="280" spans="1:7" hidden="1">
      <c r="A280" s="303"/>
      <c r="B280" s="304">
        <f>B279+1000000</f>
        <v>6000000</v>
      </c>
      <c r="C280" s="304">
        <f t="shared" si="47"/>
        <v>184000</v>
      </c>
    </row>
    <row r="281" spans="1:7" hidden="1">
      <c r="A281" s="303"/>
      <c r="B281" s="304">
        <f>B280+1000000</f>
        <v>7000000</v>
      </c>
      <c r="C281" s="304">
        <f t="shared" si="47"/>
        <v>216000</v>
      </c>
    </row>
    <row r="282" spans="1:7" hidden="1">
      <c r="A282" s="303"/>
      <c r="B282" s="304">
        <f>B281+1000000</f>
        <v>8000000</v>
      </c>
      <c r="C282" s="304">
        <f t="shared" si="47"/>
        <v>248000</v>
      </c>
    </row>
    <row r="283" spans="1:7" hidden="1">
      <c r="A283" s="303"/>
      <c r="B283" s="304">
        <f>B282+1000000</f>
        <v>9000000</v>
      </c>
      <c r="C283" s="304">
        <f t="shared" si="47"/>
        <v>280000</v>
      </c>
    </row>
    <row r="284" spans="1:7" hidden="1">
      <c r="A284" s="305"/>
      <c r="B284" s="306">
        <f>B283+1000000</f>
        <v>10000000</v>
      </c>
      <c r="C284" s="306">
        <f t="shared" si="47"/>
        <v>312000</v>
      </c>
    </row>
    <row r="285" spans="1:7" hidden="1">
      <c r="A285" s="303"/>
      <c r="B285" s="304">
        <v>0</v>
      </c>
      <c r="C285" s="304">
        <v>0</v>
      </c>
    </row>
    <row r="286" spans="1:7" hidden="1">
      <c r="A286" s="303" t="s">
        <v>96</v>
      </c>
      <c r="B286" s="304">
        <v>250000</v>
      </c>
      <c r="C286" s="304">
        <v>0</v>
      </c>
    </row>
    <row r="287" spans="1:7" hidden="1">
      <c r="A287" s="303"/>
      <c r="B287" s="304">
        <v>500000</v>
      </c>
      <c r="C287" s="304">
        <v>2000</v>
      </c>
    </row>
    <row r="288" spans="1:7" hidden="1">
      <c r="A288" s="260"/>
      <c r="B288" s="276">
        <v>1000000</v>
      </c>
      <c r="C288" s="276">
        <v>6000</v>
      </c>
    </row>
    <row r="289" spans="1:3" hidden="1">
      <c r="A289" s="260"/>
      <c r="B289" s="276">
        <v>2000000</v>
      </c>
      <c r="C289" s="276">
        <f>8000+C288</f>
        <v>14000</v>
      </c>
    </row>
    <row r="290" spans="1:3" hidden="1">
      <c r="A290" s="260"/>
      <c r="B290" s="276">
        <v>3000000</v>
      </c>
      <c r="C290" s="287">
        <f>8000+C289</f>
        <v>22000</v>
      </c>
    </row>
    <row r="291" spans="1:3" hidden="1">
      <c r="A291" s="260"/>
      <c r="B291" s="276">
        <v>4000000</v>
      </c>
      <c r="C291" s="287">
        <f t="shared" ref="C291:C297" si="48">8000+C290</f>
        <v>30000</v>
      </c>
    </row>
    <row r="292" spans="1:3" hidden="1">
      <c r="A292" s="260"/>
      <c r="B292" s="276">
        <v>5000000</v>
      </c>
      <c r="C292" s="287">
        <f t="shared" si="48"/>
        <v>38000</v>
      </c>
    </row>
    <row r="293" spans="1:3" hidden="1">
      <c r="B293" s="287">
        <f>B292+1000000</f>
        <v>6000000</v>
      </c>
      <c r="C293" s="287">
        <f t="shared" si="48"/>
        <v>46000</v>
      </c>
    </row>
    <row r="294" spans="1:3" hidden="1">
      <c r="B294" s="287">
        <f>B293+1000000</f>
        <v>7000000</v>
      </c>
      <c r="C294" s="287">
        <f t="shared" si="48"/>
        <v>54000</v>
      </c>
    </row>
    <row r="295" spans="1:3" hidden="1">
      <c r="B295" s="287">
        <f>B294+1000000</f>
        <v>8000000</v>
      </c>
      <c r="C295" s="287">
        <f t="shared" si="48"/>
        <v>62000</v>
      </c>
    </row>
    <row r="296" spans="1:3" hidden="1">
      <c r="B296" s="287">
        <f>B295+1000000</f>
        <v>9000000</v>
      </c>
      <c r="C296" s="287">
        <f t="shared" si="48"/>
        <v>70000</v>
      </c>
    </row>
    <row r="297" spans="1:3" hidden="1">
      <c r="B297" s="287">
        <f>B296+1000000</f>
        <v>10000000</v>
      </c>
      <c r="C297" s="287">
        <f t="shared" si="48"/>
        <v>78000</v>
      </c>
    </row>
    <row r="298" spans="1:3" hidden="1">
      <c r="B298" s="287"/>
      <c r="C298" s="287"/>
    </row>
    <row r="299" spans="1:3" hidden="1">
      <c r="B299" s="260"/>
      <c r="C299" s="260"/>
    </row>
    <row r="300" spans="1:3" hidden="1">
      <c r="B300" s="260"/>
      <c r="C300" s="260"/>
    </row>
    <row r="301" spans="1:3" hidden="1">
      <c r="B301" s="260"/>
      <c r="C301" s="260"/>
    </row>
    <row r="302" spans="1:3" hidden="1">
      <c r="B302" s="260"/>
      <c r="C302" s="260"/>
    </row>
    <row r="303" spans="1:3" hidden="1">
      <c r="B303" s="260"/>
      <c r="C303" s="260"/>
    </row>
    <row r="304" spans="1:3" hidden="1">
      <c r="B304" s="4" t="s">
        <v>97</v>
      </c>
      <c r="C304" s="260"/>
    </row>
    <row r="305" spans="2:3" hidden="1">
      <c r="B305" s="260" t="s">
        <v>98</v>
      </c>
      <c r="C305" s="260"/>
    </row>
    <row r="306" spans="2:3" hidden="1">
      <c r="B306" s="260" t="s">
        <v>99</v>
      </c>
      <c r="C306" s="260"/>
    </row>
    <row r="307" spans="2:3" hidden="1">
      <c r="B307" s="260" t="s">
        <v>100</v>
      </c>
      <c r="C307" s="260"/>
    </row>
    <row r="308" spans="2:3" hidden="1">
      <c r="B308" s="260" t="s">
        <v>101</v>
      </c>
      <c r="C308" s="276">
        <v>35000</v>
      </c>
    </row>
    <row r="309" spans="2:3" hidden="1">
      <c r="B309" s="260"/>
    </row>
    <row r="310" spans="2:3" hidden="1">
      <c r="B310" s="260"/>
    </row>
    <row r="311" spans="2:3" hidden="1">
      <c r="B311" s="4" t="s">
        <v>102</v>
      </c>
    </row>
    <row r="312" spans="2:3" hidden="1">
      <c r="B312" s="260" t="s">
        <v>67</v>
      </c>
    </row>
    <row r="313" spans="2:3" hidden="1">
      <c r="B313" s="260" t="s">
        <v>68</v>
      </c>
    </row>
    <row r="314" spans="2:3" hidden="1">
      <c r="B314" s="260" t="s">
        <v>103</v>
      </c>
    </row>
    <row r="315" spans="2:3" hidden="1">
      <c r="B315" s="260"/>
    </row>
    <row r="316" spans="2:3" hidden="1">
      <c r="B316" s="260"/>
    </row>
    <row r="317" spans="2:3" hidden="1">
      <c r="B317" s="260"/>
    </row>
    <row r="318" spans="2:3">
      <c r="B318" s="260"/>
    </row>
    <row r="319" spans="2:3">
      <c r="B319" s="260" t="s">
        <v>104</v>
      </c>
    </row>
    <row r="321" spans="2:3">
      <c r="B321" s="260" t="s">
        <v>105</v>
      </c>
    </row>
    <row r="323" spans="2:3">
      <c r="B323" s="260" t="s">
        <v>106</v>
      </c>
    </row>
    <row r="325" spans="2:3">
      <c r="B325" s="260" t="s">
        <v>107</v>
      </c>
      <c r="C325" s="276">
        <v>5168.7251661157843</v>
      </c>
    </row>
    <row r="326" spans="2:3">
      <c r="B326" s="260"/>
      <c r="C326" s="276">
        <v>1926137650.6707556</v>
      </c>
    </row>
    <row r="327" spans="2:3">
      <c r="B327" s="260" t="s">
        <v>108</v>
      </c>
      <c r="C327" s="260"/>
    </row>
    <row r="328" spans="2:3">
      <c r="B328" s="260" t="s">
        <v>109</v>
      </c>
      <c r="C328" s="260"/>
    </row>
    <row r="329" spans="2:3">
      <c r="B329" s="260" t="s">
        <v>110</v>
      </c>
      <c r="C329" s="260"/>
    </row>
    <row r="331" spans="2:3">
      <c r="B331" s="14" t="s">
        <v>111</v>
      </c>
      <c r="C331" s="17"/>
    </row>
    <row r="332" spans="2:3">
      <c r="B332" s="260"/>
      <c r="C332" s="18"/>
    </row>
    <row r="336" spans="2:3">
      <c r="B336" s="260" t="s">
        <v>112</v>
      </c>
      <c r="C336" s="260"/>
    </row>
    <row r="337" spans="2:3">
      <c r="B337" s="260" t="s">
        <v>113</v>
      </c>
      <c r="C337" s="260"/>
    </row>
  </sheetData>
  <mergeCells count="8">
    <mergeCell ref="A138:A147"/>
    <mergeCell ref="A148:A155"/>
    <mergeCell ref="A22:A31"/>
    <mergeCell ref="A32:A39"/>
    <mergeCell ref="A50:A59"/>
    <mergeCell ref="A60:A67"/>
    <mergeCell ref="A115:A124"/>
    <mergeCell ref="A125:A132"/>
  </mergeCells>
  <phoneticPr fontId="110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201A-AAEA-447E-AAE7-186A939047BD}">
  <dimension ref="A1:G337"/>
  <sheetViews>
    <sheetView topLeftCell="A110" zoomScale="57" zoomScaleNormal="57" workbookViewId="0">
      <selection activeCell="E183" sqref="E183:G183"/>
    </sheetView>
  </sheetViews>
  <sheetFormatPr defaultColWidth="8.58203125" defaultRowHeight="14.5" outlineLevelRow="1"/>
  <cols>
    <col min="1" max="1" width="5.25" style="60" customWidth="1"/>
    <col min="2" max="2" width="31.5" style="60" customWidth="1"/>
    <col min="3" max="3" width="11.5" style="60" customWidth="1"/>
    <col min="4" max="5" width="18.58203125" style="60" customWidth="1"/>
    <col min="6" max="6" width="17.33203125" style="60" customWidth="1"/>
    <col min="7" max="7" width="13.58203125" style="60" customWidth="1"/>
    <col min="8" max="16384" width="8.58203125" style="60"/>
  </cols>
  <sheetData>
    <row r="1" spans="2:7" s="62" customFormat="1" ht="18" customHeight="1">
      <c r="B1" s="574" t="s">
        <v>0</v>
      </c>
      <c r="C1" s="574"/>
      <c r="D1" s="589"/>
      <c r="E1" s="588" t="s">
        <v>470</v>
      </c>
      <c r="F1" s="589"/>
      <c r="G1" s="589"/>
    </row>
    <row r="2" spans="2:7" s="593" customFormat="1">
      <c r="B2" s="582" t="s">
        <v>1</v>
      </c>
      <c r="C2" s="592"/>
      <c r="D2" s="590" t="s">
        <v>129</v>
      </c>
      <c r="E2" s="590" t="s">
        <v>130</v>
      </c>
      <c r="F2" s="590" t="s">
        <v>131</v>
      </c>
      <c r="G2" s="590" t="s">
        <v>132</v>
      </c>
    </row>
    <row r="3" spans="2:7" ht="6.75" customHeight="1">
      <c r="B3" s="260"/>
      <c r="C3" s="260"/>
      <c r="D3" s="260"/>
      <c r="E3" s="260"/>
      <c r="F3" s="260"/>
      <c r="G3" s="260"/>
    </row>
    <row r="4" spans="2:7">
      <c r="B4" s="260" t="s">
        <v>8</v>
      </c>
      <c r="C4" s="564"/>
      <c r="D4" s="575">
        <f>Model_Summary!H413</f>
        <v>0.15340829730399994</v>
      </c>
      <c r="E4" s="575">
        <f>Model_Summary!I413</f>
        <v>0.11925891596425461</v>
      </c>
      <c r="F4" s="575">
        <f>Model_Summary!J413</f>
        <v>0.11384400795104616</v>
      </c>
      <c r="G4" s="575">
        <f>Model_Summary!K413</f>
        <v>9.8510687294957003E-2</v>
      </c>
    </row>
    <row r="5" spans="2:7" ht="15" customHeight="1">
      <c r="B5" s="260" t="s">
        <v>9</v>
      </c>
      <c r="C5" s="564"/>
      <c r="D5" s="575">
        <f>Model_Summary!H414</f>
        <v>0.1</v>
      </c>
      <c r="E5" s="575">
        <f>Model_Summary!I414</f>
        <v>7.6961160451769858E-2</v>
      </c>
      <c r="F5" s="575">
        <f>Model_Summary!J414</f>
        <v>7.2999999999999995E-2</v>
      </c>
      <c r="G5" s="575">
        <f>Model_Summary!K414</f>
        <v>6.2E-2</v>
      </c>
    </row>
    <row r="6" spans="2:7" ht="15" customHeight="1">
      <c r="B6" s="260" t="s">
        <v>10</v>
      </c>
      <c r="C6" s="564"/>
      <c r="D6" s="576">
        <f>Model_Summary!H417</f>
        <v>6</v>
      </c>
      <c r="E6" s="576">
        <f>Model_Summary!I417</f>
        <v>11</v>
      </c>
      <c r="F6" s="576">
        <f>Model_Summary!J417</f>
        <v>11</v>
      </c>
      <c r="G6" s="576">
        <f>Model_Summary!K417</f>
        <v>11</v>
      </c>
    </row>
    <row r="7" spans="2:7" ht="15" customHeight="1">
      <c r="B7" s="260" t="s">
        <v>11</v>
      </c>
      <c r="C7" s="564"/>
      <c r="D7" s="575">
        <f>Model_Summary!H418</f>
        <v>0.13500000000000001</v>
      </c>
      <c r="E7" s="575">
        <f>Model_Summary!I418</f>
        <v>0.13500000000000001</v>
      </c>
      <c r="F7" s="575">
        <f>Model_Summary!J418</f>
        <v>0.13500000000000001</v>
      </c>
      <c r="G7" s="575">
        <f>Model_Summary!K418</f>
        <v>0.13500000000000001</v>
      </c>
    </row>
    <row r="8" spans="2:7">
      <c r="B8" s="274" t="s">
        <v>12</v>
      </c>
      <c r="C8" s="274"/>
      <c r="D8" s="585">
        <f>Model_Summary!H419</f>
        <v>0.20399999999999999</v>
      </c>
      <c r="E8" s="585">
        <f>Model_Summary!I419</f>
        <v>0.24099999999999999</v>
      </c>
      <c r="F8" s="585">
        <f>Model_Summary!J419</f>
        <v>0.13400000000000001</v>
      </c>
      <c r="G8" s="585">
        <f>Model_Summary!K419</f>
        <v>0.113</v>
      </c>
    </row>
    <row r="9" spans="2:7" ht="3" customHeight="1">
      <c r="B9" s="260"/>
      <c r="C9" s="260"/>
      <c r="D9" s="563"/>
      <c r="E9" s="563"/>
      <c r="F9" s="563"/>
      <c r="G9" s="563"/>
    </row>
    <row r="10" spans="2:7">
      <c r="B10" s="260" t="s">
        <v>13</v>
      </c>
      <c r="C10" s="260"/>
      <c r="D10" s="576">
        <f>Model_Summary!H411</f>
        <v>1</v>
      </c>
      <c r="E10" s="576">
        <f>Model_Summary!I411</f>
        <v>1</v>
      </c>
      <c r="F10" s="576">
        <f>Model_Summary!J411</f>
        <v>1</v>
      </c>
      <c r="G10" s="576">
        <f>Model_Summary!K411</f>
        <v>1</v>
      </c>
    </row>
    <row r="11" spans="2:7">
      <c r="B11" s="260" t="s">
        <v>14</v>
      </c>
      <c r="C11" s="276"/>
      <c r="D11" s="576">
        <f>Model_Summary!H410</f>
        <v>130000</v>
      </c>
      <c r="E11" s="576">
        <f>Model_Summary!I410</f>
        <v>300000</v>
      </c>
      <c r="F11" s="576">
        <f>Model_Summary!J410</f>
        <v>570000</v>
      </c>
      <c r="G11" s="576">
        <f>Model_Summary!K410</f>
        <v>2000000</v>
      </c>
    </row>
    <row r="12" spans="2:7" ht="7.5" customHeight="1">
      <c r="B12" s="260"/>
      <c r="C12" s="276"/>
      <c r="D12" s="276"/>
      <c r="E12" s="276"/>
      <c r="F12" s="276"/>
      <c r="G12" s="276"/>
    </row>
    <row r="13" spans="2:7" ht="15" thickBot="1">
      <c r="B13" s="563" t="s">
        <v>15</v>
      </c>
      <c r="C13" s="260"/>
      <c r="D13" s="577">
        <f>D10*D11</f>
        <v>130000</v>
      </c>
      <c r="E13" s="577">
        <f>E10*E11</f>
        <v>300000</v>
      </c>
      <c r="F13" s="577">
        <f>F10*F11</f>
        <v>570000</v>
      </c>
      <c r="G13" s="577">
        <f>G10*G11</f>
        <v>2000000</v>
      </c>
    </row>
    <row r="14" spans="2:7" ht="15" thickTop="1">
      <c r="B14" s="260" t="s">
        <v>16</v>
      </c>
      <c r="C14" s="260"/>
      <c r="D14" s="596">
        <f>Model_Summary!H412</f>
        <v>0.76595744680851063</v>
      </c>
      <c r="E14" s="596">
        <f>Model_Summary!I412</f>
        <v>0.77070063694267521</v>
      </c>
      <c r="F14" s="596">
        <f>Model_Summary!J412</f>
        <v>0.8571428571428571</v>
      </c>
      <c r="G14" s="596">
        <f>Model_Summary!K412</f>
        <v>0.76666666666666672</v>
      </c>
    </row>
    <row r="15" spans="2:7">
      <c r="B15" s="260" t="s">
        <v>17</v>
      </c>
      <c r="C15" s="260"/>
      <c r="D15" s="277">
        <f>IFERROR(D10/D14,0)</f>
        <v>1.3055555555555556</v>
      </c>
      <c r="E15" s="277">
        <f>IFERROR(E10/E14,0)</f>
        <v>1.2975206611570247</v>
      </c>
      <c r="F15" s="277">
        <f>IFERROR(F10/F14,0)</f>
        <v>1.1666666666666667</v>
      </c>
      <c r="G15" s="277">
        <f>IFERROR(G10/G14,0)</f>
        <v>1.3043478260869565</v>
      </c>
    </row>
    <row r="16" spans="2:7">
      <c r="B16" s="563" t="s">
        <v>18</v>
      </c>
      <c r="C16" s="260"/>
      <c r="D16" s="575"/>
      <c r="E16" s="575"/>
      <c r="F16" s="575"/>
      <c r="G16" s="575"/>
    </row>
    <row r="17" spans="1:7">
      <c r="A17" s="260"/>
      <c r="B17" s="563" t="s">
        <v>19</v>
      </c>
      <c r="C17" s="260"/>
      <c r="D17" s="277">
        <f>D$16*D13</f>
        <v>0</v>
      </c>
      <c r="E17" s="277">
        <f>E$16*E13</f>
        <v>0</v>
      </c>
      <c r="F17" s="277">
        <f>F$16*F13</f>
        <v>0</v>
      </c>
      <c r="G17" s="277">
        <f>G$16*G13</f>
        <v>0</v>
      </c>
    </row>
    <row r="18" spans="1:7" s="62" customFormat="1" ht="4" customHeight="1">
      <c r="A18" s="273"/>
      <c r="B18" s="584"/>
      <c r="C18" s="260"/>
      <c r="D18" s="260"/>
      <c r="E18" s="260"/>
      <c r="F18" s="260"/>
      <c r="G18" s="260"/>
    </row>
    <row r="19" spans="1:7">
      <c r="A19" s="260"/>
      <c r="B19" s="563" t="s">
        <v>11</v>
      </c>
      <c r="C19" s="260"/>
      <c r="D19" s="278">
        <f>D7</f>
        <v>0.13500000000000001</v>
      </c>
      <c r="E19" s="278">
        <f>E7</f>
        <v>0.13500000000000001</v>
      </c>
      <c r="F19" s="278">
        <f>F7</f>
        <v>0.13500000000000001</v>
      </c>
      <c r="G19" s="278">
        <f>G7</f>
        <v>0.13500000000000001</v>
      </c>
    </row>
    <row r="20" spans="1:7" ht="4" customHeight="1">
      <c r="A20" s="260"/>
      <c r="B20" s="260"/>
      <c r="C20" s="260"/>
      <c r="D20" s="260"/>
      <c r="E20" s="260"/>
      <c r="F20" s="260"/>
      <c r="G20" s="260"/>
    </row>
    <row r="21" spans="1:7" ht="15" hidden="1" customHeight="1" outlineLevel="1">
      <c r="A21" s="260"/>
      <c r="B21" s="565" t="s">
        <v>20</v>
      </c>
      <c r="C21" s="563"/>
      <c r="D21" s="260"/>
      <c r="E21" s="260"/>
      <c r="F21" s="260"/>
      <c r="G21" s="260"/>
    </row>
    <row r="22" spans="1:7" ht="15" hidden="1" customHeight="1" outlineLevel="1">
      <c r="A22" s="753" t="s">
        <v>21</v>
      </c>
      <c r="B22" s="566" t="s">
        <v>22</v>
      </c>
      <c r="C22" s="260">
        <v>1</v>
      </c>
      <c r="D22" s="279">
        <f t="shared" ref="D22:G25" si="0">IFERROR(PPMT(D$112,$C22,D$113,D$114),0)</f>
        <v>-14723.588017146663</v>
      </c>
      <c r="E22" s="279">
        <f t="shared" si="0"/>
        <v>-14583.400618981816</v>
      </c>
      <c r="F22" s="279">
        <f t="shared" si="0"/>
        <v>-28537.097286084369</v>
      </c>
      <c r="G22" s="279">
        <f t="shared" si="0"/>
        <v>-108796.80722826783</v>
      </c>
    </row>
    <row r="23" spans="1:7" ht="15" hidden="1" customHeight="1" outlineLevel="1">
      <c r="A23" s="753"/>
      <c r="B23" s="566" t="s">
        <v>23</v>
      </c>
      <c r="C23" s="260">
        <v>2</v>
      </c>
      <c r="D23" s="279">
        <f t="shared" si="0"/>
        <v>-16982.308585062714</v>
      </c>
      <c r="E23" s="279">
        <f t="shared" si="0"/>
        <v>-16322.601167874027</v>
      </c>
      <c r="F23" s="279">
        <f t="shared" si="0"/>
        <v>-31785.874816421139</v>
      </c>
      <c r="G23" s="279">
        <f t="shared" si="0"/>
        <v>-119514.45548382142</v>
      </c>
    </row>
    <row r="24" spans="1:7" ht="15" hidden="1" customHeight="1" outlineLevel="1">
      <c r="A24" s="753"/>
      <c r="B24" s="566" t="s">
        <v>24</v>
      </c>
      <c r="C24" s="260">
        <v>3</v>
      </c>
      <c r="D24" s="279">
        <f t="shared" si="0"/>
        <v>-19587.535629388283</v>
      </c>
      <c r="E24" s="279">
        <f t="shared" si="0"/>
        <v>-18269.216888871561</v>
      </c>
      <c r="F24" s="279">
        <f t="shared" si="0"/>
        <v>-35404.506201752745</v>
      </c>
      <c r="G24" s="279">
        <f t="shared" si="0"/>
        <v>-131287.90663521521</v>
      </c>
    </row>
    <row r="25" spans="1:7" ht="15" hidden="1" customHeight="1" outlineLevel="1">
      <c r="A25" s="753"/>
      <c r="B25" s="566" t="s">
        <v>25</v>
      </c>
      <c r="C25" s="260">
        <v>4</v>
      </c>
      <c r="D25" s="279">
        <f t="shared" si="0"/>
        <v>-22592.426118674171</v>
      </c>
      <c r="E25" s="279">
        <f t="shared" si="0"/>
        <v>-20447.983890554235</v>
      </c>
      <c r="F25" s="279">
        <f t="shared" si="0"/>
        <v>-39435.097087287948</v>
      </c>
      <c r="G25" s="279">
        <f t="shared" si="0"/>
        <v>-144221.16855136643</v>
      </c>
    </row>
    <row r="26" spans="1:7" ht="15" hidden="1" customHeight="1" outlineLevel="1">
      <c r="A26" s="753"/>
      <c r="B26" s="566" t="s">
        <v>26</v>
      </c>
      <c r="C26" s="260">
        <v>5</v>
      </c>
      <c r="D26" s="279">
        <f t="shared" ref="D26:D45" si="1">IFERROR(PPMT(D$112,$C26,D$113,D$114),0)</f>
        <v>-26058.291741506393</v>
      </c>
      <c r="E26" s="279">
        <f t="shared" ref="E26:G30" si="2">IFERROR(PPMT(E$112,$C26,E$113,E$114),0)</f>
        <v>-22886.588282996276</v>
      </c>
      <c r="F26" s="279">
        <f t="shared" si="2"/>
        <v>-43924.546593643427</v>
      </c>
      <c r="G26" s="279">
        <f t="shared" si="2"/>
        <v>-158428.49498784338</v>
      </c>
    </row>
    <row r="27" spans="1:7" ht="15" hidden="1" customHeight="1" outlineLevel="1">
      <c r="A27" s="753"/>
      <c r="B27" s="566" t="s">
        <v>27</v>
      </c>
      <c r="C27" s="260">
        <v>6</v>
      </c>
      <c r="D27" s="279">
        <f t="shared" si="1"/>
        <v>-30055.849908221771</v>
      </c>
      <c r="E27" s="279">
        <f t="shared" si="2"/>
        <v>-25616.017991746623</v>
      </c>
      <c r="F27" s="279">
        <f t="shared" si="2"/>
        <v>-48925.093025296272</v>
      </c>
      <c r="G27" s="279">
        <f t="shared" si="2"/>
        <v>-174035.39491620145</v>
      </c>
    </row>
    <row r="28" spans="1:7" ht="15" hidden="1" customHeight="1" outlineLevel="1">
      <c r="A28" s="753"/>
      <c r="B28" s="566" t="s">
        <v>28</v>
      </c>
      <c r="C28" s="260">
        <v>7</v>
      </c>
      <c r="D28" s="279">
        <f t="shared" si="1"/>
        <v>0</v>
      </c>
      <c r="E28" s="279">
        <f t="shared" si="2"/>
        <v>-28670.95652876317</v>
      </c>
      <c r="F28" s="279">
        <f t="shared" si="2"/>
        <v>-54494.921704673776</v>
      </c>
      <c r="G28" s="279">
        <f t="shared" si="2"/>
        <v>-191179.74128304573</v>
      </c>
    </row>
    <row r="29" spans="1:7" ht="15" hidden="1" customHeight="1" outlineLevel="1">
      <c r="A29" s="753"/>
      <c r="B29" s="566" t="s">
        <v>29</v>
      </c>
      <c r="C29" s="260">
        <v>8</v>
      </c>
      <c r="D29" s="279">
        <f t="shared" si="1"/>
        <v>0</v>
      </c>
      <c r="E29" s="279">
        <f t="shared" si="2"/>
        <v>-32090.223724041731</v>
      </c>
      <c r="F29" s="279">
        <f t="shared" si="2"/>
        <v>-60698.842004512291</v>
      </c>
      <c r="G29" s="279">
        <f t="shared" si="2"/>
        <v>-210012.98899371063</v>
      </c>
    </row>
    <row r="30" spans="1:7" ht="15" hidden="1" customHeight="1" outlineLevel="1">
      <c r="A30" s="753"/>
      <c r="B30" s="566" t="s">
        <v>30</v>
      </c>
      <c r="C30" s="260">
        <v>9</v>
      </c>
      <c r="D30" s="279">
        <f t="shared" si="1"/>
        <v>0</v>
      </c>
      <c r="E30" s="279">
        <f t="shared" si="2"/>
        <v>-35917.269018421357</v>
      </c>
      <c r="F30" s="279">
        <f t="shared" si="2"/>
        <v>-67609.041456293271</v>
      </c>
      <c r="G30" s="279">
        <f t="shared" si="2"/>
        <v>-230701.5128803493</v>
      </c>
    </row>
    <row r="31" spans="1:7" ht="15" hidden="1" customHeight="1" outlineLevel="1">
      <c r="A31" s="753"/>
      <c r="B31" s="566" t="s">
        <v>31</v>
      </c>
      <c r="C31" s="260">
        <v>10</v>
      </c>
      <c r="D31" s="279">
        <f t="shared" si="1"/>
        <v>0</v>
      </c>
      <c r="E31" s="279">
        <f>IFERROR(PPMT(E$112,$C31,E$113,E$114),0)</f>
        <v>-40200.723585954795</v>
      </c>
      <c r="F31" s="279">
        <f>IFERROR(PPMT(F$112,$C31,F$113,F$114),0)</f>
        <v>-75305.925709406132</v>
      </c>
      <c r="G31" s="279">
        <f t="shared" ref="G31:G45" si="3">IFERROR(PPMT(G$112,$C31,G$113,G$114),0)</f>
        <v>-253428.07747417889</v>
      </c>
    </row>
    <row r="32" spans="1:7" ht="15" hidden="1" customHeight="1" outlineLevel="1">
      <c r="A32" s="753" t="s">
        <v>32</v>
      </c>
      <c r="B32" s="566" t="s">
        <v>33</v>
      </c>
      <c r="C32" s="260">
        <v>11</v>
      </c>
      <c r="D32" s="279">
        <f t="shared" si="1"/>
        <v>0</v>
      </c>
      <c r="E32" s="279">
        <f t="shared" ref="E32:E45" si="4">IFERROR(PPMT(E$112,$C32,E$113,E$114),0)</f>
        <v>-44995.0183017944</v>
      </c>
      <c r="F32" s="279">
        <f>IFERROR(PPMT(F$112,$C32,F$113,F$114),0)</f>
        <v>-83879.054114628656</v>
      </c>
      <c r="G32" s="279">
        <f t="shared" si="3"/>
        <v>-278393.45156599983</v>
      </c>
    </row>
    <row r="33" spans="1:7" ht="15" hidden="1" customHeight="1" outlineLevel="1">
      <c r="A33" s="753"/>
      <c r="B33" s="566" t="s">
        <v>34</v>
      </c>
      <c r="C33" s="260">
        <v>12</v>
      </c>
      <c r="D33" s="279">
        <f t="shared" si="1"/>
        <v>0</v>
      </c>
      <c r="E33" s="279">
        <f t="shared" si="4"/>
        <v>0</v>
      </c>
      <c r="F33" s="279">
        <f t="shared" ref="F33:F45" si="5">IFERROR(PPMT(F$112,$C33,F$113,F$114),0)</f>
        <v>0</v>
      </c>
      <c r="G33" s="279">
        <f t="shared" si="3"/>
        <v>0</v>
      </c>
    </row>
    <row r="34" spans="1:7" ht="15" hidden="1" customHeight="1" outlineLevel="1">
      <c r="A34" s="753"/>
      <c r="B34" s="566" t="s">
        <v>22</v>
      </c>
      <c r="C34" s="260">
        <v>13</v>
      </c>
      <c r="D34" s="279">
        <f t="shared" si="1"/>
        <v>0</v>
      </c>
      <c r="E34" s="279">
        <f t="shared" si="4"/>
        <v>0</v>
      </c>
      <c r="F34" s="279">
        <f t="shared" si="5"/>
        <v>0</v>
      </c>
      <c r="G34" s="279">
        <f t="shared" si="3"/>
        <v>0</v>
      </c>
    </row>
    <row r="35" spans="1:7" ht="15" hidden="1" customHeight="1" outlineLevel="1">
      <c r="A35" s="753"/>
      <c r="B35" s="566" t="s">
        <v>23</v>
      </c>
      <c r="C35" s="260">
        <v>14</v>
      </c>
      <c r="D35" s="279">
        <f t="shared" si="1"/>
        <v>0</v>
      </c>
      <c r="E35" s="279">
        <f t="shared" si="4"/>
        <v>0</v>
      </c>
      <c r="F35" s="279">
        <f t="shared" si="5"/>
        <v>0</v>
      </c>
      <c r="G35" s="279">
        <f t="shared" si="3"/>
        <v>0</v>
      </c>
    </row>
    <row r="36" spans="1:7" ht="15" hidden="1" customHeight="1" outlineLevel="1">
      <c r="A36" s="753"/>
      <c r="B36" s="566" t="s">
        <v>24</v>
      </c>
      <c r="C36" s="260">
        <v>15</v>
      </c>
      <c r="D36" s="279">
        <f t="shared" si="1"/>
        <v>0</v>
      </c>
      <c r="E36" s="279">
        <f t="shared" si="4"/>
        <v>0</v>
      </c>
      <c r="F36" s="279">
        <f t="shared" si="5"/>
        <v>0</v>
      </c>
      <c r="G36" s="279">
        <f t="shared" si="3"/>
        <v>0</v>
      </c>
    </row>
    <row r="37" spans="1:7" ht="15" hidden="1" customHeight="1" outlineLevel="1">
      <c r="A37" s="753"/>
      <c r="B37" s="566" t="s">
        <v>25</v>
      </c>
      <c r="C37" s="260">
        <v>16</v>
      </c>
      <c r="D37" s="279">
        <f t="shared" si="1"/>
        <v>0</v>
      </c>
      <c r="E37" s="279">
        <f t="shared" si="4"/>
        <v>0</v>
      </c>
      <c r="F37" s="279">
        <f t="shared" si="5"/>
        <v>0</v>
      </c>
      <c r="G37" s="279">
        <f t="shared" si="3"/>
        <v>0</v>
      </c>
    </row>
    <row r="38" spans="1:7" ht="15" hidden="1" customHeight="1" outlineLevel="1">
      <c r="A38" s="753"/>
      <c r="B38" s="566" t="s">
        <v>26</v>
      </c>
      <c r="C38" s="260">
        <v>17</v>
      </c>
      <c r="D38" s="279">
        <f t="shared" si="1"/>
        <v>0</v>
      </c>
      <c r="E38" s="279">
        <f t="shared" si="4"/>
        <v>0</v>
      </c>
      <c r="F38" s="279">
        <f t="shared" si="5"/>
        <v>0</v>
      </c>
      <c r="G38" s="279">
        <f t="shared" si="3"/>
        <v>0</v>
      </c>
    </row>
    <row r="39" spans="1:7" ht="15" hidden="1" customHeight="1" outlineLevel="1">
      <c r="A39" s="753"/>
      <c r="B39" s="566" t="s">
        <v>27</v>
      </c>
      <c r="C39" s="260">
        <v>18</v>
      </c>
      <c r="D39" s="279">
        <f t="shared" si="1"/>
        <v>0</v>
      </c>
      <c r="E39" s="279">
        <f t="shared" si="4"/>
        <v>0</v>
      </c>
      <c r="F39" s="279">
        <f t="shared" si="5"/>
        <v>0</v>
      </c>
      <c r="G39" s="279">
        <f t="shared" si="3"/>
        <v>0</v>
      </c>
    </row>
    <row r="40" spans="1:7" ht="15" hidden="1" customHeight="1" outlineLevel="1">
      <c r="A40" s="637"/>
      <c r="B40" s="566" t="s">
        <v>28</v>
      </c>
      <c r="C40" s="260">
        <v>19</v>
      </c>
      <c r="D40" s="279">
        <f t="shared" si="1"/>
        <v>0</v>
      </c>
      <c r="E40" s="279">
        <f t="shared" si="4"/>
        <v>0</v>
      </c>
      <c r="F40" s="279">
        <f t="shared" si="5"/>
        <v>0</v>
      </c>
      <c r="G40" s="279">
        <f t="shared" si="3"/>
        <v>0</v>
      </c>
    </row>
    <row r="41" spans="1:7" ht="15" hidden="1" customHeight="1" outlineLevel="1">
      <c r="A41" s="637"/>
      <c r="B41" s="566" t="s">
        <v>29</v>
      </c>
      <c r="C41" s="260">
        <v>20</v>
      </c>
      <c r="D41" s="279">
        <f t="shared" si="1"/>
        <v>0</v>
      </c>
      <c r="E41" s="279">
        <f t="shared" si="4"/>
        <v>0</v>
      </c>
      <c r="F41" s="279">
        <f t="shared" si="5"/>
        <v>0</v>
      </c>
      <c r="G41" s="279">
        <f t="shared" si="3"/>
        <v>0</v>
      </c>
    </row>
    <row r="42" spans="1:7" ht="15" hidden="1" customHeight="1" outlineLevel="1">
      <c r="A42" s="637"/>
      <c r="B42" s="566" t="s">
        <v>30</v>
      </c>
      <c r="C42" s="260">
        <v>21</v>
      </c>
      <c r="D42" s="279">
        <f t="shared" si="1"/>
        <v>0</v>
      </c>
      <c r="E42" s="279">
        <f t="shared" si="4"/>
        <v>0</v>
      </c>
      <c r="F42" s="279">
        <f t="shared" si="5"/>
        <v>0</v>
      </c>
      <c r="G42" s="279">
        <f t="shared" si="3"/>
        <v>0</v>
      </c>
    </row>
    <row r="43" spans="1:7" ht="15" hidden="1" customHeight="1" outlineLevel="1">
      <c r="A43" s="637"/>
      <c r="B43" s="566" t="s">
        <v>31</v>
      </c>
      <c r="C43" s="260">
        <v>22</v>
      </c>
      <c r="D43" s="279">
        <f t="shared" si="1"/>
        <v>0</v>
      </c>
      <c r="E43" s="279">
        <f t="shared" si="4"/>
        <v>0</v>
      </c>
      <c r="F43" s="279">
        <f t="shared" si="5"/>
        <v>0</v>
      </c>
      <c r="G43" s="279">
        <f t="shared" si="3"/>
        <v>0</v>
      </c>
    </row>
    <row r="44" spans="1:7" ht="15" hidden="1" customHeight="1" outlineLevel="1">
      <c r="A44" s="637"/>
      <c r="B44" s="566" t="s">
        <v>33</v>
      </c>
      <c r="C44" s="260">
        <v>23</v>
      </c>
      <c r="D44" s="279">
        <f t="shared" si="1"/>
        <v>0</v>
      </c>
      <c r="E44" s="279">
        <f t="shared" si="4"/>
        <v>0</v>
      </c>
      <c r="F44" s="279">
        <f t="shared" si="5"/>
        <v>0</v>
      </c>
      <c r="G44" s="279">
        <f t="shared" si="3"/>
        <v>0</v>
      </c>
    </row>
    <row r="45" spans="1:7" ht="15" hidden="1" customHeight="1" outlineLevel="1">
      <c r="A45" s="637"/>
      <c r="B45" s="566" t="s">
        <v>34</v>
      </c>
      <c r="C45" s="260">
        <v>24</v>
      </c>
      <c r="D45" s="279">
        <f t="shared" si="1"/>
        <v>0</v>
      </c>
      <c r="E45" s="279">
        <f t="shared" si="4"/>
        <v>0</v>
      </c>
      <c r="F45" s="279">
        <f t="shared" si="5"/>
        <v>0</v>
      </c>
      <c r="G45" s="279">
        <f t="shared" si="3"/>
        <v>0</v>
      </c>
    </row>
    <row r="46" spans="1:7" ht="15" hidden="1" customHeight="1" outlineLevel="1">
      <c r="A46" s="260"/>
      <c r="B46" s="565"/>
      <c r="C46" s="563"/>
      <c r="D46" s="260"/>
      <c r="E46" s="260"/>
      <c r="F46" s="260"/>
      <c r="G46" s="260"/>
    </row>
    <row r="47" spans="1:7" ht="15" hidden="1" customHeight="1" outlineLevel="1">
      <c r="A47" s="260"/>
      <c r="B47" s="565"/>
      <c r="C47" s="563"/>
      <c r="D47" s="260"/>
      <c r="E47" s="260"/>
      <c r="F47" s="260"/>
      <c r="G47" s="260"/>
    </row>
    <row r="48" spans="1:7" ht="15" hidden="1" customHeight="1" outlineLevel="1">
      <c r="A48" s="260"/>
      <c r="B48" s="565"/>
      <c r="C48" s="563"/>
      <c r="D48" s="260"/>
      <c r="E48" s="260"/>
      <c r="F48" s="260"/>
      <c r="G48" s="260"/>
    </row>
    <row r="49" spans="1:7" ht="15" hidden="1" customHeight="1" outlineLevel="1">
      <c r="A49" s="260"/>
      <c r="B49" s="568" t="s">
        <v>35</v>
      </c>
      <c r="C49" s="563"/>
      <c r="D49" s="260"/>
      <c r="E49" s="260"/>
      <c r="F49" s="260"/>
      <c r="G49" s="260"/>
    </row>
    <row r="50" spans="1:7" ht="15" hidden="1" customHeight="1" outlineLevel="1">
      <c r="A50" s="753" t="s">
        <v>21</v>
      </c>
      <c r="B50" s="566" t="s">
        <v>22</v>
      </c>
      <c r="C50" s="260">
        <v>1</v>
      </c>
      <c r="D50" s="279">
        <f t="shared" ref="D50:F50" si="6">D22+D138</f>
        <v>-34666.666666666657</v>
      </c>
      <c r="E50" s="279">
        <f t="shared" si="6"/>
        <v>-50361.075408258199</v>
      </c>
      <c r="F50" s="279">
        <f t="shared" si="6"/>
        <v>-93428.181818180674</v>
      </c>
      <c r="G50" s="279">
        <f>G22+G138</f>
        <v>-305818.18181818188</v>
      </c>
    </row>
    <row r="51" spans="1:7" ht="15" hidden="1" customHeight="1" outlineLevel="1">
      <c r="A51" s="753"/>
      <c r="B51" s="566" t="s">
        <v>23</v>
      </c>
      <c r="C51" s="260">
        <v>2</v>
      </c>
      <c r="D51" s="279">
        <f t="shared" ref="D51:G51" si="7">D23+D139</f>
        <v>-34666.666666666657</v>
      </c>
      <c r="E51" s="279">
        <f t="shared" si="7"/>
        <v>-50361.075408258199</v>
      </c>
      <c r="F51" s="279">
        <f t="shared" si="7"/>
        <v>-93428.181818180688</v>
      </c>
      <c r="G51" s="279">
        <f t="shared" si="7"/>
        <v>-305818.18181818182</v>
      </c>
    </row>
    <row r="52" spans="1:7" ht="15" hidden="1" customHeight="1" outlineLevel="1">
      <c r="A52" s="753"/>
      <c r="B52" s="566" t="s">
        <v>24</v>
      </c>
      <c r="C52" s="260">
        <v>3</v>
      </c>
      <c r="D52" s="279">
        <f t="shared" ref="D52:G52" si="8">D24+D140</f>
        <v>-34666.666666666657</v>
      </c>
      <c r="E52" s="279">
        <f t="shared" si="8"/>
        <v>-50361.075408258206</v>
      </c>
      <c r="F52" s="279">
        <f t="shared" si="8"/>
        <v>-93428.181818180674</v>
      </c>
      <c r="G52" s="279">
        <f t="shared" si="8"/>
        <v>-305818.18181818182</v>
      </c>
    </row>
    <row r="53" spans="1:7" ht="15" hidden="1" customHeight="1" outlineLevel="1">
      <c r="A53" s="753"/>
      <c r="B53" s="566" t="s">
        <v>25</v>
      </c>
      <c r="C53" s="260">
        <v>4</v>
      </c>
      <c r="D53" s="279">
        <f t="shared" ref="D53:G53" si="9">D25+D141</f>
        <v>-34666.666666666657</v>
      </c>
      <c r="E53" s="279">
        <f t="shared" si="9"/>
        <v>-50361.075408258199</v>
      </c>
      <c r="F53" s="279">
        <f t="shared" si="9"/>
        <v>-93428.181818180688</v>
      </c>
      <c r="G53" s="279">
        <f t="shared" si="9"/>
        <v>-305818.18181818188</v>
      </c>
    </row>
    <row r="54" spans="1:7" ht="15" hidden="1" customHeight="1" outlineLevel="1">
      <c r="A54" s="753"/>
      <c r="B54" s="566" t="s">
        <v>26</v>
      </c>
      <c r="C54" s="260">
        <v>5</v>
      </c>
      <c r="D54" s="279">
        <f t="shared" ref="D54:G54" si="10">D26+D142</f>
        <v>-34666.666666666657</v>
      </c>
      <c r="E54" s="279">
        <f t="shared" si="10"/>
        <v>-50361.075408258199</v>
      </c>
      <c r="F54" s="279">
        <f t="shared" si="10"/>
        <v>-93428.181818180688</v>
      </c>
      <c r="G54" s="279">
        <f t="shared" si="10"/>
        <v>-305818.18181818188</v>
      </c>
    </row>
    <row r="55" spans="1:7" ht="15" hidden="1" customHeight="1" outlineLevel="1">
      <c r="A55" s="753"/>
      <c r="B55" s="566" t="s">
        <v>27</v>
      </c>
      <c r="C55" s="260">
        <v>6</v>
      </c>
      <c r="D55" s="279">
        <f t="shared" ref="D55:G55" si="11">D27+D143</f>
        <v>-34666.666666666657</v>
      </c>
      <c r="E55" s="279">
        <f t="shared" si="11"/>
        <v>-50361.075408258199</v>
      </c>
      <c r="F55" s="279">
        <f t="shared" si="11"/>
        <v>-93428.181818180688</v>
      </c>
      <c r="G55" s="279">
        <f t="shared" si="11"/>
        <v>-305818.18181818182</v>
      </c>
    </row>
    <row r="56" spans="1:7" ht="15" hidden="1" customHeight="1" outlineLevel="1">
      <c r="A56" s="753"/>
      <c r="B56" s="566" t="s">
        <v>28</v>
      </c>
      <c r="C56" s="260">
        <v>7</v>
      </c>
      <c r="D56" s="279">
        <f t="shared" ref="D56:G56" si="12">D28+D144</f>
        <v>0</v>
      </c>
      <c r="E56" s="279">
        <f t="shared" si="12"/>
        <v>-50361.075408258206</v>
      </c>
      <c r="F56" s="279">
        <f t="shared" si="12"/>
        <v>-93428.181818180688</v>
      </c>
      <c r="G56" s="279">
        <f t="shared" si="12"/>
        <v>-305818.18181818182</v>
      </c>
    </row>
    <row r="57" spans="1:7" ht="15" hidden="1" customHeight="1" outlineLevel="1">
      <c r="A57" s="753"/>
      <c r="B57" s="566" t="s">
        <v>29</v>
      </c>
      <c r="C57" s="260">
        <v>8</v>
      </c>
      <c r="D57" s="279">
        <f t="shared" ref="D57:G57" si="13">D29+D145</f>
        <v>0</v>
      </c>
      <c r="E57" s="279">
        <f t="shared" si="13"/>
        <v>-50361.075408258199</v>
      </c>
      <c r="F57" s="279">
        <f t="shared" si="13"/>
        <v>-93428.181818180688</v>
      </c>
      <c r="G57" s="279">
        <f t="shared" si="13"/>
        <v>-305818.18181818188</v>
      </c>
    </row>
    <row r="58" spans="1:7" ht="15" hidden="1" customHeight="1" outlineLevel="1">
      <c r="A58" s="753"/>
      <c r="B58" s="566" t="s">
        <v>30</v>
      </c>
      <c r="C58" s="260">
        <v>9</v>
      </c>
      <c r="D58" s="279">
        <f t="shared" ref="D58:G58" si="14">D30+D146</f>
        <v>0</v>
      </c>
      <c r="E58" s="279">
        <f t="shared" si="14"/>
        <v>-50361.075408258206</v>
      </c>
      <c r="F58" s="279">
        <f t="shared" si="14"/>
        <v>-93428.181818180674</v>
      </c>
      <c r="G58" s="279">
        <f t="shared" si="14"/>
        <v>-305818.18181818182</v>
      </c>
    </row>
    <row r="59" spans="1:7" ht="15" hidden="1" customHeight="1" outlineLevel="1">
      <c r="A59" s="753"/>
      <c r="B59" s="566" t="s">
        <v>31</v>
      </c>
      <c r="C59" s="260">
        <v>10</v>
      </c>
      <c r="D59" s="279">
        <f t="shared" ref="D59:G59" si="15">D31+D147</f>
        <v>0</v>
      </c>
      <c r="E59" s="279">
        <f t="shared" si="15"/>
        <v>-50361.075408258199</v>
      </c>
      <c r="F59" s="279">
        <f t="shared" si="15"/>
        <v>-93428.181818180674</v>
      </c>
      <c r="G59" s="279">
        <f t="shared" si="15"/>
        <v>-305818.18181818182</v>
      </c>
    </row>
    <row r="60" spans="1:7" ht="15" hidden="1" customHeight="1" outlineLevel="1">
      <c r="A60" s="753" t="s">
        <v>32</v>
      </c>
      <c r="B60" s="566" t="s">
        <v>33</v>
      </c>
      <c r="C60" s="260">
        <v>11</v>
      </c>
      <c r="D60" s="279">
        <f t="shared" ref="D60:G60" si="16">D32+D148</f>
        <v>0</v>
      </c>
      <c r="E60" s="279">
        <f t="shared" si="16"/>
        <v>-50361.075408258199</v>
      </c>
      <c r="F60" s="279">
        <f t="shared" si="16"/>
        <v>-93428.181818180674</v>
      </c>
      <c r="G60" s="279">
        <f t="shared" si="16"/>
        <v>-305818.18181818177</v>
      </c>
    </row>
    <row r="61" spans="1:7" ht="15" hidden="1" customHeight="1" outlineLevel="1">
      <c r="A61" s="753"/>
      <c r="B61" s="566" t="s">
        <v>34</v>
      </c>
      <c r="C61" s="260">
        <v>12</v>
      </c>
      <c r="D61" s="279">
        <f t="shared" ref="D61:G61" si="17">D33+D149</f>
        <v>0</v>
      </c>
      <c r="E61" s="279">
        <f t="shared" si="17"/>
        <v>0</v>
      </c>
      <c r="F61" s="279">
        <f t="shared" si="17"/>
        <v>0</v>
      </c>
      <c r="G61" s="279">
        <f t="shared" si="17"/>
        <v>0</v>
      </c>
    </row>
    <row r="62" spans="1:7" ht="15" hidden="1" customHeight="1" outlineLevel="1">
      <c r="A62" s="753"/>
      <c r="B62" s="566" t="s">
        <v>22</v>
      </c>
      <c r="C62" s="260">
        <v>13</v>
      </c>
      <c r="D62" s="279">
        <f t="shared" ref="D62:G62" si="18">D34+D150</f>
        <v>0</v>
      </c>
      <c r="E62" s="279">
        <f t="shared" si="18"/>
        <v>0</v>
      </c>
      <c r="F62" s="279">
        <f t="shared" si="18"/>
        <v>0</v>
      </c>
      <c r="G62" s="279">
        <f t="shared" si="18"/>
        <v>0</v>
      </c>
    </row>
    <row r="63" spans="1:7" ht="15" hidden="1" customHeight="1" outlineLevel="1">
      <c r="A63" s="753"/>
      <c r="B63" s="566" t="s">
        <v>23</v>
      </c>
      <c r="C63" s="260">
        <v>14</v>
      </c>
      <c r="D63" s="279">
        <f t="shared" ref="D63:G63" si="19">D35+D151</f>
        <v>0</v>
      </c>
      <c r="E63" s="279">
        <f t="shared" si="19"/>
        <v>0</v>
      </c>
      <c r="F63" s="279">
        <f t="shared" si="19"/>
        <v>0</v>
      </c>
      <c r="G63" s="279">
        <f t="shared" si="19"/>
        <v>0</v>
      </c>
    </row>
    <row r="64" spans="1:7" ht="15" hidden="1" customHeight="1" outlineLevel="1">
      <c r="A64" s="753"/>
      <c r="B64" s="566" t="s">
        <v>24</v>
      </c>
      <c r="C64" s="260">
        <v>15</v>
      </c>
      <c r="D64" s="279">
        <f t="shared" ref="D64:G64" si="20">D36+D152</f>
        <v>0</v>
      </c>
      <c r="E64" s="279">
        <f t="shared" si="20"/>
        <v>0</v>
      </c>
      <c r="F64" s="279">
        <f t="shared" si="20"/>
        <v>0</v>
      </c>
      <c r="G64" s="279">
        <f t="shared" si="20"/>
        <v>0</v>
      </c>
    </row>
    <row r="65" spans="1:7" ht="15" hidden="1" customHeight="1" outlineLevel="1">
      <c r="A65" s="753"/>
      <c r="B65" s="566" t="s">
        <v>25</v>
      </c>
      <c r="C65" s="260">
        <v>16</v>
      </c>
      <c r="D65" s="279">
        <f t="shared" ref="D65:G65" si="21">D37+D153</f>
        <v>0</v>
      </c>
      <c r="E65" s="279">
        <f t="shared" si="21"/>
        <v>0</v>
      </c>
      <c r="F65" s="279">
        <f t="shared" si="21"/>
        <v>0</v>
      </c>
      <c r="G65" s="279">
        <f t="shared" si="21"/>
        <v>0</v>
      </c>
    </row>
    <row r="66" spans="1:7" ht="15" hidden="1" customHeight="1" outlineLevel="1">
      <c r="A66" s="753"/>
      <c r="B66" s="566" t="s">
        <v>26</v>
      </c>
      <c r="C66" s="260">
        <v>17</v>
      </c>
      <c r="D66" s="279">
        <f t="shared" ref="D66:G66" si="22">D38+D154</f>
        <v>0</v>
      </c>
      <c r="E66" s="279">
        <f t="shared" si="22"/>
        <v>0</v>
      </c>
      <c r="F66" s="279">
        <f t="shared" si="22"/>
        <v>0</v>
      </c>
      <c r="G66" s="279">
        <f t="shared" si="22"/>
        <v>0</v>
      </c>
    </row>
    <row r="67" spans="1:7" ht="15" hidden="1" customHeight="1" outlineLevel="1">
      <c r="A67" s="753"/>
      <c r="B67" s="566" t="s">
        <v>27</v>
      </c>
      <c r="C67" s="260">
        <v>18</v>
      </c>
      <c r="D67" s="279">
        <f t="shared" ref="D67:G67" si="23">D39+D155</f>
        <v>0</v>
      </c>
      <c r="E67" s="279">
        <f t="shared" si="23"/>
        <v>0</v>
      </c>
      <c r="F67" s="279">
        <f t="shared" si="23"/>
        <v>0</v>
      </c>
      <c r="G67" s="279">
        <f t="shared" si="23"/>
        <v>0</v>
      </c>
    </row>
    <row r="68" spans="1:7" ht="15" hidden="1" customHeight="1" outlineLevel="1">
      <c r="A68" s="637"/>
      <c r="B68" s="566" t="s">
        <v>28</v>
      </c>
      <c r="C68" s="260">
        <v>19</v>
      </c>
      <c r="D68" s="279">
        <f t="shared" ref="D68:G68" si="24">D40+D156</f>
        <v>0</v>
      </c>
      <c r="E68" s="279">
        <f t="shared" si="24"/>
        <v>0</v>
      </c>
      <c r="F68" s="279">
        <f t="shared" si="24"/>
        <v>0</v>
      </c>
      <c r="G68" s="279">
        <f t="shared" si="24"/>
        <v>0</v>
      </c>
    </row>
    <row r="69" spans="1:7" ht="15" hidden="1" customHeight="1" outlineLevel="1">
      <c r="A69" s="637"/>
      <c r="B69" s="566" t="s">
        <v>29</v>
      </c>
      <c r="C69" s="260">
        <v>20</v>
      </c>
      <c r="D69" s="279">
        <f t="shared" ref="D69:G69" si="25">D41+D157</f>
        <v>0</v>
      </c>
      <c r="E69" s="279">
        <f t="shared" si="25"/>
        <v>0</v>
      </c>
      <c r="F69" s="279">
        <f t="shared" si="25"/>
        <v>0</v>
      </c>
      <c r="G69" s="279">
        <f t="shared" si="25"/>
        <v>0</v>
      </c>
    </row>
    <row r="70" spans="1:7" ht="15" hidden="1" customHeight="1" outlineLevel="1">
      <c r="A70" s="637"/>
      <c r="B70" s="566" t="s">
        <v>30</v>
      </c>
      <c r="C70" s="260">
        <v>21</v>
      </c>
      <c r="D70" s="279">
        <f t="shared" ref="D70:G70" si="26">D42+D158</f>
        <v>0</v>
      </c>
      <c r="E70" s="279">
        <f t="shared" si="26"/>
        <v>0</v>
      </c>
      <c r="F70" s="279">
        <f t="shared" si="26"/>
        <v>0</v>
      </c>
      <c r="G70" s="279">
        <f t="shared" si="26"/>
        <v>0</v>
      </c>
    </row>
    <row r="71" spans="1:7" ht="15" hidden="1" customHeight="1" outlineLevel="1">
      <c r="A71" s="637"/>
      <c r="B71" s="566" t="s">
        <v>31</v>
      </c>
      <c r="C71" s="260">
        <v>22</v>
      </c>
      <c r="D71" s="279">
        <f t="shared" ref="D71:G71" si="27">D43+D159</f>
        <v>0</v>
      </c>
      <c r="E71" s="279">
        <f t="shared" si="27"/>
        <v>0</v>
      </c>
      <c r="F71" s="279">
        <f t="shared" si="27"/>
        <v>0</v>
      </c>
      <c r="G71" s="279">
        <f t="shared" si="27"/>
        <v>0</v>
      </c>
    </row>
    <row r="72" spans="1:7" ht="15" hidden="1" customHeight="1" outlineLevel="1">
      <c r="A72" s="637"/>
      <c r="B72" s="566" t="s">
        <v>33</v>
      </c>
      <c r="C72" s="260">
        <v>23</v>
      </c>
      <c r="D72" s="279">
        <f t="shared" ref="D72:G72" si="28">D44+D160</f>
        <v>0</v>
      </c>
      <c r="E72" s="279">
        <f t="shared" si="28"/>
        <v>0</v>
      </c>
      <c r="F72" s="279">
        <f t="shared" si="28"/>
        <v>0</v>
      </c>
      <c r="G72" s="279">
        <f t="shared" si="28"/>
        <v>0</v>
      </c>
    </row>
    <row r="73" spans="1:7" ht="15" hidden="1" customHeight="1" outlineLevel="1">
      <c r="A73" s="637"/>
      <c r="B73" s="566" t="s">
        <v>34</v>
      </c>
      <c r="C73" s="260">
        <v>24</v>
      </c>
      <c r="D73" s="279">
        <f t="shared" ref="D73:G73" si="29">D45+D161</f>
        <v>0</v>
      </c>
      <c r="E73" s="279">
        <f t="shared" si="29"/>
        <v>0</v>
      </c>
      <c r="F73" s="279">
        <f t="shared" si="29"/>
        <v>0</v>
      </c>
      <c r="G73" s="279">
        <f t="shared" si="29"/>
        <v>0</v>
      </c>
    </row>
    <row r="74" spans="1:7" ht="15" hidden="1" customHeight="1" outlineLevel="1">
      <c r="A74" s="260"/>
      <c r="B74" s="260"/>
      <c r="C74" s="260"/>
      <c r="D74" s="260"/>
      <c r="E74" s="260"/>
      <c r="F74" s="260"/>
      <c r="G74" s="260"/>
    </row>
    <row r="75" spans="1:7" ht="15" hidden="1" customHeight="1" outlineLevel="1">
      <c r="A75" s="260"/>
      <c r="B75" s="260"/>
      <c r="C75" s="260"/>
      <c r="D75" s="260"/>
      <c r="E75" s="260"/>
      <c r="F75" s="260"/>
      <c r="G75" s="260"/>
    </row>
    <row r="76" spans="1:7" ht="15" hidden="1" customHeight="1" outlineLevel="1">
      <c r="A76" s="260"/>
      <c r="B76" s="563" t="s">
        <v>36</v>
      </c>
      <c r="C76" s="260"/>
      <c r="D76" s="260"/>
      <c r="E76" s="260"/>
      <c r="F76" s="260"/>
      <c r="G76" s="260"/>
    </row>
    <row r="77" spans="1:7" ht="15" hidden="1" customHeight="1" outlineLevel="1">
      <c r="D77" s="281">
        <f>D114</f>
        <v>130000</v>
      </c>
      <c r="E77" s="281">
        <f>E114</f>
        <v>300000</v>
      </c>
      <c r="F77" s="281">
        <f>F114</f>
        <v>570000</v>
      </c>
      <c r="G77" s="281">
        <f>G114</f>
        <v>2000000</v>
      </c>
    </row>
    <row r="78" spans="1:7" ht="15" hidden="1" customHeight="1" outlineLevel="1">
      <c r="D78" s="281">
        <f t="shared" ref="D78:D92" si="30">IF((D77+D22)&lt;0,0,D77+D22)</f>
        <v>115276.41198285334</v>
      </c>
      <c r="E78" s="281">
        <f t="shared" ref="E78:E92" si="31">IF((E77+E22)&lt;0,0,E77+E22)</f>
        <v>285416.5993810182</v>
      </c>
      <c r="F78" s="281">
        <f t="shared" ref="F78:F92" si="32">IF((F77+F22)&lt;0,0,F77+F22)</f>
        <v>541462.90271391568</v>
      </c>
      <c r="G78" s="281">
        <f t="shared" ref="G78:G92" si="33">IF((G77+G22)&lt;0,0,G77+G22)</f>
        <v>1891203.1927717321</v>
      </c>
    </row>
    <row r="79" spans="1:7" ht="15" hidden="1" customHeight="1" outlineLevel="1">
      <c r="D79" s="281">
        <f t="shared" si="30"/>
        <v>98294.103397790634</v>
      </c>
      <c r="E79" s="281">
        <f t="shared" si="31"/>
        <v>269093.99821314419</v>
      </c>
      <c r="F79" s="281">
        <f t="shared" si="32"/>
        <v>509677.02789749455</v>
      </c>
      <c r="G79" s="281">
        <f t="shared" si="33"/>
        <v>1771688.7372879107</v>
      </c>
    </row>
    <row r="80" spans="1:7" ht="15" hidden="1" customHeight="1" outlineLevel="1">
      <c r="D80" s="281">
        <f t="shared" si="30"/>
        <v>78706.567768402354</v>
      </c>
      <c r="E80" s="281">
        <f t="shared" si="31"/>
        <v>250824.78132427263</v>
      </c>
      <c r="F80" s="281">
        <f t="shared" si="32"/>
        <v>474272.5216957418</v>
      </c>
      <c r="G80" s="281">
        <f t="shared" si="33"/>
        <v>1640400.8306526954</v>
      </c>
    </row>
    <row r="81" spans="2:7" ht="15" hidden="1" customHeight="1" outlineLevel="1">
      <c r="D81" s="281">
        <f t="shared" si="30"/>
        <v>56114.141649728183</v>
      </c>
      <c r="E81" s="281">
        <f t="shared" si="31"/>
        <v>230376.7974337184</v>
      </c>
      <c r="F81" s="281">
        <f t="shared" si="32"/>
        <v>434837.42460845388</v>
      </c>
      <c r="G81" s="281">
        <f t="shared" si="33"/>
        <v>1496179.6621013288</v>
      </c>
    </row>
    <row r="82" spans="2:7" ht="15" hidden="1" customHeight="1" outlineLevel="1">
      <c r="D82" s="281">
        <f t="shared" si="30"/>
        <v>30055.84990822179</v>
      </c>
      <c r="E82" s="281">
        <f t="shared" si="31"/>
        <v>207490.20915072213</v>
      </c>
      <c r="F82" s="281">
        <f t="shared" si="32"/>
        <v>390912.87801481044</v>
      </c>
      <c r="G82" s="281">
        <f t="shared" si="33"/>
        <v>1337751.1671134855</v>
      </c>
    </row>
    <row r="83" spans="2:7" ht="15" hidden="1" customHeight="1" outlineLevel="1">
      <c r="D83" s="281">
        <f t="shared" si="30"/>
        <v>1.8189894035458565E-11</v>
      </c>
      <c r="E83" s="281">
        <f t="shared" si="31"/>
        <v>181874.1911589755</v>
      </c>
      <c r="F83" s="281">
        <f t="shared" si="32"/>
        <v>341987.78498951416</v>
      </c>
      <c r="G83" s="281">
        <f t="shared" si="33"/>
        <v>1163715.772197284</v>
      </c>
    </row>
    <row r="84" spans="2:7" ht="15" hidden="1" customHeight="1" outlineLevel="1">
      <c r="D84" s="281">
        <f t="shared" si="30"/>
        <v>1.8189894035458565E-11</v>
      </c>
      <c r="E84" s="281">
        <f t="shared" si="31"/>
        <v>153203.23463021233</v>
      </c>
      <c r="F84" s="281">
        <f t="shared" si="32"/>
        <v>287492.86328484036</v>
      </c>
      <c r="G84" s="281">
        <f t="shared" si="33"/>
        <v>972536.0309142383</v>
      </c>
    </row>
    <row r="85" spans="2:7" ht="15" hidden="1" customHeight="1" outlineLevel="1">
      <c r="D85" s="281">
        <f t="shared" si="30"/>
        <v>1.8189894035458565E-11</v>
      </c>
      <c r="E85" s="281">
        <f t="shared" si="31"/>
        <v>121113.0109061706</v>
      </c>
      <c r="F85" s="281">
        <f t="shared" si="32"/>
        <v>226794.02128032807</v>
      </c>
      <c r="G85" s="281">
        <f t="shared" si="33"/>
        <v>762523.0419205277</v>
      </c>
    </row>
    <row r="86" spans="2:7" ht="15" hidden="1" customHeight="1" outlineLevel="1">
      <c r="D86" s="281">
        <f t="shared" si="30"/>
        <v>1.8189894035458565E-11</v>
      </c>
      <c r="E86" s="281">
        <f t="shared" si="31"/>
        <v>85195.741887749246</v>
      </c>
      <c r="F86" s="281">
        <f t="shared" si="32"/>
        <v>159184.97982403479</v>
      </c>
      <c r="G86" s="281">
        <f t="shared" si="33"/>
        <v>531821.5290401784</v>
      </c>
    </row>
    <row r="87" spans="2:7" ht="15" hidden="1" customHeight="1" outlineLevel="1">
      <c r="D87" s="281">
        <f t="shared" si="30"/>
        <v>1.8189894035458565E-11</v>
      </c>
      <c r="E87" s="281">
        <f t="shared" si="31"/>
        <v>44995.018301794451</v>
      </c>
      <c r="F87" s="281">
        <f t="shared" si="32"/>
        <v>83879.054114628656</v>
      </c>
      <c r="G87" s="281">
        <f t="shared" si="33"/>
        <v>278393.45156599954</v>
      </c>
    </row>
    <row r="88" spans="2:7" ht="15" hidden="1" customHeight="1" outlineLevel="1">
      <c r="D88" s="281">
        <f t="shared" si="30"/>
        <v>1.8189894035458565E-11</v>
      </c>
      <c r="E88" s="281">
        <f t="shared" si="31"/>
        <v>5.0931703299283981E-11</v>
      </c>
      <c r="F88" s="281">
        <f t="shared" si="32"/>
        <v>0</v>
      </c>
      <c r="G88" s="281">
        <f t="shared" si="33"/>
        <v>0</v>
      </c>
    </row>
    <row r="89" spans="2:7" ht="15" hidden="1" customHeight="1" outlineLevel="1">
      <c r="D89" s="281">
        <f t="shared" si="30"/>
        <v>1.8189894035458565E-11</v>
      </c>
      <c r="E89" s="281">
        <f t="shared" si="31"/>
        <v>5.0931703299283981E-11</v>
      </c>
      <c r="F89" s="281">
        <f t="shared" si="32"/>
        <v>0</v>
      </c>
      <c r="G89" s="281">
        <f t="shared" si="33"/>
        <v>0</v>
      </c>
    </row>
    <row r="90" spans="2:7" ht="15" hidden="1" customHeight="1" outlineLevel="1">
      <c r="D90" s="281">
        <f t="shared" si="30"/>
        <v>1.8189894035458565E-11</v>
      </c>
      <c r="E90" s="281">
        <f t="shared" si="31"/>
        <v>5.0931703299283981E-11</v>
      </c>
      <c r="F90" s="281">
        <f t="shared" si="32"/>
        <v>0</v>
      </c>
      <c r="G90" s="281">
        <f t="shared" si="33"/>
        <v>0</v>
      </c>
    </row>
    <row r="91" spans="2:7" ht="15" hidden="1" customHeight="1" outlineLevel="1">
      <c r="D91" s="281">
        <f t="shared" si="30"/>
        <v>1.8189894035458565E-11</v>
      </c>
      <c r="E91" s="281">
        <f t="shared" si="31"/>
        <v>5.0931703299283981E-11</v>
      </c>
      <c r="F91" s="281">
        <f t="shared" si="32"/>
        <v>0</v>
      </c>
      <c r="G91" s="281">
        <f t="shared" si="33"/>
        <v>0</v>
      </c>
    </row>
    <row r="92" spans="2:7" ht="15" hidden="1" customHeight="1" outlineLevel="1">
      <c r="D92" s="281">
        <f t="shared" si="30"/>
        <v>1.8189894035458565E-11</v>
      </c>
      <c r="E92" s="281">
        <f t="shared" si="31"/>
        <v>5.0931703299283981E-11</v>
      </c>
      <c r="F92" s="281">
        <f t="shared" si="32"/>
        <v>0</v>
      </c>
      <c r="G92" s="281">
        <f t="shared" si="33"/>
        <v>0</v>
      </c>
    </row>
    <row r="93" spans="2:7" ht="15" hidden="1" customHeight="1" outlineLevel="1">
      <c r="B93" s="260"/>
      <c r="C93" s="260"/>
      <c r="D93" s="260"/>
      <c r="E93" s="260"/>
      <c r="F93" s="260"/>
      <c r="G93" s="260"/>
    </row>
    <row r="94" spans="2:7" ht="15" hidden="1" customHeight="1" outlineLevel="1">
      <c r="B94" s="563" t="s">
        <v>37</v>
      </c>
      <c r="C94" s="260"/>
      <c r="D94" s="260"/>
      <c r="E94" s="260"/>
      <c r="F94" s="260"/>
      <c r="G94" s="260"/>
    </row>
    <row r="95" spans="2:7" ht="15" hidden="1" customHeight="1" outlineLevel="1">
      <c r="B95" s="563" t="s">
        <v>38</v>
      </c>
      <c r="C95" s="260"/>
      <c r="D95" s="278">
        <f>D19/12</f>
        <v>1.1250000000000001E-2</v>
      </c>
      <c r="E95" s="278">
        <f>E19/12</f>
        <v>1.1250000000000001E-2</v>
      </c>
      <c r="F95" s="278">
        <f>F19/12</f>
        <v>1.1250000000000001E-2</v>
      </c>
      <c r="G95" s="278">
        <f>G19/12</f>
        <v>1.1250000000000001E-2</v>
      </c>
    </row>
    <row r="96" spans="2:7" ht="15" hidden="1" customHeight="1" outlineLevel="1">
      <c r="B96" s="260"/>
      <c r="C96" s="260"/>
      <c r="D96" s="282"/>
      <c r="E96" s="282"/>
      <c r="F96" s="282"/>
      <c r="G96" s="282"/>
    </row>
    <row r="97" spans="1:7" ht="15" hidden="1" customHeight="1" outlineLevel="1">
      <c r="B97" s="260"/>
      <c r="C97" s="260"/>
      <c r="D97" s="283">
        <f t="shared" ref="D97:G108" si="34">(D77*D$95)</f>
        <v>1462.5000000000002</v>
      </c>
      <c r="E97" s="283">
        <f t="shared" si="34"/>
        <v>3375.0000000000005</v>
      </c>
      <c r="F97" s="283">
        <f t="shared" si="34"/>
        <v>6412.5000000000009</v>
      </c>
      <c r="G97" s="283">
        <f t="shared" si="34"/>
        <v>22500.000000000004</v>
      </c>
    </row>
    <row r="98" spans="1:7" ht="15" hidden="1" customHeight="1" outlineLevel="1">
      <c r="B98" s="260"/>
      <c r="C98" s="260"/>
      <c r="D98" s="283">
        <f t="shared" si="34"/>
        <v>1296.8596348071003</v>
      </c>
      <c r="E98" s="283">
        <f t="shared" si="34"/>
        <v>3210.936743036455</v>
      </c>
      <c r="F98" s="283">
        <f t="shared" si="34"/>
        <v>6091.4576555315525</v>
      </c>
      <c r="G98" s="283">
        <f t="shared" si="34"/>
        <v>21276.035918681988</v>
      </c>
    </row>
    <row r="99" spans="1:7" ht="15" hidden="1" customHeight="1" outlineLevel="1">
      <c r="B99" s="260"/>
      <c r="C99" s="260"/>
      <c r="D99" s="283">
        <f t="shared" si="34"/>
        <v>1105.8086632251448</v>
      </c>
      <c r="E99" s="283">
        <f t="shared" si="34"/>
        <v>3027.3074798978723</v>
      </c>
      <c r="F99" s="283">
        <f t="shared" si="34"/>
        <v>5733.8665638468146</v>
      </c>
      <c r="G99" s="283">
        <f t="shared" si="34"/>
        <v>19931.498294488996</v>
      </c>
    </row>
    <row r="100" spans="1:7" ht="15" hidden="1" customHeight="1" outlineLevel="1">
      <c r="B100" s="260"/>
      <c r="C100" s="260"/>
      <c r="D100" s="283">
        <f t="shared" si="34"/>
        <v>885.44888739452654</v>
      </c>
      <c r="E100" s="283">
        <f t="shared" si="34"/>
        <v>2821.7787898980673</v>
      </c>
      <c r="F100" s="283">
        <f t="shared" si="34"/>
        <v>5335.5658690770961</v>
      </c>
      <c r="G100" s="283">
        <f t="shared" si="34"/>
        <v>18454.509344842827</v>
      </c>
    </row>
    <row r="101" spans="1:7" ht="15" hidden="1" customHeight="1" outlineLevel="1">
      <c r="B101" s="260"/>
      <c r="C101" s="260"/>
      <c r="D101" s="283">
        <f t="shared" si="34"/>
        <v>631.28409355944211</v>
      </c>
      <c r="E101" s="283">
        <f t="shared" si="34"/>
        <v>2591.7389711293322</v>
      </c>
      <c r="F101" s="283">
        <f t="shared" si="34"/>
        <v>4891.921026845107</v>
      </c>
      <c r="G101" s="283">
        <f t="shared" si="34"/>
        <v>16832.021198639952</v>
      </c>
    </row>
    <row r="102" spans="1:7" ht="15" hidden="1" customHeight="1" outlineLevel="1">
      <c r="B102" s="260"/>
      <c r="C102" s="260"/>
      <c r="D102" s="283">
        <f t="shared" si="34"/>
        <v>338.12831146749517</v>
      </c>
      <c r="E102" s="283">
        <f t="shared" si="34"/>
        <v>2334.2648529456242</v>
      </c>
      <c r="F102" s="283">
        <f t="shared" si="34"/>
        <v>4397.7698776666184</v>
      </c>
      <c r="G102" s="283">
        <f t="shared" si="34"/>
        <v>15049.700630026713</v>
      </c>
    </row>
    <row r="103" spans="1:7" ht="15" hidden="1" customHeight="1" outlineLevel="1">
      <c r="B103" s="260"/>
      <c r="C103" s="260"/>
      <c r="D103" s="283">
        <f t="shared" si="34"/>
        <v>2.0463630789890888E-13</v>
      </c>
      <c r="E103" s="283">
        <f t="shared" si="34"/>
        <v>2046.0846505384748</v>
      </c>
      <c r="F103" s="283">
        <f t="shared" si="34"/>
        <v>3847.3625811320348</v>
      </c>
      <c r="G103" s="283">
        <f t="shared" si="34"/>
        <v>13091.802437219447</v>
      </c>
    </row>
    <row r="104" spans="1:7" ht="15" hidden="1" customHeight="1" outlineLevel="1">
      <c r="B104" s="260"/>
      <c r="C104" s="260"/>
      <c r="D104" s="283">
        <f t="shared" si="34"/>
        <v>2.0463630789890888E-13</v>
      </c>
      <c r="E104" s="283">
        <f t="shared" si="34"/>
        <v>1723.536389589889</v>
      </c>
      <c r="F104" s="283">
        <f t="shared" si="34"/>
        <v>3234.2947119544547</v>
      </c>
      <c r="G104" s="283">
        <f t="shared" si="34"/>
        <v>10941.030347785183</v>
      </c>
    </row>
    <row r="105" spans="1:7" ht="15" hidden="1" customHeight="1" outlineLevel="1">
      <c r="B105" s="260"/>
      <c r="C105" s="260"/>
      <c r="D105" s="283">
        <f t="shared" si="34"/>
        <v>2.0463630789890888E-13</v>
      </c>
      <c r="E105" s="283">
        <f t="shared" si="34"/>
        <v>1362.5213726944194</v>
      </c>
      <c r="F105" s="283">
        <f t="shared" si="34"/>
        <v>2551.4327394036909</v>
      </c>
      <c r="G105" s="283">
        <f t="shared" si="34"/>
        <v>8578.3842216059384</v>
      </c>
    </row>
    <row r="106" spans="1:7" ht="15" hidden="1" customHeight="1" outlineLevel="1">
      <c r="B106" s="260"/>
      <c r="C106" s="260"/>
      <c r="D106" s="283">
        <f t="shared" si="34"/>
        <v>2.0463630789890888E-13</v>
      </c>
      <c r="E106" s="283">
        <f t="shared" si="34"/>
        <v>958.45209623717915</v>
      </c>
      <c r="F106" s="283">
        <f t="shared" si="34"/>
        <v>1790.8310230203915</v>
      </c>
      <c r="G106" s="283">
        <f t="shared" si="34"/>
        <v>5982.9922017020081</v>
      </c>
    </row>
    <row r="107" spans="1:7" ht="15" hidden="1" customHeight="1" outlineLevel="1">
      <c r="B107" s="260"/>
      <c r="C107" s="260"/>
      <c r="D107" s="283">
        <f t="shared" si="34"/>
        <v>2.0463630789890888E-13</v>
      </c>
      <c r="E107" s="283">
        <f t="shared" si="34"/>
        <v>506.19395589518763</v>
      </c>
      <c r="F107" s="283">
        <f t="shared" si="34"/>
        <v>943.6393587895725</v>
      </c>
      <c r="G107" s="283">
        <f t="shared" si="34"/>
        <v>3131.9263301174951</v>
      </c>
    </row>
    <row r="108" spans="1:7" ht="15" hidden="1" customHeight="1" outlineLevel="1">
      <c r="B108" s="260"/>
      <c r="C108" s="260"/>
      <c r="D108" s="283">
        <f t="shared" si="34"/>
        <v>2.0463630789890888E-13</v>
      </c>
      <c r="E108" s="283">
        <f t="shared" si="34"/>
        <v>5.7298166211694489E-13</v>
      </c>
      <c r="F108" s="283">
        <f t="shared" si="34"/>
        <v>0</v>
      </c>
      <c r="G108" s="283">
        <f t="shared" si="34"/>
        <v>0</v>
      </c>
    </row>
    <row r="109" spans="1:7" ht="15" hidden="1" customHeight="1" outlineLevel="1">
      <c r="A109" s="260"/>
      <c r="B109" s="260"/>
      <c r="C109" s="260"/>
      <c r="D109" s="260"/>
      <c r="E109" s="260"/>
      <c r="F109" s="260"/>
      <c r="G109" s="260"/>
    </row>
    <row r="110" spans="1:7" collapsed="1">
      <c r="A110" s="260"/>
      <c r="B110" s="563" t="s">
        <v>37</v>
      </c>
      <c r="C110" s="563"/>
      <c r="D110" s="583">
        <f>SUM(D97:D109)</f>
        <v>5720.0295904537097</v>
      </c>
      <c r="E110" s="583">
        <f>SUM(E97:E109)</f>
        <v>23957.815301862505</v>
      </c>
      <c r="F110" s="583">
        <f>SUM(F97:F109)</f>
        <v>45230.641407267343</v>
      </c>
      <c r="G110" s="583">
        <f>SUM(G97:G109)</f>
        <v>155769.90092511053</v>
      </c>
    </row>
    <row r="111" spans="1:7" ht="4" customHeight="1">
      <c r="A111" s="260"/>
      <c r="B111" s="567"/>
      <c r="C111" s="273"/>
      <c r="D111" s="260"/>
      <c r="E111" s="260"/>
      <c r="F111" s="260"/>
      <c r="G111" s="260"/>
    </row>
    <row r="112" spans="1:7">
      <c r="A112" s="260"/>
      <c r="B112" s="567" t="s">
        <v>39</v>
      </c>
      <c r="C112" s="273"/>
      <c r="D112" s="278">
        <f>D4</f>
        <v>0.15340829730399994</v>
      </c>
      <c r="E112" s="278">
        <f>E4</f>
        <v>0.11925891596425461</v>
      </c>
      <c r="F112" s="278">
        <f>F4</f>
        <v>0.11384400795104616</v>
      </c>
      <c r="G112" s="278">
        <f>G4</f>
        <v>9.8510687294957003E-2</v>
      </c>
    </row>
    <row r="113" spans="1:7">
      <c r="A113" s="260"/>
      <c r="B113" s="260" t="s">
        <v>40</v>
      </c>
      <c r="C113" s="273"/>
      <c r="D113" s="284">
        <f>ROUND(D6,0)</f>
        <v>6</v>
      </c>
      <c r="E113" s="284">
        <f>ROUND(E6,0)</f>
        <v>11</v>
      </c>
      <c r="F113" s="284">
        <f>ROUND(F6,0)</f>
        <v>11</v>
      </c>
      <c r="G113" s="284">
        <f>ROUND(G6,0)</f>
        <v>11</v>
      </c>
    </row>
    <row r="114" spans="1:7">
      <c r="A114" s="260"/>
      <c r="B114" s="260" t="s">
        <v>41</v>
      </c>
      <c r="C114" s="260"/>
      <c r="D114" s="285">
        <f>D17+D13</f>
        <v>130000</v>
      </c>
      <c r="E114" s="285">
        <f>E17+E13</f>
        <v>300000</v>
      </c>
      <c r="F114" s="285">
        <f>F17+F13</f>
        <v>570000</v>
      </c>
      <c r="G114" s="285">
        <f>G17+G13</f>
        <v>2000000</v>
      </c>
    </row>
    <row r="115" spans="1:7" hidden="1" outlineLevel="1">
      <c r="A115" s="753" t="s">
        <v>21</v>
      </c>
      <c r="B115" s="566" t="s">
        <v>22</v>
      </c>
      <c r="C115" s="260">
        <v>1</v>
      </c>
      <c r="D115" s="286">
        <f>IFERROR(IPMT(D$112,$C115,D$113,D$114),0)*Assumption_Sheet!$C82</f>
        <v>-19344.159163468914</v>
      </c>
      <c r="E115" s="286">
        <f>IFERROR(IPMT(E$112,$C115,E$113,E$114),0)*Assumption_Sheet!$C82</f>
        <v>-34703.219487090042</v>
      </c>
      <c r="F115" s="286">
        <f>IFERROR(IPMT(F$112,$C115,F$113,F$114),0)*Assumption_Sheet!$C82</f>
        <v>-62942.311442431157</v>
      </c>
      <c r="G115" s="286">
        <f>IFERROR(IPMT(G$112,$C115,G$113,G$114),0)*Assumption_Sheet!$C82</f>
        <v>-191104.53785250746</v>
      </c>
    </row>
    <row r="116" spans="1:7" hidden="1" outlineLevel="1">
      <c r="A116" s="753"/>
      <c r="B116" s="566" t="s">
        <v>23</v>
      </c>
      <c r="C116" s="260">
        <v>2</v>
      </c>
      <c r="D116" s="286">
        <f>IFERROR(IPMT(D$112,$C116,D$113,D$114),0)*Assumption_Sheet!$C83</f>
        <v>-16606.048452268904</v>
      </c>
      <c r="E116" s="286">
        <f>IFERROR(IPMT(E$112,$C116,E$113,E$114),0)*Assumption_Sheet!$C83</f>
        <v>-31962.966926411595</v>
      </c>
      <c r="F116" s="286">
        <f>IFERROR(IPMT(F$112,$C116,F$113,F$114),0)*Assumption_Sheet!$C83</f>
        <v>-57883.646783067816</v>
      </c>
      <c r="G116" s="286">
        <f>IFERROR(IPMT(G$112,$C116,G$113,G$114),0)*Assumption_Sheet!$C83</f>
        <v>-174943.79451436861</v>
      </c>
    </row>
    <row r="117" spans="1:7" hidden="1" outlineLevel="1">
      <c r="A117" s="753"/>
      <c r="B117" s="566" t="s">
        <v>24</v>
      </c>
      <c r="C117" s="260">
        <v>3</v>
      </c>
      <c r="D117" s="286">
        <f>IFERROR(IPMT(D$112,$C117,D$113,D$114),0)*Assumption_Sheet!$C84</f>
        <v>-13416.388618740675</v>
      </c>
      <c r="E117" s="286">
        <f>IFERROR(IPMT(E$112,$C117,E$113,E$114),0)*Assumption_Sheet!$C84</f>
        <v>-28553.160280212403</v>
      </c>
      <c r="F117" s="286">
        <f>IFERROR(IPMT(F$112,$C117,F$113,F$114),0)*Assumption_Sheet!$C84</f>
        <v>-51625.533277297516</v>
      </c>
      <c r="G117" s="286">
        <f>IFERROR(IPMT(G$112,$C117,G$113,G$114),0)*Assumption_Sheet!$C84</f>
        <v>-155285.20786785733</v>
      </c>
    </row>
    <row r="118" spans="1:7" hidden="1" outlineLevel="1">
      <c r="A118" s="753"/>
      <c r="B118" s="566" t="s">
        <v>25</v>
      </c>
      <c r="C118" s="260">
        <v>4</v>
      </c>
      <c r="D118" s="286">
        <f>IFERROR(IPMT(D$112,$C118,D$113,D$114),0)*Assumption_Sheet!$C85</f>
        <v>-9954.8325834865282</v>
      </c>
      <c r="E118" s="286">
        <f>IFERROR(IPMT(E$112,$C118,E$113,E$114),0)*Assumption_Sheet!$C85</f>
        <v>-24662.405633683018</v>
      </c>
      <c r="F118" s="286">
        <f>IFERROR(IPMT(F$112,$C118,F$113,F$114),0)*Assumption_Sheet!$C85</f>
        <v>-44515.604689638691</v>
      </c>
      <c r="G118" s="286">
        <f>IFERROR(IPMT(G$112,$C118,G$113,G$114),0)*Assumption_Sheet!$C85</f>
        <v>-133231.66841578812</v>
      </c>
    </row>
    <row r="119" spans="1:7" hidden="1" outlineLevel="1">
      <c r="A119" s="753"/>
      <c r="B119" s="566" t="s">
        <v>26</v>
      </c>
      <c r="C119" s="260">
        <v>5</v>
      </c>
      <c r="D119" s="286">
        <f>IFERROR(IPMT(D$112,$C119,D$113,D$114),0)*Assumption_Sheet!$C86</f>
        <v>-6493.0429322175332</v>
      </c>
      <c r="E119" s="286">
        <f>IFERROR(IPMT(E$112,$C119,E$113,E$114),0)*Assumption_Sheet!$C86</f>
        <v>-20723.194098294036</v>
      </c>
      <c r="F119" s="286">
        <f>IFERROR(IPMT(F$112,$C119,F$113,F$114),0)*Assumption_Sheet!$C86</f>
        <v>-37339.129813490603</v>
      </c>
      <c r="G119" s="286">
        <f>IFERROR(IPMT(G$112,$C119,G$113,G$114),0)*Assumption_Sheet!$C86</f>
        <v>-111171.68718550768</v>
      </c>
    </row>
    <row r="120" spans="1:7" hidden="1" outlineLevel="1">
      <c r="A120" s="753"/>
      <c r="B120" s="566" t="s">
        <v>27</v>
      </c>
      <c r="C120" s="260">
        <v>6</v>
      </c>
      <c r="D120" s="286">
        <f>IFERROR(IPMT(D$112,$C120,D$113,D$114),0)*Assumption_Sheet!$C87</f>
        <v>-3121.2207802910148</v>
      </c>
      <c r="E120" s="286">
        <f>IFERROR(IPMT(E$112,$C120,E$113,E$114),0)*Assumption_Sheet!$C87</f>
        <v>-16750.782228864722</v>
      </c>
      <c r="F120" s="286">
        <f>IFERROR(IPMT(F$112,$C120,F$113,F$114),0)*Assumption_Sheet!$C87</f>
        <v>-30125.674648223467</v>
      </c>
      <c r="G120" s="286">
        <f>IFERROR(IPMT(G$112,$C120,G$113,G$114),0)*Assumption_Sheet!$C87</f>
        <v>-89208.310482035478</v>
      </c>
    </row>
    <row r="121" spans="1:7" hidden="1" outlineLevel="1">
      <c r="A121" s="753"/>
      <c r="B121" s="566" t="s">
        <v>28</v>
      </c>
      <c r="C121" s="260">
        <v>7</v>
      </c>
      <c r="D121" s="286">
        <f>IFERROR(IPMT(D$112,$C121,D$113,D$114),0)*Assumption_Sheet!$C88</f>
        <v>0</v>
      </c>
      <c r="E121" s="286">
        <f>IFERROR(IPMT(E$112,$C121,E$113,E$114),0)*Assumption_Sheet!$C88</f>
        <v>-13276.376932207271</v>
      </c>
      <c r="F121" s="286">
        <f>IFERROR(IPMT(F$112,$C121,F$113,F$114),0)*Assumption_Sheet!$C88</f>
        <v>-23830.788541930862</v>
      </c>
      <c r="G121" s="286">
        <f>IFERROR(IPMT(G$112,$C121,G$113,G$114),0)*Assumption_Sheet!$C88</f>
        <v>-70169.423963080146</v>
      </c>
    </row>
    <row r="122" spans="1:7" hidden="1" outlineLevel="1">
      <c r="A122" s="753"/>
      <c r="B122" s="566" t="s">
        <v>29</v>
      </c>
      <c r="C122" s="260">
        <v>8</v>
      </c>
      <c r="D122" s="286">
        <f>IFERROR(IPMT(D$112,$C122,D$113,D$114),0)*Assumption_Sheet!$C89</f>
        <v>0</v>
      </c>
      <c r="E122" s="286">
        <f>IFERROR(IPMT(E$112,$C122,E$113,E$114),0)*Assumption_Sheet!$C89</f>
        <v>-10053.521503099986</v>
      </c>
      <c r="F122" s="286">
        <f>IFERROR(IPMT(F$112,$C122,F$113,F$114),0)*Assumption_Sheet!$C89</f>
        <v>-18009.293014141862</v>
      </c>
      <c r="G122" s="286">
        <f>IFERROR(IPMT(G$112,$C122,G$113,G$114),0)*Assumption_Sheet!$C89</f>
        <v>-52716.73060547682</v>
      </c>
    </row>
    <row r="123" spans="1:7" hidden="1" outlineLevel="1">
      <c r="A123" s="753"/>
      <c r="B123" s="566" t="s">
        <v>30</v>
      </c>
      <c r="C123" s="260">
        <v>9</v>
      </c>
      <c r="D123" s="286">
        <f>IFERROR(IPMT(D$112,$C123,D$113,D$114),0)*Assumption_Sheet!$C90</f>
        <v>0</v>
      </c>
      <c r="E123" s="286">
        <f>IFERROR(IPMT(E$112,$C123,E$113,E$114),0)*Assumption_Sheet!$C90</f>
        <v>-7457.456346355264</v>
      </c>
      <c r="F123" s="286">
        <f>IFERROR(IPMT(F$112,$C123,F$113,F$114),0)*Assumption_Sheet!$C90</f>
        <v>-13330.635080007429</v>
      </c>
      <c r="G123" s="286">
        <f>IFERROR(IPMT(G$112,$C123,G$113,G$114),0)*Assumption_Sheet!$C90</f>
        <v>-38783.355603663294</v>
      </c>
    </row>
    <row r="124" spans="1:7" hidden="1" outlineLevel="1">
      <c r="A124" s="753"/>
      <c r="B124" s="566" t="s">
        <v>31</v>
      </c>
      <c r="C124" s="260">
        <v>10</v>
      </c>
      <c r="D124" s="286">
        <f>IFERROR(IPMT(D$112,$C124,D$113,D$114),0)*Assumption_Sheet!$C91</f>
        <v>0</v>
      </c>
      <c r="E124" s="286">
        <f>IFERROR(IPMT(E$112,$C124,E$113,E$114),0)*Assumption_Sheet!$C91</f>
        <v>-4905.2698644189541</v>
      </c>
      <c r="F124" s="286">
        <f>IFERROR(IPMT(F$112,$C124,F$113,F$114),0)*Assumption_Sheet!$C91</f>
        <v>-8749.1612810609495</v>
      </c>
      <c r="G124" s="286">
        <f>IFERROR(IPMT(G$112,$C124,G$113,G$114),0)*Assumption_Sheet!$C91</f>
        <v>-25293.179264548507</v>
      </c>
    </row>
    <row r="125" spans="1:7" hidden="1" outlineLevel="1">
      <c r="A125" s="753" t="s">
        <v>32</v>
      </c>
      <c r="B125" s="566" t="s">
        <v>33</v>
      </c>
      <c r="C125" s="260">
        <v>11</v>
      </c>
      <c r="D125" s="286">
        <f>IFERROR(IPMT(D$112,$C125,D$113,D$114),0)*Assumption_Sheet!$C92</f>
        <v>0</v>
      </c>
      <c r="E125" s="286">
        <f>IFERROR(IPMT(E$112,$C125,E$113,E$114),0)*Assumption_Sheet!$C92</f>
        <v>-2590.6542091689798</v>
      </c>
      <c r="F125" s="286">
        <f>IFERROR(IPMT(F$112,$C125,F$113,F$114),0)*Assumption_Sheet!$C92</f>
        <v>-4610.179762958518</v>
      </c>
      <c r="G125" s="286">
        <f>IFERROR(IPMT(G$112,$C125,G$113,G$114),0)*Assumption_Sheet!$C92</f>
        <v>-13240.260297930245</v>
      </c>
    </row>
    <row r="126" spans="1:7" hidden="1" outlineLevel="1">
      <c r="A126" s="753"/>
      <c r="B126" s="566" t="s">
        <v>34</v>
      </c>
      <c r="C126" s="260">
        <v>12</v>
      </c>
      <c r="D126" s="286">
        <f>IFERROR(IPMT(D$112,$C126,D$113,D$114),0)*Assumption_Sheet!$C93</f>
        <v>0</v>
      </c>
      <c r="E126" s="286">
        <f>IFERROR(IPMT(E$112,$C126,E$113,E$114),0)*Assumption_Sheet!$C93</f>
        <v>0</v>
      </c>
      <c r="F126" s="286">
        <f>IFERROR(IPMT(F$112,$C126,F$113,F$114),0)*Assumption_Sheet!$C93</f>
        <v>0</v>
      </c>
      <c r="G126" s="286">
        <f>IFERROR(IPMT(G$112,$C126,G$113,G$114),0)*Assumption_Sheet!$C93</f>
        <v>0</v>
      </c>
    </row>
    <row r="127" spans="1:7" hidden="1" outlineLevel="1">
      <c r="A127" s="753"/>
      <c r="B127" s="566" t="s">
        <v>22</v>
      </c>
      <c r="C127" s="260">
        <v>13</v>
      </c>
      <c r="D127" s="286">
        <f t="shared" ref="D127:G132" si="35">IFERROR(IPMT(D$112,$C127,D$113,D$114),0)</f>
        <v>0</v>
      </c>
      <c r="E127" s="286">
        <f t="shared" si="35"/>
        <v>0</v>
      </c>
      <c r="F127" s="286">
        <f t="shared" si="35"/>
        <v>0</v>
      </c>
      <c r="G127" s="286">
        <f t="shared" si="35"/>
        <v>0</v>
      </c>
    </row>
    <row r="128" spans="1:7" hidden="1" outlineLevel="1">
      <c r="A128" s="753"/>
      <c r="B128" s="566" t="s">
        <v>23</v>
      </c>
      <c r="C128" s="260">
        <v>14</v>
      </c>
      <c r="D128" s="286">
        <f t="shared" si="35"/>
        <v>0</v>
      </c>
      <c r="E128" s="286">
        <f t="shared" si="35"/>
        <v>0</v>
      </c>
      <c r="F128" s="286">
        <f t="shared" si="35"/>
        <v>0</v>
      </c>
      <c r="G128" s="286">
        <f t="shared" si="35"/>
        <v>0</v>
      </c>
    </row>
    <row r="129" spans="1:7" hidden="1" outlineLevel="1">
      <c r="A129" s="753"/>
      <c r="B129" s="566" t="s">
        <v>24</v>
      </c>
      <c r="C129" s="260">
        <v>15</v>
      </c>
      <c r="D129" s="286">
        <f t="shared" si="35"/>
        <v>0</v>
      </c>
      <c r="E129" s="286">
        <f t="shared" si="35"/>
        <v>0</v>
      </c>
      <c r="F129" s="286">
        <f t="shared" si="35"/>
        <v>0</v>
      </c>
      <c r="G129" s="286">
        <f t="shared" si="35"/>
        <v>0</v>
      </c>
    </row>
    <row r="130" spans="1:7" hidden="1" outlineLevel="1">
      <c r="A130" s="753"/>
      <c r="B130" s="566" t="s">
        <v>25</v>
      </c>
      <c r="C130" s="260">
        <v>16</v>
      </c>
      <c r="D130" s="286">
        <f t="shared" si="35"/>
        <v>0</v>
      </c>
      <c r="E130" s="286">
        <f t="shared" si="35"/>
        <v>0</v>
      </c>
      <c r="F130" s="286">
        <f t="shared" si="35"/>
        <v>0</v>
      </c>
      <c r="G130" s="286">
        <f t="shared" si="35"/>
        <v>0</v>
      </c>
    </row>
    <row r="131" spans="1:7" hidden="1" outlineLevel="1">
      <c r="A131" s="753"/>
      <c r="B131" s="566" t="s">
        <v>26</v>
      </c>
      <c r="C131" s="260">
        <v>17</v>
      </c>
      <c r="D131" s="286">
        <f t="shared" si="35"/>
        <v>0</v>
      </c>
      <c r="E131" s="286">
        <f t="shared" si="35"/>
        <v>0</v>
      </c>
      <c r="F131" s="286">
        <f t="shared" si="35"/>
        <v>0</v>
      </c>
      <c r="G131" s="286">
        <f t="shared" si="35"/>
        <v>0</v>
      </c>
    </row>
    <row r="132" spans="1:7" hidden="1" outlineLevel="1">
      <c r="A132" s="753"/>
      <c r="B132" s="566" t="s">
        <v>27</v>
      </c>
      <c r="C132" s="260">
        <v>18</v>
      </c>
      <c r="D132" s="286">
        <f t="shared" si="35"/>
        <v>0</v>
      </c>
      <c r="E132" s="286">
        <f t="shared" si="35"/>
        <v>0</v>
      </c>
      <c r="F132" s="286">
        <f t="shared" si="35"/>
        <v>0</v>
      </c>
      <c r="G132" s="286">
        <f t="shared" si="35"/>
        <v>0</v>
      </c>
    </row>
    <row r="133" spans="1:7" collapsed="1">
      <c r="A133" s="260"/>
      <c r="B133" s="260"/>
      <c r="C133" s="260"/>
      <c r="D133" s="260"/>
      <c r="E133" s="260"/>
      <c r="F133" s="260"/>
      <c r="G133" s="260"/>
    </row>
    <row r="134" spans="1:7" hidden="1">
      <c r="A134" s="260"/>
      <c r="B134" s="567" t="s">
        <v>42</v>
      </c>
      <c r="C134" s="567"/>
      <c r="D134" s="260"/>
      <c r="E134" s="260"/>
      <c r="F134" s="260"/>
      <c r="G134" s="260"/>
    </row>
    <row r="135" spans="1:7" hidden="1">
      <c r="A135" s="260"/>
      <c r="B135" s="260" t="s">
        <v>43</v>
      </c>
      <c r="C135" s="575">
        <v>6.4500000000000002E-2</v>
      </c>
      <c r="D135" s="575">
        <v>6.4500000000000002E-2</v>
      </c>
      <c r="E135" s="575">
        <v>6.4500000000000002E-2</v>
      </c>
      <c r="F135" s="575">
        <v>6.4500000000000002E-2</v>
      </c>
      <c r="G135" s="575">
        <v>1.0645</v>
      </c>
    </row>
    <row r="136" spans="1:7" hidden="1">
      <c r="A136" s="260"/>
      <c r="B136" s="260" t="s">
        <v>40</v>
      </c>
      <c r="C136" s="576">
        <v>7.9</v>
      </c>
      <c r="D136" s="576">
        <v>7.9</v>
      </c>
      <c r="E136" s="576">
        <v>7.9</v>
      </c>
      <c r="F136" s="576">
        <v>7.9</v>
      </c>
      <c r="G136" s="576">
        <v>8.9</v>
      </c>
    </row>
    <row r="137" spans="1:7" hidden="1">
      <c r="A137" s="260"/>
      <c r="B137" s="260" t="s">
        <v>41</v>
      </c>
      <c r="C137" s="260"/>
      <c r="D137" s="287" t="e">
        <f>#REF!+D18</f>
        <v>#REF!</v>
      </c>
      <c r="E137" s="287" t="e">
        <f>#REF!+E18</f>
        <v>#REF!</v>
      </c>
      <c r="F137" s="287" t="e">
        <f>#REF!+F18</f>
        <v>#REF!</v>
      </c>
      <c r="G137" s="287" t="e">
        <f>#REF!+G18</f>
        <v>#REF!</v>
      </c>
    </row>
    <row r="138" spans="1:7" hidden="1" outlineLevel="1">
      <c r="A138" s="753">
        <v>2016</v>
      </c>
      <c r="B138" s="566" t="s">
        <v>22</v>
      </c>
      <c r="C138" s="260">
        <v>1</v>
      </c>
      <c r="D138" s="286">
        <f>IFERROR(IPMT($D$4,C138,$D$6,$D$11),0)</f>
        <v>-19943.07864951999</v>
      </c>
      <c r="E138" s="286">
        <f>IFERROR(IPMT($E$4,C138,$E$6,$E$11),0)</f>
        <v>-35777.674789276381</v>
      </c>
      <c r="F138" s="286">
        <f>IFERROR(IPMT($F$4,C138,$F$6,$F$11),0)</f>
        <v>-64891.084532096305</v>
      </c>
      <c r="G138" s="286">
        <f>IFERROR(IPMT($G$4,C138,$G$6,$G$11),0)</f>
        <v>-197021.37458991402</v>
      </c>
    </row>
    <row r="139" spans="1:7" hidden="1" outlineLevel="1">
      <c r="A139" s="753"/>
      <c r="B139" s="566" t="s">
        <v>23</v>
      </c>
      <c r="C139" s="260">
        <v>2</v>
      </c>
      <c r="D139" s="286">
        <f t="shared" ref="D139:D161" si="36">IFERROR(IPMT($D$4,C139,$D$6,$D$11),0)</f>
        <v>-17684.358081603947</v>
      </c>
      <c r="E139" s="286">
        <f t="shared" ref="E139:E161" si="37">IFERROR(IPMT($E$4,C139,$E$6,$E$11),0)</f>
        <v>-34038.474240384174</v>
      </c>
      <c r="F139" s="286">
        <f t="shared" ref="F139:F161" si="38">IFERROR(IPMT($F$4,C139,$F$6,$F$11),0)</f>
        <v>-61642.307001759546</v>
      </c>
      <c r="G139" s="286">
        <f t="shared" ref="G139:G161" si="39">IFERROR(IPMT($G$4,C139,$G$6,$G$11),0)</f>
        <v>-186303.7263343604</v>
      </c>
    </row>
    <row r="140" spans="1:7" hidden="1" outlineLevel="1">
      <c r="A140" s="753"/>
      <c r="B140" s="566" t="s">
        <v>24</v>
      </c>
      <c r="C140" s="260">
        <v>3</v>
      </c>
      <c r="D140" s="286">
        <f t="shared" si="36"/>
        <v>-15079.131037278374</v>
      </c>
      <c r="E140" s="286">
        <f t="shared" si="37"/>
        <v>-32091.858519386646</v>
      </c>
      <c r="F140" s="286">
        <f t="shared" si="38"/>
        <v>-58023.675616427929</v>
      </c>
      <c r="G140" s="286">
        <f t="shared" si="39"/>
        <v>-174530.27518296661</v>
      </c>
    </row>
    <row r="141" spans="1:7" hidden="1" outlineLevel="1">
      <c r="A141" s="753"/>
      <c r="B141" s="566" t="s">
        <v>25</v>
      </c>
      <c r="C141" s="260">
        <v>4</v>
      </c>
      <c r="D141" s="286">
        <f t="shared" si="36"/>
        <v>-12074.240547992487</v>
      </c>
      <c r="E141" s="286">
        <f t="shared" si="37"/>
        <v>-29913.091517703961</v>
      </c>
      <c r="F141" s="286">
        <f t="shared" si="38"/>
        <v>-53993.084730892748</v>
      </c>
      <c r="G141" s="286">
        <f t="shared" si="39"/>
        <v>-161597.01326681543</v>
      </c>
    </row>
    <row r="142" spans="1:7" hidden="1" outlineLevel="1">
      <c r="A142" s="753"/>
      <c r="B142" s="566" t="s">
        <v>26</v>
      </c>
      <c r="C142" s="260">
        <v>5</v>
      </c>
      <c r="D142" s="286">
        <f t="shared" si="36"/>
        <v>-8608.374925160264</v>
      </c>
      <c r="E142" s="286">
        <f t="shared" si="37"/>
        <v>-27474.487125261927</v>
      </c>
      <c r="F142" s="286">
        <f t="shared" si="38"/>
        <v>-49503.635224537255</v>
      </c>
      <c r="G142" s="286">
        <f t="shared" si="39"/>
        <v>-147389.6868303385</v>
      </c>
    </row>
    <row r="143" spans="1:7" hidden="1" outlineLevel="1">
      <c r="A143" s="753"/>
      <c r="B143" s="566" t="s">
        <v>27</v>
      </c>
      <c r="C143" s="260">
        <v>6</v>
      </c>
      <c r="D143" s="286">
        <f t="shared" si="36"/>
        <v>-4610.8167584448856</v>
      </c>
      <c r="E143" s="286">
        <f t="shared" si="37"/>
        <v>-24745.05741651158</v>
      </c>
      <c r="F143" s="286">
        <f t="shared" si="38"/>
        <v>-44503.088792884409</v>
      </c>
      <c r="G143" s="286">
        <f t="shared" si="39"/>
        <v>-131782.78690198038</v>
      </c>
    </row>
    <row r="144" spans="1:7" hidden="1" outlineLevel="1">
      <c r="A144" s="753"/>
      <c r="B144" s="566" t="s">
        <v>28</v>
      </c>
      <c r="C144" s="260">
        <v>7</v>
      </c>
      <c r="D144" s="286">
        <f t="shared" si="36"/>
        <v>0</v>
      </c>
      <c r="E144" s="286">
        <f t="shared" si="37"/>
        <v>-21690.118879495036</v>
      </c>
      <c r="F144" s="286">
        <f t="shared" si="38"/>
        <v>-38933.260113506905</v>
      </c>
      <c r="G144" s="286">
        <f t="shared" si="39"/>
        <v>-114638.44053513611</v>
      </c>
    </row>
    <row r="145" spans="1:7" hidden="1" outlineLevel="1">
      <c r="A145" s="753"/>
      <c r="B145" s="566" t="s">
        <v>29</v>
      </c>
      <c r="C145" s="260">
        <v>8</v>
      </c>
      <c r="D145" s="286">
        <f t="shared" si="36"/>
        <v>0</v>
      </c>
      <c r="E145" s="286">
        <f t="shared" si="37"/>
        <v>-18270.851684216468</v>
      </c>
      <c r="F145" s="286">
        <f t="shared" si="38"/>
        <v>-32729.339813668394</v>
      </c>
      <c r="G145" s="286">
        <f t="shared" si="39"/>
        <v>-95805.192824471218</v>
      </c>
    </row>
    <row r="146" spans="1:7" hidden="1" outlineLevel="1">
      <c r="A146" s="753"/>
      <c r="B146" s="566" t="s">
        <v>30</v>
      </c>
      <c r="C146" s="260">
        <v>9</v>
      </c>
      <c r="D146" s="286">
        <f t="shared" si="36"/>
        <v>0</v>
      </c>
      <c r="E146" s="286">
        <f t="shared" si="37"/>
        <v>-14443.806389836847</v>
      </c>
      <c r="F146" s="286">
        <f t="shared" si="38"/>
        <v>-25819.140361887399</v>
      </c>
      <c r="G146" s="286">
        <f t="shared" si="39"/>
        <v>-75116.668937832539</v>
      </c>
    </row>
    <row r="147" spans="1:7" hidden="1" outlineLevel="1">
      <c r="A147" s="753"/>
      <c r="B147" s="566" t="s">
        <v>31</v>
      </c>
      <c r="C147" s="260">
        <v>10</v>
      </c>
      <c r="D147" s="286">
        <f t="shared" si="36"/>
        <v>0</v>
      </c>
      <c r="E147" s="286">
        <f t="shared" si="37"/>
        <v>-10160.351822303408</v>
      </c>
      <c r="F147" s="286">
        <f t="shared" si="38"/>
        <v>-18122.256108774538</v>
      </c>
      <c r="G147" s="286">
        <f t="shared" si="39"/>
        <v>-52390.104344002946</v>
      </c>
    </row>
    <row r="148" spans="1:7" hidden="1" outlineLevel="1">
      <c r="A148" s="753">
        <v>2017</v>
      </c>
      <c r="B148" s="566" t="s">
        <v>33</v>
      </c>
      <c r="C148" s="260">
        <v>11</v>
      </c>
      <c r="D148" s="286">
        <f t="shared" si="36"/>
        <v>0</v>
      </c>
      <c r="E148" s="286">
        <f t="shared" si="37"/>
        <v>-5366.0571064637979</v>
      </c>
      <c r="F148" s="286">
        <f t="shared" si="38"/>
        <v>-9549.1277035520161</v>
      </c>
      <c r="G148" s="286">
        <f t="shared" si="39"/>
        <v>-27424.730252181966</v>
      </c>
    </row>
    <row r="149" spans="1:7" hidden="1" outlineLevel="1">
      <c r="A149" s="753"/>
      <c r="B149" s="566" t="s">
        <v>34</v>
      </c>
      <c r="C149" s="260">
        <v>12</v>
      </c>
      <c r="D149" s="286">
        <f t="shared" si="36"/>
        <v>0</v>
      </c>
      <c r="E149" s="286">
        <f t="shared" si="37"/>
        <v>0</v>
      </c>
      <c r="F149" s="286">
        <f t="shared" si="38"/>
        <v>0</v>
      </c>
      <c r="G149" s="286">
        <f t="shared" si="39"/>
        <v>0</v>
      </c>
    </row>
    <row r="150" spans="1:7" hidden="1" outlineLevel="1">
      <c r="A150" s="753"/>
      <c r="B150" s="566" t="s">
        <v>22</v>
      </c>
      <c r="C150" s="260">
        <v>13</v>
      </c>
      <c r="D150" s="286">
        <f t="shared" si="36"/>
        <v>0</v>
      </c>
      <c r="E150" s="286">
        <f t="shared" si="37"/>
        <v>0</v>
      </c>
      <c r="F150" s="286">
        <f t="shared" si="38"/>
        <v>0</v>
      </c>
      <c r="G150" s="286">
        <f t="shared" si="39"/>
        <v>0</v>
      </c>
    </row>
    <row r="151" spans="1:7" hidden="1" outlineLevel="1">
      <c r="A151" s="753"/>
      <c r="B151" s="566" t="s">
        <v>23</v>
      </c>
      <c r="C151" s="260">
        <v>14</v>
      </c>
      <c r="D151" s="286">
        <f t="shared" si="36"/>
        <v>0</v>
      </c>
      <c r="E151" s="286">
        <f t="shared" si="37"/>
        <v>0</v>
      </c>
      <c r="F151" s="286">
        <f t="shared" si="38"/>
        <v>0</v>
      </c>
      <c r="G151" s="286">
        <f t="shared" si="39"/>
        <v>0</v>
      </c>
    </row>
    <row r="152" spans="1:7" hidden="1" outlineLevel="1">
      <c r="A152" s="753"/>
      <c r="B152" s="566" t="s">
        <v>24</v>
      </c>
      <c r="C152" s="260">
        <v>15</v>
      </c>
      <c r="D152" s="286">
        <f t="shared" si="36"/>
        <v>0</v>
      </c>
      <c r="E152" s="286">
        <f t="shared" si="37"/>
        <v>0</v>
      </c>
      <c r="F152" s="286">
        <f t="shared" si="38"/>
        <v>0</v>
      </c>
      <c r="G152" s="286">
        <f t="shared" si="39"/>
        <v>0</v>
      </c>
    </row>
    <row r="153" spans="1:7" hidden="1" outlineLevel="1">
      <c r="A153" s="753"/>
      <c r="B153" s="566" t="s">
        <v>25</v>
      </c>
      <c r="C153" s="260">
        <v>16</v>
      </c>
      <c r="D153" s="286">
        <f t="shared" si="36"/>
        <v>0</v>
      </c>
      <c r="E153" s="286">
        <f t="shared" si="37"/>
        <v>0</v>
      </c>
      <c r="F153" s="286">
        <f t="shared" si="38"/>
        <v>0</v>
      </c>
      <c r="G153" s="286">
        <f t="shared" si="39"/>
        <v>0</v>
      </c>
    </row>
    <row r="154" spans="1:7" hidden="1" outlineLevel="1">
      <c r="A154" s="753"/>
      <c r="B154" s="566" t="s">
        <v>26</v>
      </c>
      <c r="C154" s="260">
        <v>17</v>
      </c>
      <c r="D154" s="286">
        <f t="shared" si="36"/>
        <v>0</v>
      </c>
      <c r="E154" s="286">
        <f t="shared" si="37"/>
        <v>0</v>
      </c>
      <c r="F154" s="286">
        <f t="shared" si="38"/>
        <v>0</v>
      </c>
      <c r="G154" s="286">
        <f t="shared" si="39"/>
        <v>0</v>
      </c>
    </row>
    <row r="155" spans="1:7" hidden="1" outlineLevel="1">
      <c r="A155" s="753"/>
      <c r="B155" s="566" t="s">
        <v>27</v>
      </c>
      <c r="C155" s="260">
        <v>18</v>
      </c>
      <c r="D155" s="286">
        <f t="shared" si="36"/>
        <v>0</v>
      </c>
      <c r="E155" s="286">
        <f t="shared" si="37"/>
        <v>0</v>
      </c>
      <c r="F155" s="286">
        <f t="shared" si="38"/>
        <v>0</v>
      </c>
      <c r="G155" s="286">
        <f t="shared" si="39"/>
        <v>0</v>
      </c>
    </row>
    <row r="156" spans="1:7" hidden="1" outlineLevel="1">
      <c r="A156" s="637"/>
      <c r="B156" s="566" t="s">
        <v>28</v>
      </c>
      <c r="C156" s="260">
        <v>19</v>
      </c>
      <c r="D156" s="286">
        <f t="shared" si="36"/>
        <v>0</v>
      </c>
      <c r="E156" s="286">
        <f t="shared" si="37"/>
        <v>0</v>
      </c>
      <c r="F156" s="286">
        <f t="shared" si="38"/>
        <v>0</v>
      </c>
      <c r="G156" s="286">
        <f t="shared" si="39"/>
        <v>0</v>
      </c>
    </row>
    <row r="157" spans="1:7" hidden="1" outlineLevel="1">
      <c r="A157" s="637"/>
      <c r="B157" s="566" t="s">
        <v>29</v>
      </c>
      <c r="C157" s="260">
        <v>20</v>
      </c>
      <c r="D157" s="286">
        <f t="shared" si="36"/>
        <v>0</v>
      </c>
      <c r="E157" s="286">
        <f t="shared" si="37"/>
        <v>0</v>
      </c>
      <c r="F157" s="286">
        <f t="shared" si="38"/>
        <v>0</v>
      </c>
      <c r="G157" s="286">
        <f t="shared" si="39"/>
        <v>0</v>
      </c>
    </row>
    <row r="158" spans="1:7" hidden="1" outlineLevel="1">
      <c r="A158" s="637"/>
      <c r="B158" s="566" t="s">
        <v>30</v>
      </c>
      <c r="C158" s="260">
        <v>21</v>
      </c>
      <c r="D158" s="286">
        <f t="shared" si="36"/>
        <v>0</v>
      </c>
      <c r="E158" s="286">
        <f t="shared" si="37"/>
        <v>0</v>
      </c>
      <c r="F158" s="286">
        <f t="shared" si="38"/>
        <v>0</v>
      </c>
      <c r="G158" s="286">
        <f t="shared" si="39"/>
        <v>0</v>
      </c>
    </row>
    <row r="159" spans="1:7" hidden="1" outlineLevel="1">
      <c r="A159" s="637"/>
      <c r="B159" s="566" t="s">
        <v>31</v>
      </c>
      <c r="C159" s="260">
        <v>22</v>
      </c>
      <c r="D159" s="286">
        <f t="shared" si="36"/>
        <v>0</v>
      </c>
      <c r="E159" s="286">
        <f t="shared" si="37"/>
        <v>0</v>
      </c>
      <c r="F159" s="286">
        <f t="shared" si="38"/>
        <v>0</v>
      </c>
      <c r="G159" s="286">
        <f t="shared" si="39"/>
        <v>0</v>
      </c>
    </row>
    <row r="160" spans="1:7" hidden="1" outlineLevel="1">
      <c r="A160" s="637"/>
      <c r="B160" s="566" t="s">
        <v>33</v>
      </c>
      <c r="C160" s="260">
        <v>23</v>
      </c>
      <c r="D160" s="286">
        <f t="shared" si="36"/>
        <v>0</v>
      </c>
      <c r="E160" s="286">
        <f t="shared" si="37"/>
        <v>0</v>
      </c>
      <c r="F160" s="286">
        <f t="shared" si="38"/>
        <v>0</v>
      </c>
      <c r="G160" s="286">
        <f t="shared" si="39"/>
        <v>0</v>
      </c>
    </row>
    <row r="161" spans="1:7" hidden="1" outlineLevel="1">
      <c r="A161" s="637"/>
      <c r="B161" s="566" t="s">
        <v>34</v>
      </c>
      <c r="C161" s="260">
        <v>24</v>
      </c>
      <c r="D161" s="286">
        <f t="shared" si="36"/>
        <v>0</v>
      </c>
      <c r="E161" s="286">
        <f t="shared" si="37"/>
        <v>0</v>
      </c>
      <c r="F161" s="286">
        <f t="shared" si="38"/>
        <v>0</v>
      </c>
      <c r="G161" s="286">
        <f t="shared" si="39"/>
        <v>0</v>
      </c>
    </row>
    <row r="162" spans="1:7" collapsed="1">
      <c r="A162" s="260"/>
      <c r="B162" s="260"/>
      <c r="C162" s="260"/>
      <c r="D162" s="260"/>
      <c r="E162" s="260"/>
      <c r="F162" s="260"/>
      <c r="G162" s="260"/>
    </row>
    <row r="163" spans="1:7">
      <c r="A163" s="260"/>
      <c r="B163" s="288"/>
      <c r="C163" s="288"/>
      <c r="D163" s="288"/>
      <c r="E163" s="288"/>
      <c r="F163" s="288"/>
      <c r="G163" s="288"/>
    </row>
    <row r="164" spans="1:7">
      <c r="A164" s="260"/>
      <c r="B164" s="563" t="s">
        <v>44</v>
      </c>
      <c r="C164" s="260"/>
      <c r="D164" s="260"/>
      <c r="E164" s="260"/>
      <c r="F164" s="260"/>
      <c r="G164" s="260"/>
    </row>
    <row r="165" spans="1:7">
      <c r="A165" s="260"/>
      <c r="B165" s="260" t="s">
        <v>45</v>
      </c>
      <c r="C165" s="260"/>
      <c r="D165" s="277">
        <f>(-PMT(D4,D6,D11,0))*D6-D11</f>
        <v>77999.999999999942</v>
      </c>
      <c r="E165" s="277">
        <f t="shared" ref="E165:G165" si="40">(-PMT(E4,E6,E11,0))*E6-E11</f>
        <v>253971.8294908402</v>
      </c>
      <c r="F165" s="277">
        <f t="shared" si="40"/>
        <v>457709.99999998743</v>
      </c>
      <c r="G165" s="277">
        <f t="shared" si="40"/>
        <v>1364000</v>
      </c>
    </row>
    <row r="166" spans="1:7">
      <c r="A166" s="260"/>
      <c r="B166" s="260" t="s">
        <v>12</v>
      </c>
      <c r="C166" s="260"/>
      <c r="D166" s="277">
        <f>-D8*(D13)</f>
        <v>-26520</v>
      </c>
      <c r="E166" s="277">
        <f>-E8*(E13)</f>
        <v>-72300</v>
      </c>
      <c r="F166" s="277">
        <f>-F8*(F13)</f>
        <v>-76380</v>
      </c>
      <c r="G166" s="277">
        <f>-G8*(G13)</f>
        <v>-226000</v>
      </c>
    </row>
    <row r="167" spans="1:7">
      <c r="A167" s="260"/>
      <c r="B167" s="581" t="s">
        <v>46</v>
      </c>
      <c r="C167" s="581"/>
      <c r="D167" s="578">
        <f>SUM(D165:D166)</f>
        <v>51479.999999999942</v>
      </c>
      <c r="E167" s="578">
        <f>SUM(E165:E166)</f>
        <v>181671.8294908402</v>
      </c>
      <c r="F167" s="578">
        <f>SUM(F165:F166)</f>
        <v>381329.99999998743</v>
      </c>
      <c r="G167" s="578">
        <f>SUM(G165:G166)</f>
        <v>1138000</v>
      </c>
    </row>
    <row r="168" spans="1:7" ht="4" customHeight="1">
      <c r="A168" s="260"/>
      <c r="B168" s="563"/>
      <c r="C168" s="563"/>
      <c r="D168" s="579"/>
      <c r="E168" s="579"/>
      <c r="F168" s="579"/>
      <c r="G168" s="579"/>
    </row>
    <row r="169" spans="1:7">
      <c r="A169" s="260"/>
      <c r="B169" s="563" t="s">
        <v>47</v>
      </c>
      <c r="C169" s="563"/>
      <c r="D169" s="579"/>
      <c r="E169" s="579"/>
      <c r="F169" s="579"/>
      <c r="G169" s="579"/>
    </row>
    <row r="170" spans="1:7">
      <c r="A170" s="260"/>
      <c r="B170" s="260" t="s">
        <v>37</v>
      </c>
      <c r="C170" s="260"/>
      <c r="D170" s="277">
        <f>-D110</f>
        <v>-5720.0295904537097</v>
      </c>
      <c r="E170" s="277">
        <f>-E110</f>
        <v>-23957.815301862505</v>
      </c>
      <c r="F170" s="277">
        <f>-F110</f>
        <v>-45230.641407267343</v>
      </c>
      <c r="G170" s="277">
        <f>-G110</f>
        <v>-155769.90092511053</v>
      </c>
    </row>
    <row r="171" spans="1:7">
      <c r="A171" s="260"/>
      <c r="B171" s="487" t="s">
        <v>408</v>
      </c>
      <c r="C171" s="594">
        <v>50</v>
      </c>
      <c r="D171" s="277">
        <f>-C171*D6</f>
        <v>-300</v>
      </c>
      <c r="E171" s="277">
        <f>-C171*E6</f>
        <v>-550</v>
      </c>
      <c r="F171" s="277">
        <f>-C171*F6</f>
        <v>-550</v>
      </c>
      <c r="G171" s="277">
        <f>-C171*G6</f>
        <v>-550</v>
      </c>
    </row>
    <row r="172" spans="1:7">
      <c r="A172" s="260"/>
      <c r="B172" s="569" t="s">
        <v>48</v>
      </c>
      <c r="C172" s="594">
        <v>10</v>
      </c>
      <c r="D172" s="277">
        <f>-$C172*D10</f>
        <v>-10</v>
      </c>
      <c r="E172" s="277">
        <f>-$C172*E10</f>
        <v>-10</v>
      </c>
      <c r="F172" s="277">
        <f>-$C172*F10</f>
        <v>-10</v>
      </c>
      <c r="G172" s="277">
        <f>-$C172*G10</f>
        <v>-10</v>
      </c>
    </row>
    <row r="173" spans="1:7">
      <c r="A173" s="260"/>
      <c r="B173" s="569" t="s">
        <v>121</v>
      </c>
      <c r="C173" s="575">
        <v>0.01</v>
      </c>
      <c r="D173" s="277">
        <f>(IF(($C173*(-SUM(D50:D73)))&gt;(2000*D6),-2000*D6,($C173*SUM(D50:D73))))*(1-D8)</f>
        <v>-1655.6799999999998</v>
      </c>
      <c r="E173" s="277">
        <f t="shared" ref="E173:G173" si="41">(IF(($C173*(-SUM(E50:E73)))&gt;(2000*E6),-2000*E6,($C173*SUM(E50:E73))))*(1-E8)</f>
        <v>-4204.646185835476</v>
      </c>
      <c r="F173" s="277">
        <f t="shared" si="41"/>
        <v>-8899.9685999998946</v>
      </c>
      <c r="G173" s="277">
        <f t="shared" si="41"/>
        <v>-19514</v>
      </c>
    </row>
    <row r="174" spans="1:7">
      <c r="A174" s="260"/>
      <c r="B174" s="260" t="s">
        <v>49</v>
      </c>
      <c r="C174" s="595">
        <f>(0.35/1000)*1.075</f>
        <v>3.7624999999999996E-4</v>
      </c>
      <c r="D174" s="277">
        <f>-$C174*D13</f>
        <v>-48.912499999999994</v>
      </c>
      <c r="E174" s="277">
        <f>-$C174*E13</f>
        <v>-112.87499999999999</v>
      </c>
      <c r="F174" s="277">
        <f>-$C174*F13</f>
        <v>-214.46249999999998</v>
      </c>
      <c r="G174" s="277">
        <f>-$C174*G13</f>
        <v>-752.49999999999989</v>
      </c>
    </row>
    <row r="175" spans="1:7" ht="4" customHeight="1">
      <c r="A175" s="273"/>
      <c r="B175" s="273"/>
      <c r="C175" s="289"/>
      <c r="D175" s="290"/>
      <c r="E175" s="290"/>
      <c r="F175" s="290"/>
      <c r="G175" s="290"/>
    </row>
    <row r="176" spans="1:7">
      <c r="A176" s="260"/>
      <c r="B176" s="581" t="s">
        <v>50</v>
      </c>
      <c r="C176" s="581"/>
      <c r="D176" s="578">
        <f>SUM(D170:D175)</f>
        <v>-7734.6220904537095</v>
      </c>
      <c r="E176" s="578">
        <f>SUM(E170:E175)</f>
        <v>-28835.336487697983</v>
      </c>
      <c r="F176" s="578">
        <f>SUM(F170:F175)</f>
        <v>-54905.072507267243</v>
      </c>
      <c r="G176" s="578">
        <f>SUM(G170:G175)</f>
        <v>-176596.40092511053</v>
      </c>
    </row>
    <row r="177" spans="1:7" ht="4" customHeight="1">
      <c r="A177" s="260"/>
      <c r="B177" s="260"/>
      <c r="C177" s="260"/>
      <c r="D177" s="291"/>
      <c r="E177" s="291"/>
      <c r="F177" s="291"/>
      <c r="G177" s="291"/>
    </row>
    <row r="178" spans="1:7">
      <c r="A178" s="260"/>
      <c r="B178" s="564" t="s">
        <v>405</v>
      </c>
      <c r="C178" s="260"/>
      <c r="D178" s="291"/>
      <c r="E178" s="291"/>
      <c r="F178" s="291"/>
      <c r="G178" s="291"/>
    </row>
    <row r="179" spans="1:7">
      <c r="B179" s="260" t="s">
        <v>56</v>
      </c>
      <c r="C179" s="575">
        <v>1.0500000000000001E-2</v>
      </c>
      <c r="D179" s="277"/>
      <c r="E179" s="277">
        <f>-$C$179*E11*0.74</f>
        <v>-2331</v>
      </c>
      <c r="F179" s="277">
        <f t="shared" ref="F179:G179" si="42">-$C$179*F11*0.74</f>
        <v>-4428.8999999999996</v>
      </c>
      <c r="G179" s="277">
        <f t="shared" si="42"/>
        <v>-15540</v>
      </c>
    </row>
    <row r="180" spans="1:7">
      <c r="B180" s="260" t="s">
        <v>57</v>
      </c>
      <c r="C180" s="575">
        <f>'Loan 3'!C180</f>
        <v>0</v>
      </c>
      <c r="D180" s="277"/>
      <c r="E180" s="277">
        <f>-$C$180*E11*0.74</f>
        <v>0</v>
      </c>
      <c r="F180" s="277">
        <f t="shared" ref="F180:G180" si="43">-$C$180*F11*0.74</f>
        <v>0</v>
      </c>
      <c r="G180" s="277">
        <f t="shared" si="43"/>
        <v>0</v>
      </c>
    </row>
    <row r="181" spans="1:7">
      <c r="B181" s="260" t="s">
        <v>58</v>
      </c>
      <c r="C181" s="575">
        <f>'Loan 3'!C181</f>
        <v>0</v>
      </c>
      <c r="D181" s="277"/>
      <c r="E181" s="277">
        <f>-$C$181*E11*0.74</f>
        <v>0</v>
      </c>
      <c r="F181" s="277">
        <f t="shared" ref="F181:G181" si="44">-$C$181*F11*0.74</f>
        <v>0</v>
      </c>
      <c r="G181" s="277">
        <f t="shared" si="44"/>
        <v>0</v>
      </c>
    </row>
    <row r="182" spans="1:7">
      <c r="B182" s="563" t="s">
        <v>474</v>
      </c>
      <c r="C182" s="642">
        <v>1.6E-2</v>
      </c>
      <c r="D182" s="641"/>
      <c r="E182" s="641">
        <f>-$C$182*E11*0.26</f>
        <v>-1248</v>
      </c>
      <c r="F182" s="641">
        <f t="shared" ref="F182:G182" si="45">-$C$182*F11*0.26</f>
        <v>-2371.2000000000003</v>
      </c>
      <c r="G182" s="641">
        <f t="shared" si="45"/>
        <v>-8320</v>
      </c>
    </row>
    <row r="183" spans="1:7">
      <c r="B183" s="260"/>
      <c r="C183" s="260"/>
      <c r="D183" s="293">
        <f>SUM(D179:D181)</f>
        <v>0</v>
      </c>
      <c r="E183" s="293">
        <f>SUM(E179:E182)</f>
        <v>-3579</v>
      </c>
      <c r="F183" s="293">
        <f t="shared" ref="F183:G183" si="46">SUM(F179:F182)</f>
        <v>-6800.1</v>
      </c>
      <c r="G183" s="293">
        <f t="shared" si="46"/>
        <v>-23860</v>
      </c>
    </row>
    <row r="184" spans="1:7" ht="4" customHeight="1">
      <c r="B184" s="260"/>
      <c r="C184" s="260"/>
      <c r="D184" s="287"/>
      <c r="E184" s="287"/>
      <c r="F184" s="287"/>
      <c r="G184" s="287"/>
    </row>
    <row r="185" spans="1:7" s="62" customFormat="1">
      <c r="B185" s="581" t="s">
        <v>406</v>
      </c>
      <c r="C185" s="581"/>
      <c r="D185" s="570">
        <f>SUM(D183:D184)</f>
        <v>0</v>
      </c>
      <c r="E185" s="570">
        <f>SUM(E183:E184)</f>
        <v>-3579</v>
      </c>
      <c r="F185" s="570">
        <f>SUM(F183:F184)</f>
        <v>-6800.1</v>
      </c>
      <c r="G185" s="570">
        <f>SUM(G183:G184)</f>
        <v>-23860</v>
      </c>
    </row>
    <row r="186" spans="1:7" ht="4" customHeight="1">
      <c r="B186" s="260"/>
      <c r="C186" s="260"/>
      <c r="D186" s="260"/>
      <c r="E186" s="260"/>
      <c r="F186" s="260"/>
      <c r="G186" s="260"/>
    </row>
    <row r="187" spans="1:7">
      <c r="B187" s="564" t="s">
        <v>65</v>
      </c>
      <c r="C187" s="260"/>
      <c r="D187" s="260"/>
      <c r="E187" s="260"/>
      <c r="F187" s="260"/>
      <c r="G187" s="260"/>
    </row>
    <row r="188" spans="1:7">
      <c r="B188" s="260" t="s">
        <v>68</v>
      </c>
      <c r="C188" s="576">
        <f>Assumption_Sheet!B30</f>
        <v>76.649999999999991</v>
      </c>
      <c r="D188" s="277">
        <f>-$C$188*D$15</f>
        <v>-100.07083333333333</v>
      </c>
      <c r="E188" s="277">
        <f>-$C$188*E$15</f>
        <v>-99.454958677685937</v>
      </c>
      <c r="F188" s="277">
        <f>-$C$188*F$15</f>
        <v>-89.424999999999997</v>
      </c>
      <c r="G188" s="277">
        <f>-$C$188*G$15</f>
        <v>-99.978260869565204</v>
      </c>
    </row>
    <row r="189" spans="1:7">
      <c r="B189" s="581" t="s">
        <v>69</v>
      </c>
      <c r="C189" s="581"/>
      <c r="D189" s="570">
        <f>SUM(D188:D188)</f>
        <v>-100.07083333333333</v>
      </c>
      <c r="E189" s="570">
        <f>SUM(E188:E188)</f>
        <v>-99.454958677685937</v>
      </c>
      <c r="F189" s="570">
        <f>SUM(F188:F188)</f>
        <v>-89.424999999999997</v>
      </c>
      <c r="G189" s="570">
        <f>SUM(G188:G188)</f>
        <v>-99.978260869565204</v>
      </c>
    </row>
    <row r="190" spans="1:7" ht="4" customHeight="1">
      <c r="B190" s="260"/>
      <c r="C190" s="260"/>
      <c r="D190" s="260"/>
      <c r="E190" s="260"/>
      <c r="F190" s="260"/>
      <c r="G190" s="260"/>
    </row>
    <row r="191" spans="1:7">
      <c r="B191" s="564" t="s">
        <v>70</v>
      </c>
      <c r="C191" s="260"/>
      <c r="D191" s="260"/>
      <c r="E191" s="260"/>
      <c r="F191" s="260"/>
      <c r="G191" s="260"/>
    </row>
    <row r="192" spans="1:7">
      <c r="B192" s="564" t="s">
        <v>122</v>
      </c>
      <c r="C192" s="260"/>
      <c r="D192" s="260"/>
      <c r="E192" s="260"/>
      <c r="F192" s="260"/>
      <c r="G192" s="260"/>
    </row>
    <row r="193" spans="2:7">
      <c r="B193" s="630" t="s">
        <v>72</v>
      </c>
      <c r="C193" s="576">
        <f>Assumption_Sheet!C40</f>
        <v>182.5</v>
      </c>
      <c r="D193" s="277">
        <v>0</v>
      </c>
      <c r="E193" s="277">
        <v>0</v>
      </c>
      <c r="F193" s="277">
        <v>0</v>
      </c>
      <c r="G193" s="277">
        <v>0</v>
      </c>
    </row>
    <row r="194" spans="2:7">
      <c r="B194" s="260" t="s">
        <v>73</v>
      </c>
      <c r="C194" s="576">
        <f>Assumption_Sheet!$B$59</f>
        <v>117.80000000000001</v>
      </c>
      <c r="D194" s="277">
        <f>-$C194*D15*0.68</f>
        <v>-104.58022222222223</v>
      </c>
      <c r="E194" s="277">
        <f>-$C194*E15*0.68</f>
        <v>-103.93659504132233</v>
      </c>
      <c r="F194" s="277">
        <f>-$C194*F15*0.68</f>
        <v>-93.454666666666697</v>
      </c>
      <c r="G194" s="277">
        <f>-$C194*G15*0.68</f>
        <v>-104.48347826086959</v>
      </c>
    </row>
    <row r="195" spans="2:7">
      <c r="B195" s="260" t="s">
        <v>74</v>
      </c>
      <c r="C195" s="576">
        <v>0</v>
      </c>
      <c r="D195" s="330">
        <v>0</v>
      </c>
      <c r="E195" s="330">
        <v>0</v>
      </c>
      <c r="F195" s="330">
        <v>0</v>
      </c>
      <c r="G195" s="330">
        <v>0</v>
      </c>
    </row>
    <row r="196" spans="2:7">
      <c r="B196" s="260" t="s">
        <v>75</v>
      </c>
      <c r="C196" s="260"/>
      <c r="D196" s="277">
        <f>-Assumption_Sheet!$C$66*D$15*D14</f>
        <v>-1000.0000000000001</v>
      </c>
      <c r="E196" s="277">
        <f>-Assumption_Sheet!$C$66*E$15*E14</f>
        <v>-1000</v>
      </c>
      <c r="F196" s="277">
        <f>-Assumption_Sheet!$C$66*F$15*F14</f>
        <v>-1000</v>
      </c>
      <c r="G196" s="277">
        <f>-Assumption_Sheet!$C$66*G$15*G14</f>
        <v>-1000</v>
      </c>
    </row>
    <row r="197" spans="2:7">
      <c r="B197" s="260" t="s">
        <v>123</v>
      </c>
      <c r="C197" s="260"/>
      <c r="D197" s="277"/>
      <c r="E197" s="277"/>
      <c r="F197" s="277"/>
      <c r="G197" s="277"/>
    </row>
    <row r="198" spans="2:7">
      <c r="B198" s="260" t="s">
        <v>77</v>
      </c>
      <c r="C198" s="260"/>
      <c r="D198" s="277">
        <v>0</v>
      </c>
      <c r="E198" s="277">
        <v>0</v>
      </c>
      <c r="F198" s="277">
        <v>0</v>
      </c>
      <c r="G198" s="277">
        <v>0</v>
      </c>
    </row>
    <row r="199" spans="2:7" ht="4" customHeight="1">
      <c r="B199" s="260"/>
      <c r="C199" s="260"/>
      <c r="D199" s="276"/>
      <c r="E199" s="276"/>
      <c r="F199" s="276"/>
      <c r="G199" s="276"/>
    </row>
    <row r="200" spans="2:7" s="62" customFormat="1">
      <c r="B200" s="570" t="s">
        <v>78</v>
      </c>
      <c r="C200" s="570"/>
      <c r="D200" s="570">
        <f>SUM(D193:D199)</f>
        <v>-1104.5802222222223</v>
      </c>
      <c r="E200" s="570">
        <f>SUM(E193:E199)</f>
        <v>-1103.9365950413223</v>
      </c>
      <c r="F200" s="570">
        <f>SUM(F193:F199)</f>
        <v>-1093.4546666666668</v>
      </c>
      <c r="G200" s="570">
        <f>SUM(G193:G199)</f>
        <v>-1104.4834782608696</v>
      </c>
    </row>
    <row r="201" spans="2:7" s="62" customFormat="1" ht="4" customHeight="1">
      <c r="B201" s="571"/>
      <c r="C201" s="571"/>
      <c r="D201" s="571"/>
      <c r="E201" s="571"/>
      <c r="F201" s="571"/>
      <c r="G201" s="571"/>
    </row>
    <row r="202" spans="2:7" s="62" customFormat="1">
      <c r="B202" s="570" t="s">
        <v>79</v>
      </c>
      <c r="C202" s="570"/>
      <c r="D202" s="570">
        <f>D185+D200+D176+D189</f>
        <v>-8939.2731460092655</v>
      </c>
      <c r="E202" s="570">
        <f>E185+E200+E176+E189</f>
        <v>-33617.728041416987</v>
      </c>
      <c r="F202" s="570">
        <f>F185+F200+F176+F189</f>
        <v>-62888.052173933916</v>
      </c>
      <c r="G202" s="570">
        <f>G185+G200+G176+G189</f>
        <v>-201660.86266424097</v>
      </c>
    </row>
    <row r="203" spans="2:7" s="62" customFormat="1" ht="4" customHeight="1">
      <c r="B203" s="571"/>
      <c r="C203" s="571"/>
      <c r="D203" s="571"/>
      <c r="E203" s="571"/>
      <c r="F203" s="571"/>
      <c r="G203" s="571"/>
    </row>
    <row r="204" spans="2:7" ht="15" thickBot="1">
      <c r="B204" s="572" t="s">
        <v>80</v>
      </c>
      <c r="C204" s="296"/>
      <c r="D204" s="580">
        <f>D167+D202</f>
        <v>42540.72685399068</v>
      </c>
      <c r="E204" s="580">
        <f>E167+E202</f>
        <v>148054.10144942321</v>
      </c>
      <c r="F204" s="580">
        <f>F167+F202</f>
        <v>318441.94782605348</v>
      </c>
      <c r="G204" s="580">
        <f>G167+G202</f>
        <v>936339.13733575901</v>
      </c>
    </row>
    <row r="205" spans="2:7" s="62" customFormat="1" ht="10" customHeight="1" thickTop="1">
      <c r="B205" s="571"/>
      <c r="C205" s="571"/>
      <c r="D205" s="571"/>
      <c r="E205" s="571"/>
      <c r="F205" s="571"/>
      <c r="G205" s="571"/>
    </row>
    <row r="206" spans="2:7">
      <c r="B206" s="260" t="s">
        <v>124</v>
      </c>
      <c r="C206" s="562">
        <f>-11.1%</f>
        <v>-0.111</v>
      </c>
      <c r="D206" s="277">
        <f>C206*D11</f>
        <v>-14430</v>
      </c>
      <c r="E206" s="277">
        <f>C206*E11</f>
        <v>-33300</v>
      </c>
      <c r="F206" s="277">
        <f>C206*F11</f>
        <v>-63270</v>
      </c>
      <c r="G206" s="277">
        <f>C206*G11</f>
        <v>-222000</v>
      </c>
    </row>
    <row r="207" spans="2:7" ht="10" customHeight="1">
      <c r="B207" s="260"/>
      <c r="C207" s="260"/>
      <c r="D207" s="260"/>
      <c r="E207" s="260"/>
      <c r="F207" s="260"/>
      <c r="G207" s="260"/>
    </row>
    <row r="208" spans="2:7" ht="15" thickBot="1">
      <c r="B208" s="572" t="s">
        <v>82</v>
      </c>
      <c r="C208" s="296"/>
      <c r="D208" s="580">
        <f>D204+D206</f>
        <v>28110.72685399068</v>
      </c>
      <c r="E208" s="580">
        <f>E204+E206</f>
        <v>114754.10144942321</v>
      </c>
      <c r="F208" s="580">
        <f>F204+F206</f>
        <v>255171.94782605348</v>
      </c>
      <c r="G208" s="580">
        <f>G204+G206</f>
        <v>714339.13733575901</v>
      </c>
    </row>
    <row r="209" spans="2:7" ht="15" thickTop="1">
      <c r="B209" s="260"/>
      <c r="C209" s="260"/>
      <c r="D209" s="298"/>
      <c r="E209" s="298"/>
      <c r="F209" s="298"/>
      <c r="G209" s="298"/>
    </row>
    <row r="210" spans="2:7">
      <c r="B210" s="260" t="s">
        <v>125</v>
      </c>
      <c r="C210" s="260"/>
      <c r="D210" s="307">
        <f>IFERROR(D204/D11,0)</f>
        <v>0.3272363604153129</v>
      </c>
      <c r="E210" s="307">
        <f>IFERROR(E204/E11,0)</f>
        <v>0.49351367149807734</v>
      </c>
      <c r="F210" s="307">
        <f>IFERROR(F204/F11,0)</f>
        <v>0.558670083905357</v>
      </c>
      <c r="G210" s="307">
        <f>IFERROR(G204/G11,0)</f>
        <v>0.46816956866787951</v>
      </c>
    </row>
    <row r="211" spans="2:7">
      <c r="B211" s="260"/>
      <c r="C211" s="260"/>
      <c r="D211" s="300">
        <f>IFERROR(D208/D11,0)</f>
        <v>0.21623636041531291</v>
      </c>
      <c r="E211" s="300">
        <f>IFERROR(E208/E11,0)</f>
        <v>0.38251367149807736</v>
      </c>
      <c r="F211" s="300">
        <f>IFERROR(F208/F11,0)</f>
        <v>0.44767008390535701</v>
      </c>
      <c r="G211" s="300">
        <f>IFERROR(G208/G11,0)</f>
        <v>0.35716956866787952</v>
      </c>
    </row>
    <row r="212" spans="2:7">
      <c r="B212" s="260"/>
      <c r="C212" s="260"/>
      <c r="D212" s="301"/>
      <c r="E212" s="301"/>
      <c r="F212" s="301"/>
      <c r="G212" s="301"/>
    </row>
    <row r="213" spans="2:7">
      <c r="B213" s="260"/>
      <c r="C213" s="260"/>
      <c r="D213" s="308"/>
      <c r="E213" s="308"/>
      <c r="F213" s="308"/>
      <c r="G213" s="308"/>
    </row>
    <row r="214" spans="2:7">
      <c r="B214" s="260"/>
      <c r="C214" s="260"/>
      <c r="D214" s="308"/>
      <c r="E214" s="308"/>
      <c r="F214" s="308"/>
      <c r="G214" s="308"/>
    </row>
    <row r="215" spans="2:7">
      <c r="B215" s="564"/>
      <c r="C215" s="260"/>
      <c r="D215" s="301"/>
      <c r="E215" s="301"/>
      <c r="F215" s="301"/>
      <c r="G215" s="301"/>
    </row>
    <row r="216" spans="2:7">
      <c r="B216" s="260"/>
      <c r="C216" s="260"/>
      <c r="D216" s="301"/>
      <c r="E216" s="301"/>
      <c r="F216" s="301"/>
      <c r="G216" s="301"/>
    </row>
    <row r="217" spans="2:7">
      <c r="B217" s="260"/>
      <c r="C217" s="260"/>
      <c r="D217" s="301"/>
      <c r="E217" s="301"/>
      <c r="F217" s="301"/>
      <c r="G217" s="301"/>
    </row>
    <row r="218" spans="2:7">
      <c r="B218" s="260"/>
      <c r="C218" s="260"/>
      <c r="D218" s="301"/>
      <c r="E218" s="301"/>
      <c r="F218" s="301"/>
      <c r="G218" s="301"/>
    </row>
    <row r="219" spans="2:7">
      <c r="B219" s="260"/>
      <c r="C219" s="260"/>
      <c r="D219" s="301"/>
      <c r="E219" s="301"/>
      <c r="F219" s="301"/>
      <c r="G219" s="301"/>
    </row>
    <row r="220" spans="2:7">
      <c r="B220" s="260"/>
      <c r="C220" s="260"/>
      <c r="D220" s="301"/>
      <c r="E220" s="301"/>
      <c r="F220" s="301"/>
      <c r="G220" s="301"/>
    </row>
    <row r="221" spans="2:7">
      <c r="B221" s="260"/>
      <c r="C221" s="260"/>
      <c r="D221" s="301"/>
      <c r="E221" s="301"/>
      <c r="F221" s="301"/>
      <c r="G221" s="301"/>
    </row>
    <row r="222" spans="2:7">
      <c r="B222" s="260"/>
      <c r="C222" s="260"/>
      <c r="D222" s="301"/>
      <c r="E222" s="301"/>
      <c r="F222" s="301"/>
      <c r="G222" s="301"/>
    </row>
    <row r="223" spans="2:7">
      <c r="B223" s="260"/>
      <c r="C223" s="260"/>
      <c r="D223" s="301"/>
      <c r="E223" s="301"/>
      <c r="F223" s="301"/>
      <c r="G223" s="301"/>
    </row>
    <row r="224" spans="2:7">
      <c r="B224" s="260"/>
      <c r="C224" s="260"/>
      <c r="D224" s="301"/>
      <c r="E224" s="301"/>
      <c r="F224" s="301"/>
      <c r="G224" s="301"/>
    </row>
    <row r="238" spans="4:7">
      <c r="D238" s="301"/>
      <c r="E238" s="301"/>
      <c r="F238" s="301"/>
      <c r="G238" s="301"/>
    </row>
    <row r="239" spans="4:7">
      <c r="D239" s="301"/>
      <c r="E239" s="301"/>
      <c r="F239" s="301"/>
      <c r="G239" s="301"/>
    </row>
    <row r="240" spans="4:7">
      <c r="D240" s="301"/>
      <c r="E240" s="301"/>
      <c r="F240" s="301"/>
      <c r="G240" s="301"/>
    </row>
    <row r="241" spans="4:7">
      <c r="D241" s="301"/>
      <c r="E241" s="301"/>
      <c r="F241" s="301"/>
      <c r="G241" s="301"/>
    </row>
    <row r="242" spans="4:7">
      <c r="D242" s="301"/>
      <c r="E242" s="301"/>
      <c r="F242" s="301"/>
      <c r="G242" s="301"/>
    </row>
    <row r="243" spans="4:7">
      <c r="D243" s="301"/>
      <c r="E243" s="301"/>
      <c r="F243" s="301"/>
      <c r="G243" s="301"/>
    </row>
    <row r="244" spans="4:7">
      <c r="D244" s="301"/>
      <c r="E244" s="301"/>
      <c r="F244" s="301"/>
      <c r="G244" s="301"/>
    </row>
    <row r="245" spans="4:7">
      <c r="D245" s="301"/>
      <c r="E245" s="301"/>
      <c r="F245" s="301"/>
      <c r="G245" s="301"/>
    </row>
    <row r="246" spans="4:7">
      <c r="D246" s="301"/>
      <c r="E246" s="301"/>
      <c r="F246" s="301"/>
      <c r="G246" s="301"/>
    </row>
    <row r="247" spans="4:7">
      <c r="D247" s="301"/>
      <c r="E247" s="301"/>
      <c r="F247" s="301"/>
      <c r="G247" s="301"/>
    </row>
    <row r="248" spans="4:7">
      <c r="D248" s="301"/>
      <c r="E248" s="301"/>
      <c r="F248" s="301"/>
      <c r="G248" s="301"/>
    </row>
    <row r="249" spans="4:7">
      <c r="D249" s="301"/>
      <c r="E249" s="301"/>
      <c r="F249" s="301"/>
      <c r="G249" s="301"/>
    </row>
    <row r="250" spans="4:7">
      <c r="D250" s="301"/>
      <c r="E250" s="301"/>
      <c r="F250" s="301"/>
      <c r="G250" s="301"/>
    </row>
    <row r="251" spans="4:7">
      <c r="D251" s="301"/>
      <c r="E251" s="301"/>
      <c r="F251" s="301"/>
      <c r="G251" s="301"/>
    </row>
    <row r="252" spans="4:7">
      <c r="D252" s="301"/>
      <c r="E252" s="301"/>
      <c r="F252" s="301"/>
      <c r="G252" s="301"/>
    </row>
    <row r="253" spans="4:7">
      <c r="D253" s="301"/>
      <c r="E253" s="301"/>
      <c r="F253" s="301"/>
      <c r="G253" s="301"/>
    </row>
    <row r="254" spans="4:7">
      <c r="D254" s="301"/>
      <c r="E254" s="301"/>
      <c r="F254" s="301"/>
      <c r="G254" s="301"/>
    </row>
    <row r="255" spans="4:7">
      <c r="D255" s="301"/>
      <c r="E255" s="301"/>
      <c r="F255" s="301"/>
      <c r="G255" s="301"/>
    </row>
    <row r="256" spans="4:7">
      <c r="D256" s="301"/>
      <c r="E256" s="301"/>
      <c r="F256" s="301"/>
      <c r="G256" s="301"/>
    </row>
    <row r="257" spans="1:7">
      <c r="D257" s="301"/>
      <c r="E257" s="301"/>
      <c r="F257" s="301"/>
      <c r="G257" s="301"/>
    </row>
    <row r="258" spans="1:7">
      <c r="D258" s="301"/>
      <c r="E258" s="301"/>
      <c r="F258" s="301"/>
      <c r="G258" s="301"/>
    </row>
    <row r="259" spans="1:7">
      <c r="D259" s="301"/>
      <c r="E259" s="301"/>
      <c r="F259" s="301"/>
      <c r="G259" s="301"/>
    </row>
    <row r="260" spans="1:7">
      <c r="D260" s="301"/>
      <c r="E260" s="301"/>
      <c r="F260" s="301"/>
      <c r="G260" s="301"/>
    </row>
    <row r="261" spans="1:7">
      <c r="A261" s="260"/>
      <c r="B261" s="260"/>
      <c r="C261" s="260"/>
      <c r="D261" s="301"/>
      <c r="E261" s="301"/>
      <c r="F261" s="301"/>
      <c r="G261" s="301"/>
    </row>
    <row r="262" spans="1:7">
      <c r="A262" s="260"/>
      <c r="B262" s="260"/>
      <c r="C262" s="260"/>
      <c r="D262" s="301"/>
      <c r="E262" s="301"/>
      <c r="F262" s="301"/>
      <c r="G262" s="301"/>
    </row>
    <row r="263" spans="1:7">
      <c r="A263" s="260"/>
      <c r="B263" s="260"/>
      <c r="C263" s="260"/>
      <c r="D263" s="301"/>
      <c r="E263" s="301"/>
      <c r="F263" s="301"/>
      <c r="G263" s="301"/>
    </row>
    <row r="264" spans="1:7">
      <c r="A264" s="260"/>
      <c r="B264" s="260"/>
      <c r="C264" s="260"/>
      <c r="D264" s="301"/>
      <c r="E264" s="301"/>
      <c r="F264" s="301"/>
      <c r="G264" s="301"/>
    </row>
    <row r="265" spans="1:7">
      <c r="A265" s="260"/>
      <c r="B265" s="260"/>
      <c r="C265" s="260"/>
      <c r="D265" s="301"/>
      <c r="E265" s="301"/>
      <c r="F265" s="301"/>
      <c r="G265" s="301"/>
    </row>
    <row r="266" spans="1:7">
      <c r="A266" s="260"/>
      <c r="B266" s="260"/>
      <c r="C266" s="260"/>
      <c r="D266" s="301"/>
      <c r="E266" s="301"/>
      <c r="F266" s="301"/>
      <c r="G266" s="301"/>
    </row>
    <row r="267" spans="1:7">
      <c r="A267" s="260"/>
      <c r="B267" s="260"/>
      <c r="C267" s="260"/>
      <c r="D267" s="301"/>
      <c r="E267" s="301"/>
      <c r="F267" s="301"/>
      <c r="G267" s="301"/>
    </row>
    <row r="268" spans="1:7">
      <c r="A268" s="260"/>
      <c r="B268" s="564" t="s">
        <v>92</v>
      </c>
      <c r="C268" s="260"/>
      <c r="D268" s="301"/>
      <c r="E268" s="301"/>
      <c r="F268" s="301"/>
      <c r="G268" s="301"/>
    </row>
    <row r="269" spans="1:7">
      <c r="A269" s="260"/>
      <c r="B269" s="260"/>
      <c r="C269" s="260"/>
      <c r="D269" s="301"/>
      <c r="E269" s="301"/>
      <c r="F269" s="301"/>
      <c r="G269" s="301"/>
    </row>
    <row r="270" spans="1:7" hidden="1">
      <c r="A270" s="563" t="s">
        <v>93</v>
      </c>
      <c r="B270" s="260"/>
      <c r="C270" s="260"/>
      <c r="D270" s="260"/>
      <c r="E270" s="260"/>
      <c r="F270" s="260"/>
      <c r="G270" s="260"/>
    </row>
    <row r="271" spans="1:7" hidden="1">
      <c r="A271" s="564" t="s">
        <v>94</v>
      </c>
      <c r="B271" s="260"/>
      <c r="C271" s="260"/>
      <c r="D271" s="260"/>
      <c r="E271" s="260"/>
      <c r="F271" s="260"/>
      <c r="G271" s="260"/>
    </row>
    <row r="272" spans="1:7" hidden="1">
      <c r="A272" s="303" t="s">
        <v>95</v>
      </c>
      <c r="B272" s="304">
        <v>0</v>
      </c>
      <c r="C272" s="304">
        <v>0</v>
      </c>
      <c r="D272" s="260"/>
      <c r="E272" s="260"/>
      <c r="F272" s="260"/>
      <c r="G272" s="260"/>
    </row>
    <row r="273" spans="1:7" hidden="1">
      <c r="A273" s="303" t="s">
        <v>95</v>
      </c>
      <c r="B273" s="304">
        <v>250000</v>
      </c>
      <c r="C273" s="304">
        <v>0</v>
      </c>
      <c r="D273" s="260"/>
      <c r="E273" s="260"/>
      <c r="F273" s="260"/>
      <c r="G273" s="260"/>
    </row>
    <row r="274" spans="1:7" hidden="1">
      <c r="A274" s="303"/>
      <c r="B274" s="304">
        <v>500000</v>
      </c>
      <c r="C274" s="304">
        <v>8000</v>
      </c>
      <c r="D274" s="260"/>
      <c r="E274" s="260"/>
      <c r="F274" s="260"/>
      <c r="G274" s="260"/>
    </row>
    <row r="275" spans="1:7" hidden="1">
      <c r="A275" s="303"/>
      <c r="B275" s="304">
        <v>1000000</v>
      </c>
      <c r="C275" s="304">
        <v>24000</v>
      </c>
      <c r="D275" s="260"/>
      <c r="E275" s="260"/>
      <c r="F275" s="260"/>
      <c r="G275" s="260"/>
    </row>
    <row r="276" spans="1:7" hidden="1">
      <c r="A276" s="303"/>
      <c r="B276" s="304">
        <v>2000000</v>
      </c>
      <c r="C276" s="304">
        <f>32000+C275</f>
        <v>56000</v>
      </c>
      <c r="D276" s="260"/>
      <c r="E276" s="260"/>
      <c r="F276" s="260"/>
      <c r="G276" s="260"/>
    </row>
    <row r="277" spans="1:7" hidden="1">
      <c r="A277" s="303"/>
      <c r="B277" s="304">
        <v>3000000</v>
      </c>
      <c r="C277" s="304">
        <f>C276+32000</f>
        <v>88000</v>
      </c>
    </row>
    <row r="278" spans="1:7" hidden="1">
      <c r="A278" s="303"/>
      <c r="B278" s="304">
        <v>4000000</v>
      </c>
      <c r="C278" s="304">
        <f t="shared" ref="C278:C284" si="47">C277+32000</f>
        <v>120000</v>
      </c>
    </row>
    <row r="279" spans="1:7" hidden="1">
      <c r="A279" s="303"/>
      <c r="B279" s="304">
        <v>5000000</v>
      </c>
      <c r="C279" s="304">
        <f t="shared" si="47"/>
        <v>152000</v>
      </c>
    </row>
    <row r="280" spans="1:7" hidden="1">
      <c r="A280" s="303"/>
      <c r="B280" s="304">
        <f>B279+1000000</f>
        <v>6000000</v>
      </c>
      <c r="C280" s="304">
        <f t="shared" si="47"/>
        <v>184000</v>
      </c>
    </row>
    <row r="281" spans="1:7" hidden="1">
      <c r="A281" s="303"/>
      <c r="B281" s="304">
        <f>B280+1000000</f>
        <v>7000000</v>
      </c>
      <c r="C281" s="304">
        <f t="shared" si="47"/>
        <v>216000</v>
      </c>
    </row>
    <row r="282" spans="1:7" hidden="1">
      <c r="A282" s="303"/>
      <c r="B282" s="304">
        <f>B281+1000000</f>
        <v>8000000</v>
      </c>
      <c r="C282" s="304">
        <f t="shared" si="47"/>
        <v>248000</v>
      </c>
    </row>
    <row r="283" spans="1:7" hidden="1">
      <c r="A283" s="303"/>
      <c r="B283" s="304">
        <f>B282+1000000</f>
        <v>9000000</v>
      </c>
      <c r="C283" s="304">
        <f t="shared" si="47"/>
        <v>280000</v>
      </c>
    </row>
    <row r="284" spans="1:7" hidden="1">
      <c r="A284" s="305"/>
      <c r="B284" s="306">
        <f>B283+1000000</f>
        <v>10000000</v>
      </c>
      <c r="C284" s="306">
        <f t="shared" si="47"/>
        <v>312000</v>
      </c>
    </row>
    <row r="285" spans="1:7" hidden="1">
      <c r="A285" s="303"/>
      <c r="B285" s="304">
        <v>0</v>
      </c>
      <c r="C285" s="304">
        <v>0</v>
      </c>
    </row>
    <row r="286" spans="1:7" hidden="1">
      <c r="A286" s="303" t="s">
        <v>96</v>
      </c>
      <c r="B286" s="304">
        <v>250000</v>
      </c>
      <c r="C286" s="304">
        <v>0</v>
      </c>
    </row>
    <row r="287" spans="1:7" hidden="1">
      <c r="A287" s="303"/>
      <c r="B287" s="304">
        <v>500000</v>
      </c>
      <c r="C287" s="304">
        <v>2000</v>
      </c>
    </row>
    <row r="288" spans="1:7" hidden="1">
      <c r="A288" s="260"/>
      <c r="B288" s="276">
        <v>1000000</v>
      </c>
      <c r="C288" s="276">
        <v>6000</v>
      </c>
    </row>
    <row r="289" spans="1:3" hidden="1">
      <c r="A289" s="260"/>
      <c r="B289" s="276">
        <v>2000000</v>
      </c>
      <c r="C289" s="276">
        <f>8000+C288</f>
        <v>14000</v>
      </c>
    </row>
    <row r="290" spans="1:3" hidden="1">
      <c r="A290" s="260"/>
      <c r="B290" s="276">
        <v>3000000</v>
      </c>
      <c r="C290" s="287">
        <f>8000+C289</f>
        <v>22000</v>
      </c>
    </row>
    <row r="291" spans="1:3" hidden="1">
      <c r="A291" s="260"/>
      <c r="B291" s="276">
        <v>4000000</v>
      </c>
      <c r="C291" s="287">
        <f t="shared" ref="C291:C297" si="48">8000+C290</f>
        <v>30000</v>
      </c>
    </row>
    <row r="292" spans="1:3" hidden="1">
      <c r="A292" s="260"/>
      <c r="B292" s="276">
        <v>5000000</v>
      </c>
      <c r="C292" s="287">
        <f t="shared" si="48"/>
        <v>38000</v>
      </c>
    </row>
    <row r="293" spans="1:3" hidden="1">
      <c r="B293" s="287">
        <f>B292+1000000</f>
        <v>6000000</v>
      </c>
      <c r="C293" s="287">
        <f t="shared" si="48"/>
        <v>46000</v>
      </c>
    </row>
    <row r="294" spans="1:3" hidden="1">
      <c r="B294" s="287">
        <f>B293+1000000</f>
        <v>7000000</v>
      </c>
      <c r="C294" s="287">
        <f t="shared" si="48"/>
        <v>54000</v>
      </c>
    </row>
    <row r="295" spans="1:3" hidden="1">
      <c r="B295" s="287">
        <f>B294+1000000</f>
        <v>8000000</v>
      </c>
      <c r="C295" s="287">
        <f t="shared" si="48"/>
        <v>62000</v>
      </c>
    </row>
    <row r="296" spans="1:3" hidden="1">
      <c r="B296" s="287">
        <f>B295+1000000</f>
        <v>9000000</v>
      </c>
      <c r="C296" s="287">
        <f t="shared" si="48"/>
        <v>70000</v>
      </c>
    </row>
    <row r="297" spans="1:3" hidden="1">
      <c r="B297" s="287">
        <f>B296+1000000</f>
        <v>10000000</v>
      </c>
      <c r="C297" s="287">
        <f t="shared" si="48"/>
        <v>78000</v>
      </c>
    </row>
    <row r="298" spans="1:3" hidden="1">
      <c r="B298" s="287"/>
      <c r="C298" s="287"/>
    </row>
    <row r="299" spans="1:3" hidden="1">
      <c r="B299" s="260"/>
      <c r="C299" s="260"/>
    </row>
    <row r="300" spans="1:3" hidden="1">
      <c r="B300" s="260"/>
      <c r="C300" s="260"/>
    </row>
    <row r="301" spans="1:3" hidden="1">
      <c r="B301" s="260"/>
      <c r="C301" s="260"/>
    </row>
    <row r="302" spans="1:3" hidden="1">
      <c r="B302" s="260"/>
      <c r="C302" s="260"/>
    </row>
    <row r="303" spans="1:3" hidden="1">
      <c r="B303" s="260"/>
      <c r="C303" s="260"/>
    </row>
    <row r="304" spans="1:3" hidden="1">
      <c r="B304" s="564" t="s">
        <v>97</v>
      </c>
      <c r="C304" s="260"/>
    </row>
    <row r="305" spans="2:3" hidden="1">
      <c r="B305" s="260" t="s">
        <v>98</v>
      </c>
      <c r="C305" s="260"/>
    </row>
    <row r="306" spans="2:3" hidden="1">
      <c r="B306" s="260" t="s">
        <v>99</v>
      </c>
      <c r="C306" s="260"/>
    </row>
    <row r="307" spans="2:3" hidden="1">
      <c r="B307" s="260" t="s">
        <v>100</v>
      </c>
      <c r="C307" s="260"/>
    </row>
    <row r="308" spans="2:3" hidden="1">
      <c r="B308" s="260" t="s">
        <v>101</v>
      </c>
      <c r="C308" s="276">
        <v>35000</v>
      </c>
    </row>
    <row r="309" spans="2:3" hidden="1">
      <c r="B309" s="260"/>
    </row>
    <row r="310" spans="2:3" hidden="1">
      <c r="B310" s="260"/>
    </row>
    <row r="311" spans="2:3" hidden="1">
      <c r="B311" s="564" t="s">
        <v>102</v>
      </c>
    </row>
    <row r="312" spans="2:3" hidden="1">
      <c r="B312" s="260" t="s">
        <v>67</v>
      </c>
    </row>
    <row r="313" spans="2:3" hidden="1">
      <c r="B313" s="260" t="s">
        <v>68</v>
      </c>
    </row>
    <row r="314" spans="2:3" hidden="1">
      <c r="B314" s="260" t="s">
        <v>103</v>
      </c>
    </row>
    <row r="315" spans="2:3" hidden="1">
      <c r="B315" s="260"/>
    </row>
    <row r="316" spans="2:3" hidden="1">
      <c r="B316" s="260"/>
    </row>
    <row r="317" spans="2:3" hidden="1">
      <c r="B317" s="260"/>
    </row>
    <row r="318" spans="2:3">
      <c r="B318" s="260"/>
    </row>
    <row r="319" spans="2:3">
      <c r="B319" s="260" t="s">
        <v>104</v>
      </c>
    </row>
    <row r="321" spans="2:3">
      <c r="B321" s="260" t="s">
        <v>105</v>
      </c>
    </row>
    <row r="323" spans="2:3">
      <c r="B323" s="260" t="s">
        <v>106</v>
      </c>
    </row>
    <row r="325" spans="2:3">
      <c r="B325" s="260" t="s">
        <v>107</v>
      </c>
      <c r="C325" s="276">
        <v>5168.7251661157843</v>
      </c>
    </row>
    <row r="326" spans="2:3">
      <c r="B326" s="260"/>
      <c r="C326" s="276">
        <v>1926137650.6707556</v>
      </c>
    </row>
    <row r="327" spans="2:3">
      <c r="B327" s="260" t="s">
        <v>108</v>
      </c>
      <c r="C327" s="260"/>
    </row>
    <row r="328" spans="2:3">
      <c r="B328" s="260" t="s">
        <v>109</v>
      </c>
      <c r="C328" s="260"/>
    </row>
    <row r="329" spans="2:3">
      <c r="B329" s="260" t="s">
        <v>110</v>
      </c>
      <c r="C329" s="260"/>
    </row>
    <row r="331" spans="2:3">
      <c r="B331" s="573" t="s">
        <v>111</v>
      </c>
      <c r="C331" s="575"/>
    </row>
    <row r="332" spans="2:3">
      <c r="B332" s="260"/>
      <c r="C332" s="576"/>
    </row>
    <row r="336" spans="2:3">
      <c r="B336" s="260" t="s">
        <v>112</v>
      </c>
      <c r="C336" s="260"/>
    </row>
    <row r="337" spans="2:3">
      <c r="B337" s="260" t="s">
        <v>113</v>
      </c>
      <c r="C337" s="260"/>
    </row>
  </sheetData>
  <mergeCells count="8">
    <mergeCell ref="A138:A147"/>
    <mergeCell ref="A148:A155"/>
    <mergeCell ref="A22:A31"/>
    <mergeCell ref="A32:A39"/>
    <mergeCell ref="A50:A59"/>
    <mergeCell ref="A60:A67"/>
    <mergeCell ref="A115:A124"/>
    <mergeCell ref="A125:A132"/>
  </mergeCells>
  <phoneticPr fontId="110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12E1-FB03-48DB-A8DA-BA1BEA466826}">
  <sheetPr codeName="Sheet12"/>
  <dimension ref="A1:P600"/>
  <sheetViews>
    <sheetView showGridLines="0" topLeftCell="A219" zoomScale="62" zoomScaleNormal="62" workbookViewId="0">
      <selection activeCell="E203" sqref="E203"/>
    </sheetView>
  </sheetViews>
  <sheetFormatPr defaultColWidth="8.58203125" defaultRowHeight="14.5"/>
  <cols>
    <col min="1" max="1" width="47.83203125" style="60" customWidth="1"/>
    <col min="2" max="2" width="16.33203125" style="60" bestFit="1" customWidth="1"/>
    <col min="3" max="3" width="22.6640625" style="60" bestFit="1" customWidth="1"/>
    <col min="4" max="4" width="34.08203125" style="60" bestFit="1" customWidth="1"/>
    <col min="5" max="5" width="16.08203125" style="60" customWidth="1"/>
    <col min="6" max="6" width="32.08203125" style="60" bestFit="1" customWidth="1"/>
    <col min="7" max="7" width="17" style="60" bestFit="1" customWidth="1"/>
    <col min="8" max="8" width="13.33203125" style="60" bestFit="1" customWidth="1"/>
    <col min="9" max="9" width="34.08203125" style="119" bestFit="1" customWidth="1"/>
    <col min="10" max="10" width="14.75" style="60" bestFit="1" customWidth="1"/>
    <col min="11" max="11" width="19" style="60" bestFit="1" customWidth="1"/>
    <col min="12" max="12" width="14.58203125" style="60" customWidth="1"/>
    <col min="13" max="13" width="14" style="60" customWidth="1"/>
    <col min="14" max="14" width="15.25" style="60" bestFit="1" customWidth="1"/>
    <col min="15" max="15" width="15.08203125" style="60" customWidth="1"/>
    <col min="16" max="16" width="13.33203125" style="60" bestFit="1" customWidth="1"/>
    <col min="17" max="16384" width="8.58203125" style="60"/>
  </cols>
  <sheetData>
    <row r="1" spans="1:16">
      <c r="F1" s="489">
        <f>(145939-8353)/8353</f>
        <v>16.471447384173352</v>
      </c>
      <c r="I1" s="158"/>
    </row>
    <row r="2" spans="1:16">
      <c r="A2" s="260"/>
      <c r="B2" s="260"/>
      <c r="C2" s="260"/>
      <c r="D2" s="119"/>
      <c r="E2" s="260"/>
      <c r="F2" s="490">
        <f>F1+100%</f>
        <v>17.471447384173352</v>
      </c>
      <c r="G2" s="260"/>
      <c r="H2" s="260"/>
      <c r="I2" s="260"/>
      <c r="J2" s="260"/>
      <c r="K2" s="260"/>
    </row>
    <row r="3" spans="1:16">
      <c r="A3" s="260" t="s">
        <v>133</v>
      </c>
      <c r="B3" s="331">
        <v>8353</v>
      </c>
      <c r="C3" s="260"/>
      <c r="D3" s="119" t="s">
        <v>389</v>
      </c>
      <c r="E3" s="287">
        <v>145939</v>
      </c>
      <c r="F3" s="280"/>
      <c r="G3" s="276"/>
      <c r="H3" s="260"/>
      <c r="I3" s="260"/>
      <c r="J3" s="260"/>
      <c r="K3" s="260"/>
    </row>
    <row r="4" spans="1:16">
      <c r="A4" s="487" t="s">
        <v>391</v>
      </c>
      <c r="B4" s="331">
        <f>55*3</f>
        <v>165</v>
      </c>
      <c r="C4" s="260"/>
      <c r="D4" s="119" t="s">
        <v>392</v>
      </c>
      <c r="E4" s="276">
        <f>9217*3</f>
        <v>27651</v>
      </c>
      <c r="F4" s="260"/>
      <c r="G4" s="276"/>
      <c r="H4" s="276"/>
      <c r="I4" s="260"/>
      <c r="J4" s="260"/>
      <c r="K4" s="260"/>
    </row>
    <row r="5" spans="1:16">
      <c r="A5" s="260" t="s">
        <v>134</v>
      </c>
      <c r="B5" s="331">
        <f>1500*3</f>
        <v>4500</v>
      </c>
      <c r="C5" s="260"/>
      <c r="D5" s="119" t="s">
        <v>393</v>
      </c>
      <c r="E5" s="287">
        <f>B5*F2</f>
        <v>78621.513228780081</v>
      </c>
      <c r="F5" s="280"/>
      <c r="G5" s="276"/>
      <c r="H5" s="276"/>
      <c r="I5" s="260"/>
      <c r="J5" s="260"/>
      <c r="K5" s="260"/>
    </row>
    <row r="6" spans="1:16">
      <c r="A6" s="260" t="s">
        <v>135</v>
      </c>
      <c r="B6" s="331">
        <v>8400</v>
      </c>
      <c r="C6" s="260"/>
      <c r="D6" s="119" t="s">
        <v>135</v>
      </c>
      <c r="E6" s="287">
        <f>B6*F2</f>
        <v>146760.15802705617</v>
      </c>
      <c r="F6" s="260"/>
      <c r="G6" s="276"/>
      <c r="H6" s="260"/>
      <c r="I6" s="260"/>
      <c r="J6" s="260"/>
      <c r="K6" s="260"/>
    </row>
    <row r="7" spans="1:16">
      <c r="A7" s="2" t="s">
        <v>136</v>
      </c>
      <c r="B7" s="247">
        <f>SUM(B3:B6)</f>
        <v>21418</v>
      </c>
      <c r="C7" s="487"/>
      <c r="D7" s="486" t="s">
        <v>394</v>
      </c>
      <c r="E7" s="491">
        <f>SUM(E3:E6)</f>
        <v>398971.67125583626</v>
      </c>
      <c r="F7" s="260"/>
      <c r="G7" s="276"/>
      <c r="H7" s="260"/>
      <c r="I7" s="260"/>
      <c r="J7" s="260"/>
      <c r="K7" s="260"/>
    </row>
    <row r="8" spans="1:16">
      <c r="A8" s="487" t="s">
        <v>390</v>
      </c>
      <c r="B8" s="287">
        <f>((B4/3)*2)+B5+B6</f>
        <v>13010</v>
      </c>
      <c r="C8" s="260"/>
      <c r="D8" s="119" t="s">
        <v>395</v>
      </c>
      <c r="E8" s="287">
        <f>((E4/3)*2)+E5+E6</f>
        <v>243815.67125583626</v>
      </c>
      <c r="F8" s="276"/>
      <c r="G8" s="260"/>
      <c r="H8" s="260"/>
      <c r="I8" s="260"/>
      <c r="J8" s="260"/>
      <c r="K8" s="260"/>
    </row>
    <row r="9" spans="1:16">
      <c r="A9" s="487" t="s">
        <v>396</v>
      </c>
      <c r="B9" s="287">
        <f>B8/8</f>
        <v>1626.25</v>
      </c>
      <c r="C9" s="260"/>
      <c r="D9" s="119" t="s">
        <v>397</v>
      </c>
      <c r="E9" s="287">
        <f>E8/8</f>
        <v>30476.958906979533</v>
      </c>
      <c r="F9" s="260"/>
      <c r="G9" s="260"/>
      <c r="H9" s="260"/>
      <c r="I9" s="260"/>
      <c r="J9" s="260"/>
      <c r="K9" s="260"/>
    </row>
    <row r="10" spans="1:16">
      <c r="A10" s="487"/>
      <c r="B10" s="287"/>
      <c r="C10" s="260"/>
      <c r="D10" s="119"/>
      <c r="E10" s="287"/>
      <c r="F10" s="260"/>
      <c r="G10" s="260"/>
      <c r="H10" s="260"/>
      <c r="I10" s="260"/>
      <c r="J10" s="260"/>
      <c r="K10" s="260"/>
    </row>
    <row r="11" spans="1:16">
      <c r="A11" s="260"/>
      <c r="B11" s="485"/>
      <c r="C11" s="276"/>
      <c r="D11" s="276"/>
      <c r="E11" s="287"/>
      <c r="F11" s="260"/>
      <c r="G11" s="260"/>
      <c r="H11" s="260"/>
      <c r="J11" s="260"/>
      <c r="K11" s="260"/>
      <c r="L11" s="260"/>
      <c r="M11" s="260"/>
      <c r="N11" s="260"/>
      <c r="O11" s="260"/>
      <c r="P11" s="260"/>
    </row>
    <row r="12" spans="1:16">
      <c r="A12" s="475" t="s">
        <v>384</v>
      </c>
      <c r="B12" s="29">
        <v>38233</v>
      </c>
      <c r="C12" s="488"/>
      <c r="E12" s="260"/>
      <c r="F12" s="260"/>
      <c r="G12" s="260"/>
      <c r="H12" s="260"/>
      <c r="J12" s="260"/>
      <c r="K12" s="260"/>
      <c r="L12" s="260"/>
      <c r="M12" s="260"/>
      <c r="N12" s="260"/>
      <c r="O12" s="260"/>
      <c r="P12" s="260"/>
    </row>
    <row r="13" spans="1:16">
      <c r="A13" s="119" t="s">
        <v>398</v>
      </c>
      <c r="B13" s="493">
        <f>B9</f>
        <v>1626.25</v>
      </c>
      <c r="C13" s="287">
        <f>B8</f>
        <v>13010</v>
      </c>
      <c r="D13" s="287"/>
      <c r="E13" s="287"/>
      <c r="F13" s="260"/>
      <c r="G13" s="260"/>
      <c r="H13" s="260"/>
      <c r="J13" s="260"/>
      <c r="K13" s="260"/>
      <c r="L13" s="260"/>
      <c r="M13" s="260"/>
      <c r="N13" s="260"/>
      <c r="O13" s="260"/>
      <c r="P13" s="260"/>
    </row>
    <row r="14" spans="1:16">
      <c r="A14" s="486" t="s">
        <v>385</v>
      </c>
      <c r="B14" s="494">
        <f>B12+B13</f>
        <v>39859.25</v>
      </c>
      <c r="C14" s="280"/>
      <c r="D14" s="287"/>
      <c r="E14" s="287"/>
      <c r="F14" s="260"/>
      <c r="G14" s="260"/>
      <c r="H14" s="260"/>
      <c r="J14" s="260"/>
      <c r="K14" s="260"/>
      <c r="L14" s="260"/>
      <c r="M14" s="260"/>
      <c r="N14" s="260"/>
      <c r="O14" s="260"/>
      <c r="P14" s="260"/>
    </row>
    <row r="15" spans="1:16">
      <c r="A15" s="119" t="s">
        <v>399</v>
      </c>
      <c r="B15" s="492">
        <f>E9</f>
        <v>30476.958906979533</v>
      </c>
      <c r="C15" s="101">
        <f>E8</f>
        <v>243815.67125583626</v>
      </c>
      <c r="D15" s="287"/>
      <c r="E15" s="260"/>
      <c r="F15" s="260"/>
      <c r="G15" s="260"/>
      <c r="H15" s="260"/>
      <c r="I15" s="1"/>
      <c r="J15"/>
      <c r="K15"/>
      <c r="L15"/>
      <c r="M15" s="260"/>
      <c r="N15" s="260"/>
      <c r="O15" s="260"/>
      <c r="P15" s="260"/>
    </row>
    <row r="16" spans="1:16">
      <c r="A16" s="260"/>
      <c r="B16" s="260"/>
      <c r="C16" s="276"/>
      <c r="D16" s="276"/>
      <c r="E16" s="276"/>
      <c r="F16" s="276"/>
      <c r="G16" s="332"/>
      <c r="H16" s="332"/>
      <c r="I16" s="1"/>
      <c r="J16"/>
      <c r="K16"/>
      <c r="L16"/>
      <c r="M16" s="260"/>
      <c r="N16" s="260"/>
      <c r="O16" s="260"/>
      <c r="P16" s="260"/>
    </row>
    <row r="17" spans="1:15">
      <c r="A17" s="260"/>
      <c r="B17" s="260"/>
      <c r="C17" s="33"/>
      <c r="D17" s="33"/>
      <c r="E17" s="33"/>
      <c r="F17" s="33"/>
      <c r="G17" s="260"/>
      <c r="H17" s="260"/>
      <c r="I17" s="1"/>
      <c r="J17"/>
      <c r="K17"/>
      <c r="L17"/>
      <c r="M17" s="260"/>
      <c r="N17" s="260"/>
      <c r="O17" s="260"/>
    </row>
    <row r="18" spans="1:15" ht="15" hidden="1" thickBot="1">
      <c r="A18" s="86" t="s">
        <v>141</v>
      </c>
      <c r="B18" s="334"/>
      <c r="C18" s="334"/>
      <c r="D18" s="334"/>
      <c r="E18" s="334"/>
      <c r="F18" s="334"/>
      <c r="G18" s="334"/>
      <c r="H18" s="334"/>
      <c r="I18" s="120"/>
    </row>
    <row r="19" spans="1:15" hidden="1">
      <c r="A19" s="487" t="s">
        <v>142</v>
      </c>
      <c r="B19" s="225">
        <v>25000</v>
      </c>
      <c r="C19" s="78"/>
      <c r="D19" s="260"/>
      <c r="E19" s="260"/>
      <c r="F19" s="260"/>
      <c r="G19" s="260"/>
      <c r="H19" s="260"/>
    </row>
    <row r="20" spans="1:15" hidden="1">
      <c r="A20" s="109" t="s">
        <v>138</v>
      </c>
      <c r="B20" s="260"/>
      <c r="C20" s="260"/>
      <c r="D20" s="260"/>
      <c r="E20" s="260"/>
      <c r="F20" s="260"/>
      <c r="G20" s="260"/>
      <c r="H20" s="260"/>
    </row>
    <row r="21" spans="1:15" hidden="1">
      <c r="A21" s="335" t="s">
        <v>143</v>
      </c>
      <c r="B21" s="336">
        <v>405</v>
      </c>
      <c r="C21" s="337" t="s">
        <v>139</v>
      </c>
      <c r="D21" s="77" t="s">
        <v>140</v>
      </c>
      <c r="E21" s="260"/>
      <c r="F21" s="260"/>
      <c r="G21" s="260"/>
      <c r="H21" s="260"/>
    </row>
    <row r="22" spans="1:15" hidden="1">
      <c r="A22" s="335" t="s">
        <v>144</v>
      </c>
      <c r="B22" s="276">
        <f>B19*B21</f>
        <v>10125000</v>
      </c>
      <c r="C22" s="260"/>
      <c r="D22" s="260"/>
      <c r="E22" s="260"/>
      <c r="F22" s="260"/>
      <c r="G22" s="260"/>
      <c r="H22" s="260"/>
    </row>
    <row r="23" spans="1:15" ht="15" hidden="1" thickBot="1">
      <c r="A23" s="495" t="s">
        <v>145</v>
      </c>
      <c r="B23" s="338">
        <f>B7</f>
        <v>21418</v>
      </c>
      <c r="C23" s="158">
        <f>B23/12</f>
        <v>1784.8333333333333</v>
      </c>
      <c r="D23" s="260"/>
      <c r="E23" s="276"/>
      <c r="F23" s="287"/>
      <c r="G23" s="260"/>
      <c r="H23" s="260"/>
    </row>
    <row r="24" spans="1:15" ht="15" hidden="1" thickBot="1">
      <c r="A24" s="102" t="s">
        <v>146</v>
      </c>
      <c r="B24" s="79">
        <f>B22/B23</f>
        <v>472.73321505275936</v>
      </c>
      <c r="C24" s="31"/>
      <c r="D24" s="31"/>
      <c r="E24" s="31"/>
      <c r="F24" s="260"/>
      <c r="G24" s="260"/>
      <c r="H24" s="260"/>
    </row>
    <row r="25" spans="1:15" hidden="1">
      <c r="A25" s="335"/>
      <c r="B25" s="260"/>
      <c r="C25" s="31"/>
      <c r="D25" s="31"/>
      <c r="E25" s="31"/>
      <c r="F25" s="260"/>
      <c r="G25" s="260"/>
      <c r="H25" s="260"/>
    </row>
    <row r="26" spans="1:15" ht="15" thickBot="1">
      <c r="A26" s="86" t="s">
        <v>147</v>
      </c>
      <c r="B26" s="334"/>
      <c r="C26" s="334"/>
      <c r="D26" s="334"/>
      <c r="E26" s="334"/>
      <c r="F26" s="334"/>
      <c r="G26" s="334"/>
      <c r="H26" s="334"/>
      <c r="I26" s="120"/>
    </row>
    <row r="27" spans="1:15">
      <c r="A27" s="260" t="s">
        <v>148</v>
      </c>
      <c r="B27" s="339">
        <v>0.21</v>
      </c>
      <c r="C27" s="78"/>
      <c r="D27" s="260" t="s">
        <v>149</v>
      </c>
      <c r="E27" s="260"/>
      <c r="F27" s="260"/>
      <c r="G27" s="260"/>
      <c r="H27" s="260"/>
    </row>
    <row r="28" spans="1:15">
      <c r="A28" s="109" t="s">
        <v>138</v>
      </c>
      <c r="B28" s="260"/>
      <c r="C28" s="260"/>
      <c r="D28" s="260"/>
      <c r="E28" s="260"/>
      <c r="F28" s="260"/>
      <c r="G28" s="260"/>
      <c r="H28" s="260"/>
    </row>
    <row r="29" spans="1:15" ht="15" thickBot="1">
      <c r="A29" s="335" t="s">
        <v>143</v>
      </c>
      <c r="B29" s="336">
        <v>365</v>
      </c>
      <c r="C29" s="499" t="s">
        <v>404</v>
      </c>
      <c r="D29" s="77" t="s">
        <v>140</v>
      </c>
      <c r="E29" s="260"/>
      <c r="F29" s="260"/>
      <c r="G29" s="260"/>
      <c r="H29" s="260"/>
    </row>
    <row r="30" spans="1:15" ht="15" thickBot="1">
      <c r="A30" s="102" t="s">
        <v>150</v>
      </c>
      <c r="B30" s="79">
        <f>B27*B29</f>
        <v>76.649999999999991</v>
      </c>
      <c r="C30" s="31"/>
      <c r="D30" s="31"/>
      <c r="E30" s="31"/>
      <c r="F30" s="260"/>
      <c r="G30" s="260"/>
      <c r="H30" s="260"/>
    </row>
    <row r="32" spans="1:15" ht="15" thickBot="1">
      <c r="A32" s="86" t="s">
        <v>123</v>
      </c>
      <c r="B32" s="334"/>
      <c r="C32" s="334"/>
      <c r="D32" s="334"/>
      <c r="E32" s="334"/>
      <c r="F32" s="334"/>
      <c r="G32" s="334"/>
      <c r="H32" s="334"/>
      <c r="I32" s="120"/>
    </row>
    <row r="33" spans="1:9" ht="15" thickBot="1">
      <c r="A33" s="340" t="s">
        <v>151</v>
      </c>
      <c r="B33" s="79">
        <f>-B222</f>
        <v>119269710</v>
      </c>
      <c r="C33" s="260"/>
      <c r="D33" s="260"/>
      <c r="E33" s="260"/>
      <c r="F33" s="260"/>
      <c r="G33" s="260"/>
      <c r="H33" s="260"/>
    </row>
    <row r="34" spans="1:9">
      <c r="A34" s="340" t="s">
        <v>152</v>
      </c>
      <c r="B34" s="245">
        <f>B227</f>
        <v>398971.67125583626</v>
      </c>
      <c r="C34" s="260"/>
      <c r="D34" s="260"/>
      <c r="E34" s="260"/>
      <c r="F34" s="260"/>
      <c r="G34" s="260"/>
      <c r="H34" s="260"/>
    </row>
    <row r="35" spans="1:9">
      <c r="A35" s="340" t="s">
        <v>153</v>
      </c>
      <c r="B35" s="304">
        <f>$B$33/B34</f>
        <v>298.94280369475052</v>
      </c>
      <c r="C35" s="276"/>
      <c r="D35" s="260"/>
      <c r="E35" s="260"/>
      <c r="F35" s="260"/>
      <c r="G35" s="260"/>
      <c r="H35" s="260"/>
    </row>
    <row r="36" spans="1:9">
      <c r="A36" s="537"/>
      <c r="B36" s="276"/>
      <c r="C36" s="260"/>
      <c r="D36" s="260"/>
      <c r="E36" s="260"/>
      <c r="F36" s="260"/>
      <c r="G36" s="260"/>
      <c r="H36" s="260"/>
    </row>
    <row r="37" spans="1:9">
      <c r="A37" s="340"/>
      <c r="B37" s="276"/>
      <c r="C37" s="260"/>
      <c r="D37" s="260"/>
      <c r="E37" s="260"/>
      <c r="F37" s="260"/>
      <c r="G37" s="260"/>
      <c r="H37" s="260"/>
    </row>
    <row r="38" spans="1:9" ht="15" thickBot="1">
      <c r="A38" s="86" t="s">
        <v>71</v>
      </c>
      <c r="B38" s="334"/>
      <c r="C38" s="334"/>
      <c r="D38" s="334"/>
      <c r="E38" s="334"/>
      <c r="F38" s="334"/>
      <c r="G38" s="334"/>
      <c r="H38" s="334"/>
      <c r="I38" s="120"/>
    </row>
    <row r="39" spans="1:9">
      <c r="A39" s="340"/>
      <c r="B39" s="221" t="s">
        <v>154</v>
      </c>
      <c r="C39" s="98" t="s">
        <v>155</v>
      </c>
      <c r="D39" s="260"/>
      <c r="E39" s="260"/>
      <c r="F39" s="260"/>
      <c r="G39" s="260"/>
      <c r="H39" s="260"/>
    </row>
    <row r="40" spans="1:9">
      <c r="A40" s="340" t="s">
        <v>72</v>
      </c>
      <c r="B40" s="276">
        <v>100000</v>
      </c>
      <c r="C40" s="275">
        <v>182.5</v>
      </c>
      <c r="D40" s="498" t="s">
        <v>403</v>
      </c>
      <c r="E40" s="260"/>
      <c r="F40" s="260"/>
      <c r="G40" s="260"/>
      <c r="H40" s="260"/>
    </row>
    <row r="41" spans="1:9">
      <c r="A41" s="340"/>
      <c r="B41" s="276"/>
      <c r="C41" s="275"/>
      <c r="D41" s="275"/>
      <c r="E41" s="260"/>
      <c r="F41" s="260"/>
      <c r="G41" s="260"/>
      <c r="H41" s="260"/>
    </row>
    <row r="42" spans="1:9">
      <c r="A42" s="109" t="s">
        <v>138</v>
      </c>
      <c r="B42" s="260"/>
      <c r="C42" s="260"/>
      <c r="D42" s="260"/>
      <c r="E42" s="260"/>
      <c r="F42" s="260"/>
      <c r="G42" s="260"/>
      <c r="H42" s="260"/>
    </row>
    <row r="43" spans="1:9">
      <c r="A43" s="335" t="s">
        <v>143</v>
      </c>
      <c r="B43" s="336">
        <v>365</v>
      </c>
      <c r="C43" s="499" t="s">
        <v>404</v>
      </c>
      <c r="D43" s="77" t="s">
        <v>140</v>
      </c>
      <c r="E43" s="260"/>
      <c r="F43" s="260"/>
      <c r="G43" s="260"/>
      <c r="H43" s="260"/>
    </row>
    <row r="44" spans="1:9">
      <c r="A44" s="340"/>
      <c r="B44" s="276"/>
      <c r="C44" s="260"/>
      <c r="D44" s="260"/>
      <c r="E44" s="260"/>
      <c r="F44" s="260"/>
      <c r="G44" s="260"/>
      <c r="H44" s="260"/>
    </row>
    <row r="45" spans="1:9">
      <c r="A45" s="248" t="s">
        <v>156</v>
      </c>
      <c r="B45" s="249" t="s">
        <v>157</v>
      </c>
      <c r="C45" s="249" t="s">
        <v>158</v>
      </c>
      <c r="D45" s="249" t="s">
        <v>159</v>
      </c>
      <c r="E45" s="260"/>
      <c r="F45" s="260"/>
      <c r="G45" s="260"/>
      <c r="H45" s="260"/>
    </row>
    <row r="46" spans="1:9">
      <c r="A46" s="496" t="s">
        <v>300</v>
      </c>
      <c r="B46" s="294">
        <v>56862</v>
      </c>
      <c r="C46" s="294">
        <v>3213</v>
      </c>
      <c r="D46" s="341">
        <f>C46/B46</f>
        <v>5.6505223171889836E-2</v>
      </c>
      <c r="E46" s="260"/>
      <c r="F46" s="260"/>
      <c r="G46" s="260"/>
      <c r="H46" s="260"/>
    </row>
    <row r="47" spans="1:9">
      <c r="A47" s="496" t="s">
        <v>301</v>
      </c>
      <c r="B47" s="294">
        <v>59252</v>
      </c>
      <c r="C47" s="294">
        <v>3116</v>
      </c>
      <c r="D47" s="341">
        <f>C47/B47</f>
        <v>5.2588942145412813E-2</v>
      </c>
      <c r="E47" s="260"/>
      <c r="F47" s="260"/>
      <c r="G47" s="260"/>
      <c r="H47" s="260"/>
    </row>
    <row r="48" spans="1:9">
      <c r="A48" s="496" t="s">
        <v>302</v>
      </c>
      <c r="B48" s="294">
        <v>29825</v>
      </c>
      <c r="C48" s="294">
        <v>2024</v>
      </c>
      <c r="D48" s="341">
        <f>C48/B48</f>
        <v>6.7862531433361267E-2</v>
      </c>
      <c r="E48" s="260"/>
      <c r="F48" s="260"/>
      <c r="G48" s="260"/>
      <c r="H48" s="260"/>
    </row>
    <row r="49" spans="1:9" ht="15" thickBot="1">
      <c r="A49" s="250" t="s">
        <v>157</v>
      </c>
      <c r="B49" s="251">
        <f>SUM(B46:B48)</f>
        <v>145939</v>
      </c>
      <c r="C49" s="251">
        <f>SUM(C46:C48)</f>
        <v>8353</v>
      </c>
      <c r="D49" s="252">
        <f>C49/B49</f>
        <v>5.7236242539691243E-2</v>
      </c>
      <c r="E49" s="260"/>
      <c r="F49" s="260"/>
      <c r="G49" s="260"/>
      <c r="H49" s="260"/>
    </row>
    <row r="50" spans="1:9" ht="15" thickBot="1">
      <c r="A50" s="340"/>
      <c r="B50" s="276"/>
      <c r="C50" s="309"/>
      <c r="D50" s="260"/>
      <c r="E50" s="260"/>
      <c r="F50" s="260"/>
      <c r="G50" s="260"/>
      <c r="H50" s="260"/>
    </row>
    <row r="51" spans="1:9" ht="15" thickBot="1">
      <c r="A51" s="340" t="s">
        <v>163</v>
      </c>
      <c r="B51" s="222">
        <f>AVERAGE($C$46:$C$48)/AVERAGE($B$46:$B$48)</f>
        <v>5.7236242539691243E-2</v>
      </c>
      <c r="C51" s="260"/>
      <c r="D51" s="260"/>
      <c r="E51" s="280"/>
      <c r="F51" s="260"/>
      <c r="G51" s="260"/>
      <c r="H51" s="260"/>
    </row>
    <row r="52" spans="1:9">
      <c r="A52" s="340"/>
      <c r="B52" s="276"/>
      <c r="C52" s="260"/>
      <c r="D52" s="260"/>
      <c r="E52" s="260"/>
      <c r="F52" s="260"/>
      <c r="G52" s="260"/>
      <c r="H52" s="260"/>
    </row>
    <row r="53" spans="1:9" s="110" customFormat="1">
      <c r="A53" s="340"/>
      <c r="B53" s="276"/>
      <c r="C53" s="260"/>
      <c r="D53" s="260"/>
      <c r="E53" s="260"/>
      <c r="F53" s="260"/>
      <c r="G53" s="260"/>
      <c r="H53" s="260"/>
      <c r="I53" s="119"/>
    </row>
    <row r="54" spans="1:9" s="110" customFormat="1">
      <c r="A54" s="4" t="s">
        <v>164</v>
      </c>
      <c r="B54" s="276"/>
      <c r="C54" s="260"/>
      <c r="D54" s="260"/>
      <c r="E54" s="260"/>
      <c r="F54" s="260"/>
      <c r="G54" s="260"/>
      <c r="H54" s="260"/>
      <c r="I54" s="119"/>
    </row>
    <row r="55" spans="1:9" s="110" customFormat="1" ht="16">
      <c r="A55" s="111" t="s">
        <v>165</v>
      </c>
      <c r="B55" s="112" t="s">
        <v>166</v>
      </c>
      <c r="C55" s="113" t="s">
        <v>167</v>
      </c>
      <c r="D55" s="260"/>
      <c r="E55" s="260"/>
      <c r="F55" s="260"/>
      <c r="G55" s="260"/>
      <c r="H55" s="260"/>
      <c r="I55" s="119"/>
    </row>
    <row r="56" spans="1:9" s="110" customFormat="1">
      <c r="A56" s="340" t="s">
        <v>168</v>
      </c>
      <c r="B56" s="260">
        <v>113</v>
      </c>
      <c r="C56" s="297">
        <v>0.2</v>
      </c>
      <c r="D56" s="260"/>
      <c r="E56" s="260"/>
      <c r="F56" s="260"/>
      <c r="G56" s="260"/>
      <c r="H56" s="260"/>
      <c r="I56" s="119"/>
    </row>
    <row r="57" spans="1:9" s="110" customFormat="1">
      <c r="A57" s="340" t="s">
        <v>169</v>
      </c>
      <c r="B57" s="260">
        <v>119</v>
      </c>
      <c r="C57" s="297">
        <f>1-C56</f>
        <v>0.8</v>
      </c>
      <c r="D57" s="260"/>
      <c r="E57" s="260"/>
      <c r="F57" s="260"/>
      <c r="G57" s="260"/>
      <c r="H57" s="260"/>
      <c r="I57" s="119"/>
    </row>
    <row r="58" spans="1:9" s="110" customFormat="1" ht="15" thickBot="1">
      <c r="A58" s="340"/>
      <c r="B58" s="260"/>
      <c r="C58" s="260"/>
      <c r="D58" s="260"/>
      <c r="E58" s="260"/>
      <c r="F58" s="260"/>
      <c r="G58" s="260"/>
      <c r="H58" s="260"/>
      <c r="I58" s="119"/>
    </row>
    <row r="59" spans="1:9" s="110" customFormat="1" ht="15" thickBot="1">
      <c r="A59" s="114" t="s">
        <v>170</v>
      </c>
      <c r="B59" s="115">
        <f>SUMPRODUCT($B$56:$B$57,$C$56:$C$57)</f>
        <v>117.80000000000001</v>
      </c>
      <c r="C59" s="260"/>
      <c r="D59" s="260"/>
      <c r="E59" s="260"/>
      <c r="F59" s="260"/>
      <c r="G59" s="260"/>
      <c r="H59" s="260"/>
      <c r="I59" s="119"/>
    </row>
    <row r="60" spans="1:9" s="110" customFormat="1">
      <c r="A60" s="260"/>
      <c r="B60" s="260"/>
      <c r="C60" s="260"/>
      <c r="D60" s="260"/>
      <c r="E60" s="260"/>
      <c r="F60" s="260"/>
      <c r="G60" s="260"/>
      <c r="H60" s="260"/>
      <c r="I60" s="119"/>
    </row>
    <row r="62" spans="1:9">
      <c r="A62" s="4" t="s">
        <v>75</v>
      </c>
      <c r="B62" s="260"/>
      <c r="C62" s="260"/>
      <c r="D62" s="260"/>
      <c r="E62" s="260"/>
      <c r="F62" s="260"/>
      <c r="G62" s="260"/>
      <c r="H62" s="260"/>
    </row>
    <row r="63" spans="1:9">
      <c r="A63" s="340" t="s">
        <v>171</v>
      </c>
      <c r="B63" s="276">
        <v>50</v>
      </c>
      <c r="C63" s="260"/>
      <c r="D63" s="260"/>
      <c r="E63" s="260"/>
      <c r="F63" s="260"/>
      <c r="G63" s="260"/>
      <c r="H63" s="260"/>
    </row>
    <row r="64" spans="1:9">
      <c r="A64" s="260"/>
      <c r="B64" s="152" t="s">
        <v>172</v>
      </c>
      <c r="C64" s="152" t="s">
        <v>173</v>
      </c>
      <c r="D64" s="152" t="s">
        <v>167</v>
      </c>
      <c r="E64" s="260"/>
      <c r="F64" s="260"/>
      <c r="G64" s="260"/>
      <c r="H64" s="260"/>
    </row>
    <row r="65" spans="1:9">
      <c r="A65" s="260" t="s">
        <v>174</v>
      </c>
      <c r="B65" s="310">
        <v>10</v>
      </c>
      <c r="C65" s="333">
        <f>$B$65*$B$63</f>
        <v>500</v>
      </c>
      <c r="D65" s="327">
        <f>B65/SUM($B$65:$B$66)</f>
        <v>0.33333333333333331</v>
      </c>
      <c r="E65" s="276"/>
      <c r="F65" s="276"/>
      <c r="G65" s="342">
        <f>13*C65*0.1</f>
        <v>650</v>
      </c>
      <c r="H65" s="260"/>
    </row>
    <row r="66" spans="1:9" ht="15" thickBot="1">
      <c r="A66" s="340" t="s">
        <v>175</v>
      </c>
      <c r="B66" s="310">
        <v>20</v>
      </c>
      <c r="C66" s="333">
        <f>$B$66*$B$63</f>
        <v>1000</v>
      </c>
      <c r="D66" s="327">
        <f>B66/SUM($B$65:$B$66)</f>
        <v>0.66666666666666663</v>
      </c>
      <c r="E66" s="260"/>
      <c r="F66" s="276"/>
      <c r="G66" s="260"/>
      <c r="H66" s="260"/>
    </row>
    <row r="67" spans="1:9" ht="15" thickBot="1">
      <c r="A67" s="114" t="s">
        <v>170</v>
      </c>
      <c r="B67" s="153">
        <f>SUMPRODUCT($B$65:$B$66,$D$65:$D$66)*$B$63</f>
        <v>833.33333333333326</v>
      </c>
      <c r="C67" s="142"/>
      <c r="D67" s="142"/>
      <c r="E67" s="76"/>
      <c r="F67" s="76"/>
      <c r="G67" s="260"/>
      <c r="H67" s="260"/>
    </row>
    <row r="68" spans="1:9">
      <c r="A68" s="260"/>
      <c r="B68" s="260"/>
      <c r="C68" s="260"/>
      <c r="D68" s="260"/>
      <c r="E68" s="260"/>
      <c r="F68" s="10"/>
      <c r="G68" s="260"/>
      <c r="H68" s="260"/>
    </row>
    <row r="69" spans="1:9" hidden="1">
      <c r="A69" s="226" t="s">
        <v>176</v>
      </c>
      <c r="B69" s="262"/>
      <c r="C69" s="262"/>
      <c r="D69" s="262"/>
      <c r="E69" s="262"/>
      <c r="F69" s="260"/>
      <c r="G69" s="260"/>
      <c r="H69" s="260"/>
    </row>
    <row r="70" spans="1:9" hidden="1">
      <c r="A70" s="226"/>
      <c r="B70" s="227" t="str">
        <f>'By Product'!$B$12</f>
        <v>Avg loan size</v>
      </c>
      <c r="C70" s="228" t="s">
        <v>177</v>
      </c>
      <c r="D70" s="229" t="s">
        <v>178</v>
      </c>
      <c r="E70" s="262"/>
      <c r="F70" s="260"/>
      <c r="G70" s="260"/>
      <c r="H70" s="260"/>
    </row>
    <row r="71" spans="1:9" hidden="1">
      <c r="A71" s="262" t="str">
        <f t="array" ref="A71:A76">TRANSPOSE('By Product'!$D$3:$K$3)</f>
        <v>PL - NTB</v>
      </c>
      <c r="B71" s="343">
        <f t="array" ref="B71:B76">TRANSPOSE('By Product'!$D$12:$I$12)</f>
        <v>0</v>
      </c>
      <c r="C71" s="344">
        <v>3.5700000000000003E-2</v>
      </c>
      <c r="D71" s="345">
        <f t="shared" ref="D71:D76" si="0">B71*C71</f>
        <v>0</v>
      </c>
      <c r="E71" s="346"/>
      <c r="I71" s="60"/>
    </row>
    <row r="72" spans="1:9" hidden="1">
      <c r="A72" s="262" t="str">
        <v>PL- Renewal</v>
      </c>
      <c r="B72" s="343">
        <v>607542</v>
      </c>
      <c r="C72" s="344">
        <v>2.9399999999999999E-2</v>
      </c>
      <c r="D72" s="345">
        <f t="shared" si="0"/>
        <v>17861.734799999998</v>
      </c>
      <c r="E72" s="262"/>
      <c r="I72" s="60"/>
    </row>
    <row r="73" spans="1:9" hidden="1">
      <c r="A73" s="262" t="str">
        <v>PL - Top-Up</v>
      </c>
      <c r="B73" s="343">
        <v>827959</v>
      </c>
      <c r="C73" s="344">
        <v>2.9399999999999999E-2</v>
      </c>
      <c r="D73" s="345">
        <f t="shared" si="0"/>
        <v>24341.994599999998</v>
      </c>
      <c r="E73" s="262"/>
      <c r="I73" s="60"/>
    </row>
    <row r="74" spans="1:9" hidden="1">
      <c r="A74" s="262" t="str">
        <v>MBL -NTB</v>
      </c>
      <c r="B74" s="343">
        <v>0</v>
      </c>
      <c r="C74" s="344">
        <v>3.5700000000000003E-2</v>
      </c>
      <c r="D74" s="345">
        <f t="shared" si="0"/>
        <v>0</v>
      </c>
      <c r="E74" s="262"/>
      <c r="I74" s="60"/>
    </row>
    <row r="75" spans="1:9" hidden="1">
      <c r="A75" s="262" t="str">
        <v>MBL - XSELL</v>
      </c>
      <c r="B75" s="343">
        <v>1384287</v>
      </c>
      <c r="C75" s="344">
        <v>2.9399999999999999E-2</v>
      </c>
      <c r="D75" s="345">
        <f t="shared" si="0"/>
        <v>40698.037799999998</v>
      </c>
      <c r="E75" s="262"/>
      <c r="I75" s="60"/>
    </row>
    <row r="76" spans="1:9" hidden="1">
      <c r="A76" s="262" t="str">
        <v>Combined</v>
      </c>
      <c r="B76" s="347">
        <v>657933</v>
      </c>
      <c r="C76" s="348">
        <f>B78</f>
        <v>2.9399999999999999E-2</v>
      </c>
      <c r="D76" s="349">
        <f t="shared" si="0"/>
        <v>19343.230199999998</v>
      </c>
      <c r="E76" s="262"/>
      <c r="I76" s="60"/>
    </row>
    <row r="77" spans="1:9" ht="15" hidden="1" thickBot="1">
      <c r="A77" s="262"/>
      <c r="B77" s="262"/>
      <c r="C77" s="262"/>
      <c r="D77" s="262"/>
      <c r="E77" s="262"/>
      <c r="I77" s="60"/>
    </row>
    <row r="78" spans="1:9" ht="15" hidden="1" thickBot="1">
      <c r="A78" s="262" t="str">
        <f>A69</f>
        <v>Weighted Average Fee Income</v>
      </c>
      <c r="B78" s="230">
        <f>SUM($D$71:$D$74)/SUM($B$71:$B$74)</f>
        <v>2.9399999999999999E-2</v>
      </c>
      <c r="C78" s="262"/>
      <c r="D78" s="262"/>
      <c r="E78" s="262"/>
      <c r="I78" s="60"/>
    </row>
    <row r="79" spans="1:9" hidden="1">
      <c r="A79" s="262"/>
      <c r="B79" s="262"/>
      <c r="C79" s="262"/>
      <c r="D79" s="262"/>
      <c r="E79" s="262"/>
      <c r="I79" s="60"/>
    </row>
    <row r="80" spans="1:9">
      <c r="A80" s="260"/>
      <c r="B80" s="260"/>
      <c r="C80" s="260"/>
      <c r="D80" s="260"/>
      <c r="E80" s="260"/>
    </row>
    <row r="81" spans="1:9" hidden="1">
      <c r="A81" s="155" t="s">
        <v>179</v>
      </c>
      <c r="B81" s="150" t="s">
        <v>180</v>
      </c>
      <c r="C81" s="151" t="s">
        <v>181</v>
      </c>
      <c r="D81" s="260"/>
      <c r="E81" s="260"/>
      <c r="I81" s="60"/>
    </row>
    <row r="82" spans="1:9" hidden="1">
      <c r="A82" s="350">
        <v>1</v>
      </c>
      <c r="B82" s="351">
        <v>3.0031445825215806E-2</v>
      </c>
      <c r="C82" s="352">
        <f>100%-B82</f>
        <v>0.96996855417478423</v>
      </c>
      <c r="D82" s="260"/>
      <c r="E82" s="260"/>
      <c r="I82" s="60"/>
    </row>
    <row r="83" spans="1:9" hidden="1">
      <c r="A83" s="350">
        <v>2</v>
      </c>
      <c r="B83" s="351">
        <v>3.0943887537703985E-2</v>
      </c>
      <c r="C83" s="353">
        <f>C82-B83</f>
        <v>0.93902466663708029</v>
      </c>
      <c r="D83" s="260"/>
      <c r="E83" s="260"/>
      <c r="I83" s="60"/>
    </row>
    <row r="84" spans="1:9" hidden="1">
      <c r="A84" s="350">
        <v>3</v>
      </c>
      <c r="B84" s="351">
        <v>4.929245424547074E-2</v>
      </c>
      <c r="C84" s="353">
        <f t="shared" ref="C84:C92" si="1">C83-B84</f>
        <v>0.8897322123916096</v>
      </c>
      <c r="D84" s="260"/>
      <c r="E84" s="260"/>
      <c r="I84" s="60"/>
    </row>
    <row r="85" spans="1:9" hidden="1">
      <c r="A85" s="350">
        <v>4</v>
      </c>
      <c r="B85" s="351">
        <v>6.5263580686101719E-2</v>
      </c>
      <c r="C85" s="353">
        <f t="shared" si="1"/>
        <v>0.82446863170550788</v>
      </c>
      <c r="D85" s="260"/>
      <c r="E85" s="260"/>
      <c r="I85" s="60"/>
    </row>
    <row r="86" spans="1:9" hidden="1">
      <c r="A86" s="350">
        <v>5</v>
      </c>
      <c r="B86" s="351">
        <v>7.0198169665118729E-2</v>
      </c>
      <c r="C86" s="353">
        <f t="shared" si="1"/>
        <v>0.75427046204038917</v>
      </c>
      <c r="D86" s="260"/>
      <c r="E86" s="260"/>
      <c r="I86" s="60"/>
    </row>
    <row r="87" spans="1:9" hidden="1">
      <c r="A87" s="350">
        <v>6</v>
      </c>
      <c r="B87" s="351">
        <v>7.7335996021027045E-2</v>
      </c>
      <c r="C87" s="353">
        <f t="shared" si="1"/>
        <v>0.67693446601936214</v>
      </c>
      <c r="D87" s="260"/>
      <c r="E87" s="260"/>
      <c r="F87" s="260"/>
      <c r="G87" s="260"/>
      <c r="H87" s="260"/>
      <c r="I87" s="121"/>
    </row>
    <row r="88" spans="1:9" hidden="1">
      <c r="A88" s="350">
        <v>7</v>
      </c>
      <c r="B88" s="351">
        <v>6.4841143434660908E-2</v>
      </c>
      <c r="C88" s="353">
        <f t="shared" si="1"/>
        <v>0.61209332258470117</v>
      </c>
      <c r="D88" s="260"/>
      <c r="E88" s="260"/>
      <c r="F88" s="260"/>
      <c r="G88" s="260"/>
      <c r="H88" s="260"/>
      <c r="I88" s="121"/>
    </row>
    <row r="89" spans="1:9" hidden="1">
      <c r="A89" s="350">
        <v>8</v>
      </c>
      <c r="B89" s="351">
        <v>6.1844123649718676E-2</v>
      </c>
      <c r="C89" s="353">
        <f t="shared" si="1"/>
        <v>0.55024919893498248</v>
      </c>
      <c r="D89" s="260"/>
      <c r="E89" s="260"/>
      <c r="F89" s="260"/>
      <c r="G89" s="260"/>
      <c r="H89" s="260"/>
      <c r="I89" s="121"/>
    </row>
    <row r="90" spans="1:9" hidden="1">
      <c r="A90" s="350">
        <v>9</v>
      </c>
      <c r="B90" s="351">
        <v>3.3940952681932174E-2</v>
      </c>
      <c r="C90" s="353">
        <f t="shared" si="1"/>
        <v>0.51630824625305027</v>
      </c>
      <c r="D90" s="260"/>
      <c r="E90" s="260"/>
      <c r="F90" s="260"/>
      <c r="G90" s="260"/>
      <c r="H90" s="260"/>
      <c r="I90" s="121"/>
    </row>
    <row r="91" spans="1:9" hidden="1">
      <c r="A91" s="350">
        <v>10</v>
      </c>
      <c r="B91" s="351">
        <v>3.3522812223965401E-2</v>
      </c>
      <c r="C91" s="353">
        <f>C90-B91</f>
        <v>0.48278543402908486</v>
      </c>
      <c r="D91" s="260"/>
      <c r="E91" s="260"/>
      <c r="F91" s="260"/>
      <c r="G91" s="260"/>
      <c r="H91" s="260"/>
      <c r="I91" s="121"/>
    </row>
    <row r="92" spans="1:9" hidden="1">
      <c r="A92" s="350">
        <v>11</v>
      </c>
      <c r="B92" s="351">
        <v>0</v>
      </c>
      <c r="C92" s="353">
        <f t="shared" si="1"/>
        <v>0.48278543402908486</v>
      </c>
      <c r="D92" s="260"/>
      <c r="E92" s="260"/>
      <c r="F92" s="260"/>
      <c r="G92" s="260"/>
      <c r="H92" s="260"/>
      <c r="I92" s="121"/>
    </row>
    <row r="93" spans="1:9" ht="12" hidden="1" customHeight="1">
      <c r="A93" s="354">
        <v>12</v>
      </c>
      <c r="B93" s="355">
        <v>0</v>
      </c>
      <c r="C93" s="356">
        <f>C92-B93</f>
        <v>0.48278543402908486</v>
      </c>
      <c r="D93" s="260"/>
      <c r="E93" s="260"/>
      <c r="F93" s="260"/>
      <c r="G93" s="260"/>
      <c r="H93" s="260"/>
      <c r="I93" s="121"/>
    </row>
    <row r="94" spans="1:9" hidden="1">
      <c r="A94" s="350">
        <v>1</v>
      </c>
      <c r="B94" s="351">
        <v>3.0031445825215806E-2</v>
      </c>
      <c r="C94" s="352">
        <f>100%-B94</f>
        <v>0.96996855417478423</v>
      </c>
      <c r="D94" s="260"/>
      <c r="E94" s="260"/>
      <c r="I94" s="60"/>
    </row>
    <row r="95" spans="1:9" hidden="1">
      <c r="A95" s="350">
        <v>2</v>
      </c>
      <c r="B95" s="351">
        <v>3.0943887537703985E-2</v>
      </c>
      <c r="C95" s="353">
        <f>C94-B95</f>
        <v>0.93902466663708029</v>
      </c>
      <c r="D95" s="260"/>
      <c r="E95" s="260"/>
      <c r="I95" s="60"/>
    </row>
    <row r="96" spans="1:9" hidden="1">
      <c r="A96" s="350">
        <v>3</v>
      </c>
      <c r="B96" s="351">
        <v>4.929245424547074E-2</v>
      </c>
      <c r="C96" s="353">
        <f t="shared" ref="C96:C105" si="2">C95-B96</f>
        <v>0.8897322123916096</v>
      </c>
      <c r="D96" s="260"/>
      <c r="E96" s="260"/>
      <c r="I96" s="60"/>
    </row>
    <row r="97" spans="1:9" hidden="1">
      <c r="A97" s="350">
        <v>4</v>
      </c>
      <c r="B97" s="351">
        <v>6.5263580686101719E-2</v>
      </c>
      <c r="C97" s="353">
        <f t="shared" si="2"/>
        <v>0.82446863170550788</v>
      </c>
      <c r="D97" s="260"/>
      <c r="E97" s="260"/>
      <c r="I97" s="60"/>
    </row>
    <row r="98" spans="1:9" hidden="1">
      <c r="A98" s="350">
        <v>5</v>
      </c>
      <c r="B98" s="351">
        <v>7.0198169665118729E-2</v>
      </c>
      <c r="C98" s="353">
        <f t="shared" si="2"/>
        <v>0.75427046204038917</v>
      </c>
      <c r="D98" s="260"/>
      <c r="E98" s="260"/>
      <c r="I98" s="60"/>
    </row>
    <row r="99" spans="1:9" hidden="1">
      <c r="A99" s="350">
        <v>6</v>
      </c>
      <c r="B99" s="351">
        <v>7.7335996021027045E-2</v>
      </c>
      <c r="C99" s="353">
        <f t="shared" si="2"/>
        <v>0.67693446601936214</v>
      </c>
      <c r="D99" s="260"/>
      <c r="E99" s="260"/>
      <c r="F99" s="260"/>
      <c r="G99" s="260"/>
      <c r="H99" s="260"/>
      <c r="I99" s="121"/>
    </row>
    <row r="100" spans="1:9" hidden="1">
      <c r="A100" s="350">
        <v>7</v>
      </c>
      <c r="B100" s="351">
        <v>6.4841143434660908E-2</v>
      </c>
      <c r="C100" s="353">
        <f t="shared" si="2"/>
        <v>0.61209332258470117</v>
      </c>
      <c r="D100" s="260"/>
      <c r="E100" s="260"/>
      <c r="F100" s="260"/>
      <c r="G100" s="260"/>
      <c r="H100" s="260"/>
      <c r="I100" s="121"/>
    </row>
    <row r="101" spans="1:9" hidden="1">
      <c r="A101" s="350">
        <v>8</v>
      </c>
      <c r="B101" s="351">
        <v>6.1844123649718676E-2</v>
      </c>
      <c r="C101" s="353">
        <f t="shared" si="2"/>
        <v>0.55024919893498248</v>
      </c>
      <c r="D101" s="260"/>
      <c r="E101" s="260"/>
      <c r="F101" s="260"/>
      <c r="G101" s="260"/>
      <c r="H101" s="260"/>
      <c r="I101" s="121"/>
    </row>
    <row r="102" spans="1:9" hidden="1">
      <c r="A102" s="350">
        <v>9</v>
      </c>
      <c r="B102" s="351">
        <v>3.3940952681932174E-2</v>
      </c>
      <c r="C102" s="353">
        <f t="shared" si="2"/>
        <v>0.51630824625305027</v>
      </c>
      <c r="D102" s="260"/>
      <c r="E102" s="260"/>
      <c r="F102" s="260"/>
      <c r="G102" s="260"/>
      <c r="H102" s="260"/>
      <c r="I102" s="121"/>
    </row>
    <row r="103" spans="1:9" hidden="1">
      <c r="A103" s="350">
        <v>10</v>
      </c>
      <c r="B103" s="351">
        <v>3.3522812223965401E-2</v>
      </c>
      <c r="C103" s="353">
        <f t="shared" si="2"/>
        <v>0.48278543402908486</v>
      </c>
      <c r="D103" s="260"/>
      <c r="E103" s="260"/>
      <c r="F103" s="260"/>
      <c r="G103" s="260"/>
      <c r="H103" s="260"/>
      <c r="I103" s="121"/>
    </row>
    <row r="104" spans="1:9" hidden="1">
      <c r="A104" s="350">
        <v>11</v>
      </c>
      <c r="B104" s="351">
        <v>0</v>
      </c>
      <c r="C104" s="353">
        <f t="shared" si="2"/>
        <v>0.48278543402908486</v>
      </c>
      <c r="D104" s="260"/>
      <c r="E104" s="260"/>
      <c r="F104" s="260"/>
      <c r="G104" s="260"/>
      <c r="H104" s="260"/>
      <c r="I104" s="121"/>
    </row>
    <row r="105" spans="1:9" ht="12" hidden="1" customHeight="1">
      <c r="A105" s="354">
        <v>12</v>
      </c>
      <c r="B105" s="355">
        <v>0</v>
      </c>
      <c r="C105" s="356">
        <f t="shared" si="2"/>
        <v>0.48278543402908486</v>
      </c>
      <c r="D105" s="260"/>
      <c r="E105" s="260"/>
      <c r="F105" s="260"/>
      <c r="G105" s="260"/>
      <c r="H105" s="260"/>
      <c r="I105" s="121"/>
    </row>
    <row r="108" spans="1:9" ht="15" hidden="1" thickBot="1">
      <c r="A108" s="86" t="s">
        <v>182</v>
      </c>
      <c r="B108" s="80"/>
      <c r="C108" s="80"/>
      <c r="D108" s="334"/>
      <c r="E108" s="334"/>
      <c r="F108" s="334"/>
      <c r="G108" s="334"/>
      <c r="H108" s="334"/>
      <c r="I108" s="120"/>
    </row>
    <row r="109" spans="1:9" hidden="1">
      <c r="A109" s="303"/>
      <c r="B109" s="75"/>
      <c r="C109" s="75"/>
      <c r="D109" s="303"/>
      <c r="E109" s="303"/>
      <c r="F109" s="303"/>
      <c r="G109" s="303"/>
      <c r="H109" s="303"/>
      <c r="I109" s="123"/>
    </row>
    <row r="110" spans="1:9" hidden="1">
      <c r="A110" s="258" t="s">
        <v>183</v>
      </c>
      <c r="B110" s="71" t="s">
        <v>95</v>
      </c>
      <c r="C110" s="71" t="s">
        <v>184</v>
      </c>
      <c r="D110" s="81" t="s">
        <v>185</v>
      </c>
      <c r="E110" s="82" t="s">
        <v>186</v>
      </c>
      <c r="F110" s="82" t="s">
        <v>187</v>
      </c>
      <c r="G110" s="260"/>
      <c r="H110" s="260"/>
    </row>
    <row r="111" spans="1:9" hidden="1">
      <c r="A111" s="357">
        <v>43543</v>
      </c>
      <c r="B111" s="276">
        <v>15897899.428571433</v>
      </c>
      <c r="C111" s="276">
        <v>6116166.3599999994</v>
      </c>
      <c r="D111" s="358">
        <v>3983955.5661142855</v>
      </c>
      <c r="E111" s="359">
        <f t="shared" ref="E111:E118" si="3">SUM(B111:D111)</f>
        <v>25998021.354685716</v>
      </c>
      <c r="F111" s="359">
        <v>12471215.69795857</v>
      </c>
      <c r="G111" s="260"/>
      <c r="H111" s="260"/>
    </row>
    <row r="112" spans="1:9" hidden="1">
      <c r="A112" s="357">
        <v>43574</v>
      </c>
      <c r="B112" s="276">
        <v>19610105.142857146</v>
      </c>
      <c r="C112" s="276">
        <v>4711744.2111999998</v>
      </c>
      <c r="D112" s="358">
        <v>4108939.5956228571</v>
      </c>
      <c r="E112" s="359">
        <f t="shared" si="3"/>
        <v>28430788.949680001</v>
      </c>
      <c r="F112" s="359">
        <v>10686381.421612855</v>
      </c>
      <c r="G112" s="260"/>
      <c r="H112" s="260"/>
    </row>
    <row r="113" spans="1:11" hidden="1">
      <c r="A113" s="357">
        <v>43604</v>
      </c>
      <c r="B113" s="276">
        <v>21426180.571428578</v>
      </c>
      <c r="C113" s="276">
        <v>7024878.2999999998</v>
      </c>
      <c r="D113" s="358">
        <v>3275588.6192457145</v>
      </c>
      <c r="E113" s="359">
        <f t="shared" si="3"/>
        <v>31726647.490674295</v>
      </c>
      <c r="F113" s="359">
        <v>8158307.907022858</v>
      </c>
      <c r="G113" s="260"/>
      <c r="H113" s="260"/>
    </row>
    <row r="114" spans="1:11" hidden="1">
      <c r="A114" s="357">
        <v>43635</v>
      </c>
      <c r="B114" s="276">
        <v>19527574.857142866</v>
      </c>
      <c r="C114" s="276">
        <v>5386552.9000000004</v>
      </c>
      <c r="D114" s="358">
        <v>3051368.8531085718</v>
      </c>
      <c r="E114" s="359">
        <f t="shared" si="3"/>
        <v>27965496.610251434</v>
      </c>
      <c r="F114" s="359">
        <v>8587898.0522457156</v>
      </c>
      <c r="G114" s="260"/>
      <c r="H114" s="260"/>
    </row>
    <row r="115" spans="1:11" hidden="1">
      <c r="A115" s="357">
        <v>43665</v>
      </c>
      <c r="B115" s="276">
        <v>17730404.571428578</v>
      </c>
      <c r="C115" s="276">
        <v>8104965.8043999998</v>
      </c>
      <c r="D115" s="358">
        <v>4496569.5793828573</v>
      </c>
      <c r="E115" s="359">
        <f t="shared" si="3"/>
        <v>30331939.955211438</v>
      </c>
      <c r="F115" s="359">
        <v>9058729.3599528559</v>
      </c>
      <c r="G115" s="260"/>
      <c r="H115" s="260"/>
      <c r="J115" s="260"/>
      <c r="K115" s="260"/>
    </row>
    <row r="116" spans="1:11" hidden="1">
      <c r="A116" s="357">
        <v>43696</v>
      </c>
      <c r="B116" s="276">
        <v>18319001.142857146</v>
      </c>
      <c r="C116" s="276">
        <v>7560282.2000000002</v>
      </c>
      <c r="D116" s="358">
        <v>4055303.2286628573</v>
      </c>
      <c r="E116" s="359">
        <f t="shared" si="3"/>
        <v>29934586.571520001</v>
      </c>
      <c r="F116" s="359">
        <v>4344206.2219957151</v>
      </c>
      <c r="G116" s="260"/>
      <c r="H116" s="260"/>
      <c r="J116" s="260"/>
      <c r="K116" s="260"/>
    </row>
    <row r="117" spans="1:11" hidden="1">
      <c r="A117" s="357">
        <v>43727</v>
      </c>
      <c r="B117" s="276">
        <v>10959190.857142858</v>
      </c>
      <c r="C117" s="276">
        <v>6244239.7831999995</v>
      </c>
      <c r="D117" s="358">
        <v>3506321.9646057147</v>
      </c>
      <c r="E117" s="359">
        <f t="shared" si="3"/>
        <v>20709752.604948573</v>
      </c>
      <c r="F117" s="359">
        <v>2378757.6346028568</v>
      </c>
      <c r="G117" s="260"/>
      <c r="H117" s="260"/>
      <c r="J117" s="260"/>
      <c r="K117" s="260"/>
    </row>
    <row r="118" spans="1:11" hidden="1">
      <c r="A118" s="357">
        <v>43757</v>
      </c>
      <c r="B118" s="276">
        <v>12473200</v>
      </c>
      <c r="C118" s="276">
        <v>7798663.5</v>
      </c>
      <c r="D118" s="358">
        <v>4720815.6292199995</v>
      </c>
      <c r="E118" s="359">
        <f t="shared" si="3"/>
        <v>24992679.129220001</v>
      </c>
      <c r="F118" s="359">
        <v>8836886.9969060011</v>
      </c>
      <c r="G118" s="287"/>
      <c r="H118" s="260"/>
      <c r="J118" s="260"/>
      <c r="K118" s="260"/>
    </row>
    <row r="119" spans="1:11" ht="15" hidden="1" thickBot="1">
      <c r="A119" s="260"/>
      <c r="B119" s="83">
        <f>SUM(B111:B118)</f>
        <v>135943556.57142863</v>
      </c>
      <c r="C119" s="83">
        <f>SUM(C111:C118)</f>
        <v>52947493.058799997</v>
      </c>
      <c r="D119" s="83">
        <f>SUM(D111:D118)</f>
        <v>31198863.035962857</v>
      </c>
      <c r="E119" s="84">
        <f>SUM(E111:E118)</f>
        <v>220089912.66619146</v>
      </c>
      <c r="F119" s="84">
        <f>SUM(F111:F118)</f>
        <v>64522383.292297423</v>
      </c>
      <c r="G119" s="260"/>
      <c r="H119" s="260"/>
      <c r="J119" s="260"/>
      <c r="K119" s="260"/>
    </row>
    <row r="120" spans="1:11" ht="15" hidden="1" thickTop="1">
      <c r="A120" s="260" t="s">
        <v>182</v>
      </c>
      <c r="B120" s="85">
        <f>B119/$E$119*($B$122*($E$119/($E$119+$F$119)))</f>
        <v>6.1247207190407871E-3</v>
      </c>
      <c r="C120" s="85">
        <f>C119/$E$119*($B$122*($E$119/($E$119+$F$119)))</f>
        <v>2.3854650851959295E-3</v>
      </c>
      <c r="D120" s="85">
        <f>D119/$E$119*($B$122*($E$119/($E$119+$F$119)))</f>
        <v>1.405615151362296E-3</v>
      </c>
      <c r="E120" s="74"/>
      <c r="F120" s="85">
        <f>$B$122*($F$119/($E$119+$F$119))</f>
        <v>2.9069533544577048E-3</v>
      </c>
      <c r="G120" s="260"/>
      <c r="H120" s="260"/>
      <c r="J120" s="260"/>
      <c r="K120" s="260"/>
    </row>
    <row r="121" spans="1:11" ht="15" hidden="1" thickBot="1">
      <c r="A121" s="260"/>
      <c r="B121" s="260"/>
      <c r="C121" s="298"/>
      <c r="D121" s="309"/>
      <c r="E121" s="260"/>
      <c r="F121" s="260"/>
      <c r="G121" s="260"/>
      <c r="H121" s="260"/>
      <c r="J121" s="260"/>
      <c r="K121" s="260"/>
    </row>
    <row r="122" spans="1:11" ht="15" hidden="1" thickBot="1">
      <c r="A122" s="260" t="s">
        <v>182</v>
      </c>
      <c r="B122" s="154">
        <f>AVERAGE(B125:K125)</f>
        <v>1.2822754310056717E-2</v>
      </c>
      <c r="C122" s="298"/>
      <c r="D122" s="309"/>
      <c r="E122" s="260"/>
      <c r="F122" s="260"/>
      <c r="G122" s="260"/>
      <c r="H122" s="310"/>
      <c r="J122" s="260"/>
      <c r="K122" s="260"/>
    </row>
    <row r="123" spans="1:11" hidden="1"/>
    <row r="124" spans="1:11" hidden="1">
      <c r="A124" s="73" t="s">
        <v>188</v>
      </c>
      <c r="B124" s="3">
        <v>43466</v>
      </c>
      <c r="C124" s="3">
        <v>43497</v>
      </c>
      <c r="D124" s="3">
        <v>43525</v>
      </c>
      <c r="E124" s="3">
        <v>43556</v>
      </c>
      <c r="F124" s="3">
        <v>43586</v>
      </c>
      <c r="G124" s="3">
        <v>43617</v>
      </c>
      <c r="H124" s="3">
        <v>43647</v>
      </c>
      <c r="I124" s="3">
        <v>43678</v>
      </c>
      <c r="J124" s="3">
        <v>43709</v>
      </c>
      <c r="K124" s="3">
        <v>43739</v>
      </c>
    </row>
    <row r="125" spans="1:11" hidden="1">
      <c r="A125" s="260" t="s">
        <v>56</v>
      </c>
      <c r="B125" s="309">
        <v>1.5203174708243578E-2</v>
      </c>
      <c r="C125" s="309">
        <v>1.5316286637376688E-2</v>
      </c>
      <c r="D125" s="309">
        <v>1.1761791594952659E-2</v>
      </c>
      <c r="E125" s="309">
        <v>1.3562593997121605E-2</v>
      </c>
      <c r="F125" s="309">
        <v>1.2923519813911502E-2</v>
      </c>
      <c r="G125" s="309">
        <v>1.2917154346298634E-2</v>
      </c>
      <c r="H125" s="309">
        <v>1.1300875088923914E-2</v>
      </c>
      <c r="I125" s="309">
        <v>1.1580022816863293E-2</v>
      </c>
      <c r="J125" s="309">
        <v>9.8605157880443904E-3</v>
      </c>
      <c r="K125" s="309">
        <v>1.3801608308830909E-2</v>
      </c>
    </row>
    <row r="126" spans="1:11" hidden="1">
      <c r="A126" s="260" t="s">
        <v>57</v>
      </c>
      <c r="B126" s="309">
        <v>4.5078106014414462E-3</v>
      </c>
      <c r="C126" s="309">
        <v>5.1210823221328212E-3</v>
      </c>
      <c r="D126" s="309">
        <v>4.5427909095280168E-3</v>
      </c>
      <c r="E126" s="309">
        <v>4.6808506641837985E-3</v>
      </c>
      <c r="F126" s="309">
        <v>5.84677378469667E-3</v>
      </c>
      <c r="G126" s="309">
        <v>5.1813923462962893E-3</v>
      </c>
      <c r="H126" s="309">
        <v>5.2089132136508556E-3</v>
      </c>
      <c r="I126" s="309">
        <v>5.0156114293513189E-3</v>
      </c>
      <c r="J126" s="309">
        <v>3.166598417972497E-3</v>
      </c>
      <c r="K126" s="309">
        <v>2.6549212412129196E-3</v>
      </c>
    </row>
    <row r="127" spans="1:11" hidden="1">
      <c r="A127" s="260" t="s">
        <v>58</v>
      </c>
      <c r="B127" s="309">
        <v>2.0641285306852088E-4</v>
      </c>
      <c r="C127" s="309">
        <v>2.1026176227105433E-4</v>
      </c>
      <c r="D127" s="309">
        <v>6.9518478660700583E-4</v>
      </c>
      <c r="E127" s="309">
        <v>2.560489352529919E-4</v>
      </c>
      <c r="F127" s="309">
        <v>2.7319836517815046E-4</v>
      </c>
      <c r="G127" s="309">
        <v>9.0403210906375253E-4</v>
      </c>
      <c r="H127" s="309">
        <v>3.0659708561127342E-4</v>
      </c>
      <c r="I127" s="309">
        <v>2.0598394283202875E-4</v>
      </c>
      <c r="J127" s="309">
        <v>7.6904706217330039E-4</v>
      </c>
      <c r="K127" s="309">
        <v>1.9618116491520275E-4</v>
      </c>
    </row>
    <row r="128" spans="1:11" hidden="1">
      <c r="A128" s="260" t="s">
        <v>188</v>
      </c>
      <c r="B128" s="309">
        <v>1.9917398162753543E-2</v>
      </c>
      <c r="C128" s="309">
        <v>2.0647630721780563E-2</v>
      </c>
      <c r="D128" s="309">
        <v>1.6999767291087684E-2</v>
      </c>
      <c r="E128" s="309">
        <v>1.8499493596558395E-2</v>
      </c>
      <c r="F128" s="309">
        <v>1.9043491963786321E-2</v>
      </c>
      <c r="G128" s="309">
        <v>1.9002578801658676E-2</v>
      </c>
      <c r="H128" s="309">
        <v>1.6816385388186042E-2</v>
      </c>
      <c r="I128" s="309">
        <v>1.680161818904664E-2</v>
      </c>
      <c r="J128" s="309">
        <v>1.3796161268190187E-2</v>
      </c>
      <c r="K128" s="309">
        <v>1.6652710714959031E-2</v>
      </c>
    </row>
    <row r="129" spans="1:11" hidden="1">
      <c r="A129" s="260"/>
      <c r="B129" s="309"/>
      <c r="C129" s="309"/>
      <c r="D129" s="309"/>
      <c r="E129" s="309"/>
      <c r="F129" s="260"/>
      <c r="G129" s="260"/>
      <c r="H129" s="260"/>
      <c r="J129" s="260"/>
      <c r="K129" s="260"/>
    </row>
    <row r="130" spans="1:11" hidden="1"/>
    <row r="131" spans="1:11" ht="15" hidden="1" thickBot="1">
      <c r="A131" s="86" t="s">
        <v>189</v>
      </c>
      <c r="B131" s="334"/>
      <c r="C131" s="360"/>
      <c r="D131" s="360"/>
      <c r="E131" s="360"/>
      <c r="F131" s="360"/>
      <c r="G131" s="334"/>
      <c r="H131" s="334"/>
      <c r="I131" s="120"/>
      <c r="J131" s="334"/>
    </row>
    <row r="132" spans="1:11" hidden="1">
      <c r="A132" s="87" t="s">
        <v>190</v>
      </c>
      <c r="B132" s="140" t="s">
        <v>191</v>
      </c>
      <c r="C132" s="88" t="e">
        <f>#REF!</f>
        <v>#REF!</v>
      </c>
      <c r="D132" s="276"/>
      <c r="E132" s="276"/>
      <c r="F132" s="276"/>
      <c r="G132" s="260"/>
      <c r="H132" s="260"/>
      <c r="J132" s="260"/>
    </row>
    <row r="133" spans="1:11" hidden="1">
      <c r="A133" s="361"/>
      <c r="B133" s="93" t="s">
        <v>192</v>
      </c>
      <c r="C133" s="137" t="s">
        <v>191</v>
      </c>
      <c r="D133" s="276"/>
      <c r="E133" s="276"/>
      <c r="F133" s="276"/>
      <c r="G133" s="260"/>
      <c r="H133" s="260"/>
      <c r="J133" s="260"/>
    </row>
    <row r="134" spans="1:11" hidden="1">
      <c r="A134" s="260" t="str">
        <f t="array" ref="A134:A139">TRANSPOSE('By Product'!$D$3:$K$3)</f>
        <v>PL - NTB</v>
      </c>
      <c r="B134" s="362">
        <f t="array" ref="B134:B139">TRANSPOSE(Model_Summary!$F$20:$K$20)</f>
        <v>8.856E-2</v>
      </c>
      <c r="C134" s="363" t="e">
        <f t="shared" ref="C134:C139" si="4">B134/$B$139*$C$132</f>
        <v>#REF!</v>
      </c>
      <c r="D134" s="276"/>
      <c r="E134" s="276"/>
      <c r="F134" s="276"/>
      <c r="G134" s="260"/>
      <c r="H134" s="260"/>
      <c r="J134" s="260"/>
    </row>
    <row r="135" spans="1:11" hidden="1">
      <c r="A135" s="260" t="str">
        <v>PL- Renewal</v>
      </c>
      <c r="B135" s="364">
        <v>3.492E-2</v>
      </c>
      <c r="C135" s="365" t="e">
        <f>B135/$B$139*$C$132</f>
        <v>#REF!</v>
      </c>
      <c r="D135" s="276"/>
      <c r="E135" s="276"/>
      <c r="F135" s="276"/>
      <c r="G135" s="260"/>
      <c r="H135" s="260"/>
      <c r="I135" s="122"/>
      <c r="J135" s="260"/>
    </row>
    <row r="136" spans="1:11" hidden="1">
      <c r="A136" s="260" t="str">
        <v>PL - Top-Up</v>
      </c>
      <c r="B136" s="364">
        <v>4.9680000000000002E-2</v>
      </c>
      <c r="C136" s="365" t="e">
        <f t="shared" si="4"/>
        <v>#REF!</v>
      </c>
      <c r="D136" s="276"/>
      <c r="E136" s="276"/>
      <c r="F136" s="260"/>
      <c r="G136" s="260"/>
      <c r="H136" s="260"/>
      <c r="I136" s="122"/>
      <c r="J136" s="260"/>
    </row>
    <row r="137" spans="1:11" hidden="1">
      <c r="A137" s="260" t="str">
        <v>MBL -NTB</v>
      </c>
      <c r="B137" s="364">
        <v>0.189</v>
      </c>
      <c r="C137" s="365" t="e">
        <f t="shared" si="4"/>
        <v>#REF!</v>
      </c>
      <c r="D137" s="276"/>
      <c r="E137" s="276"/>
      <c r="F137" s="260"/>
      <c r="G137" s="260"/>
      <c r="H137" s="260"/>
      <c r="I137" s="122"/>
      <c r="J137" s="260"/>
    </row>
    <row r="138" spans="1:11" hidden="1">
      <c r="A138" s="260" t="str">
        <v>MBL - XSELL</v>
      </c>
      <c r="B138" s="364">
        <v>0.1341</v>
      </c>
      <c r="C138" s="365" t="e">
        <f t="shared" si="4"/>
        <v>#REF!</v>
      </c>
      <c r="D138" s="276"/>
      <c r="E138" s="276"/>
      <c r="F138" s="260"/>
      <c r="G138" s="260"/>
      <c r="H138" s="260"/>
      <c r="I138" s="121"/>
      <c r="J138" s="260"/>
    </row>
    <row r="139" spans="1:11" hidden="1">
      <c r="A139" s="260" t="str">
        <v>Combined</v>
      </c>
      <c r="B139" s="366">
        <v>0.12510000000000002</v>
      </c>
      <c r="C139" s="367" t="e">
        <f t="shared" si="4"/>
        <v>#REF!</v>
      </c>
      <c r="D139" s="276"/>
      <c r="E139" s="276"/>
      <c r="F139" s="260"/>
      <c r="G139" s="260"/>
      <c r="H139" s="260"/>
      <c r="I139" s="121"/>
      <c r="J139" s="260"/>
    </row>
    <row r="140" spans="1:11" hidden="1"/>
    <row r="141" spans="1:11" hidden="1">
      <c r="A141" s="4" t="s">
        <v>174</v>
      </c>
      <c r="B141" s="260"/>
      <c r="C141" s="260"/>
      <c r="D141" s="260"/>
      <c r="E141" s="260"/>
      <c r="F141" s="260"/>
      <c r="G141" s="260"/>
      <c r="H141" s="260"/>
      <c r="J141" s="260"/>
    </row>
    <row r="142" spans="1:11" hidden="1">
      <c r="A142" s="89"/>
      <c r="B142" s="758" t="s">
        <v>95</v>
      </c>
      <c r="C142" s="759"/>
      <c r="D142" s="760" t="s">
        <v>184</v>
      </c>
      <c r="E142" s="760"/>
      <c r="F142" s="758" t="s">
        <v>193</v>
      </c>
      <c r="G142" s="759"/>
      <c r="H142" s="260"/>
      <c r="J142" s="260"/>
    </row>
    <row r="143" spans="1:11" hidden="1">
      <c r="A143" s="368"/>
      <c r="B143" s="139" t="s">
        <v>191</v>
      </c>
      <c r="C143" s="88" t="e">
        <f>$C$134</f>
        <v>#REF!</v>
      </c>
      <c r="D143" s="138" t="s">
        <v>191</v>
      </c>
      <c r="E143" s="88" t="e">
        <f>$C$135</f>
        <v>#REF!</v>
      </c>
      <c r="F143" s="138" t="s">
        <v>191</v>
      </c>
      <c r="G143" s="92" t="e">
        <f>$C$136</f>
        <v>#REF!</v>
      </c>
      <c r="H143" s="260"/>
      <c r="J143" s="260"/>
    </row>
    <row r="144" spans="1:11" hidden="1">
      <c r="A144" s="361"/>
      <c r="B144" s="54" t="s">
        <v>192</v>
      </c>
      <c r="C144" s="81" t="s">
        <v>191</v>
      </c>
      <c r="D144" s="93" t="s">
        <v>192</v>
      </c>
      <c r="E144" s="71" t="s">
        <v>191</v>
      </c>
      <c r="F144" s="93" t="s">
        <v>192</v>
      </c>
      <c r="G144" s="81" t="s">
        <v>191</v>
      </c>
      <c r="H144" s="310"/>
      <c r="J144" s="260"/>
    </row>
    <row r="145" spans="1:10" hidden="1">
      <c r="A145" s="369" t="s">
        <v>194</v>
      </c>
      <c r="B145" s="351">
        <f t="array" ref="B145:B150">TRANSPOSE(Model_Summary!$F$91:$K$91)</f>
        <v>0.15210000000000001</v>
      </c>
      <c r="C145" s="358" t="e">
        <f t="shared" ref="C145:C150" si="5">B145/$B$134*$C$143</f>
        <v>#REF!</v>
      </c>
      <c r="D145" s="370">
        <f t="array" ref="D145:D150">TRANSPOSE(Model_Summary!$F$155:$K$155)</f>
        <v>9.1260000000000008E-2</v>
      </c>
      <c r="E145" s="304" t="e">
        <f>D145/$B$135*$E$143</f>
        <v>#REF!</v>
      </c>
      <c r="F145" s="370">
        <f t="array" ref="F145:F150">TRANSPOSE(Model_Summary!$F$220:$K$220)</f>
        <v>5.4756000000000006E-2</v>
      </c>
      <c r="G145" s="358" t="e">
        <f t="shared" ref="G145:G150" si="6">F145/$B$136*$G$143</f>
        <v>#REF!</v>
      </c>
      <c r="H145" s="371"/>
      <c r="J145" s="260"/>
    </row>
    <row r="146" spans="1:10" hidden="1">
      <c r="A146" s="369" t="s">
        <v>116</v>
      </c>
      <c r="B146" s="351">
        <v>0.15210000000000001</v>
      </c>
      <c r="C146" s="358" t="e">
        <f t="shared" si="5"/>
        <v>#REF!</v>
      </c>
      <c r="D146" s="370">
        <v>9.1260000000000008E-2</v>
      </c>
      <c r="E146" s="304" t="e">
        <f t="shared" ref="E146:E150" si="7">D146/$B$135*$E$143</f>
        <v>#REF!</v>
      </c>
      <c r="F146" s="370">
        <v>5.4756000000000006E-2</v>
      </c>
      <c r="G146" s="358" t="e">
        <f t="shared" si="6"/>
        <v>#REF!</v>
      </c>
      <c r="H146" s="371"/>
      <c r="J146" s="260"/>
    </row>
    <row r="147" spans="1:10" hidden="1">
      <c r="A147" s="369" t="s">
        <v>117</v>
      </c>
      <c r="B147" s="351">
        <v>6.0450000000000004E-2</v>
      </c>
      <c r="C147" s="358" t="e">
        <f t="shared" si="5"/>
        <v>#REF!</v>
      </c>
      <c r="D147" s="370">
        <v>3.9E-2</v>
      </c>
      <c r="E147" s="304" t="e">
        <f t="shared" si="7"/>
        <v>#REF!</v>
      </c>
      <c r="F147" s="370">
        <v>4.6800000000000001E-2</v>
      </c>
      <c r="G147" s="358" t="e">
        <f t="shared" si="6"/>
        <v>#REF!</v>
      </c>
      <c r="H147" s="371"/>
      <c r="J147" s="260"/>
    </row>
    <row r="148" spans="1:10" hidden="1">
      <c r="A148" s="369" t="s">
        <v>118</v>
      </c>
      <c r="B148" s="351">
        <v>5.5899999999999998E-2</v>
      </c>
      <c r="C148" s="358" t="e">
        <f t="shared" si="5"/>
        <v>#REF!</v>
      </c>
      <c r="D148" s="370">
        <v>2.0400000000000001E-2</v>
      </c>
      <c r="E148" s="304" t="e">
        <f t="shared" si="7"/>
        <v>#REF!</v>
      </c>
      <c r="F148" s="370">
        <v>2.4E-2</v>
      </c>
      <c r="G148" s="358" t="e">
        <f t="shared" si="6"/>
        <v>#REF!</v>
      </c>
      <c r="H148" s="371"/>
      <c r="J148" s="260"/>
    </row>
    <row r="149" spans="1:10" hidden="1">
      <c r="A149" s="369" t="s">
        <v>195</v>
      </c>
      <c r="B149" s="351">
        <v>3.5750000000000004E-2</v>
      </c>
      <c r="C149" s="358" t="e">
        <f t="shared" si="5"/>
        <v>#REF!</v>
      </c>
      <c r="D149" s="370">
        <v>1.6799999999999999E-2</v>
      </c>
      <c r="E149" s="304" t="e">
        <f t="shared" si="7"/>
        <v>#REF!</v>
      </c>
      <c r="F149" s="370">
        <v>1.9199999999999998E-2</v>
      </c>
      <c r="G149" s="358" t="e">
        <f t="shared" si="6"/>
        <v>#REF!</v>
      </c>
      <c r="H149" s="371"/>
      <c r="J149" s="260"/>
    </row>
    <row r="150" spans="1:10" hidden="1">
      <c r="A150" s="369" t="s">
        <v>196</v>
      </c>
      <c r="B150" s="372">
        <v>3.2500000000000001E-2</v>
      </c>
      <c r="C150" s="306" t="e">
        <f t="shared" si="5"/>
        <v>#REF!</v>
      </c>
      <c r="D150" s="372">
        <v>1.0799999999999999E-2</v>
      </c>
      <c r="E150" s="367" t="e">
        <f t="shared" si="7"/>
        <v>#REF!</v>
      </c>
      <c r="F150" s="372">
        <v>2.76E-2</v>
      </c>
      <c r="G150" s="367" t="e">
        <f t="shared" si="6"/>
        <v>#REF!</v>
      </c>
      <c r="H150" s="276"/>
      <c r="J150" s="260"/>
    </row>
    <row r="151" spans="1:10" hidden="1"/>
    <row r="152" spans="1:10" hidden="1">
      <c r="A152" s="73" t="s">
        <v>187</v>
      </c>
      <c r="B152" s="758" t="s">
        <v>95</v>
      </c>
      <c r="C152" s="759"/>
      <c r="D152" s="760" t="s">
        <v>197</v>
      </c>
      <c r="E152" s="759"/>
      <c r="F152" s="260"/>
      <c r="G152" s="260"/>
      <c r="H152" s="260"/>
      <c r="J152" s="260"/>
    </row>
    <row r="153" spans="1:10" hidden="1">
      <c r="A153" s="368"/>
      <c r="B153" s="140" t="s">
        <v>191</v>
      </c>
      <c r="C153" s="88" t="e">
        <f>$C$137</f>
        <v>#REF!</v>
      </c>
      <c r="D153" s="138" t="s">
        <v>191</v>
      </c>
      <c r="E153" s="92" t="e">
        <f>$C$138</f>
        <v>#REF!</v>
      </c>
      <c r="F153" s="260"/>
      <c r="G153" s="260"/>
      <c r="H153" s="260"/>
      <c r="J153" s="260"/>
    </row>
    <row r="154" spans="1:10" hidden="1">
      <c r="A154" s="369"/>
      <c r="B154" s="54" t="s">
        <v>192</v>
      </c>
      <c r="C154" s="81" t="s">
        <v>191</v>
      </c>
      <c r="D154" s="54" t="s">
        <v>192</v>
      </c>
      <c r="E154" s="137" t="s">
        <v>191</v>
      </c>
      <c r="F154" s="260"/>
      <c r="G154" s="260"/>
      <c r="H154" s="260"/>
      <c r="J154" s="260"/>
    </row>
    <row r="155" spans="1:10" hidden="1">
      <c r="A155" s="369" t="s">
        <v>198</v>
      </c>
      <c r="B155" s="351">
        <f t="array" ref="B155:B158">TRANSPOSE(Model_Summary!$H$288:$K$288)</f>
        <v>0.246</v>
      </c>
      <c r="C155" s="358" t="e">
        <f>B155/$B$137*$C$153</f>
        <v>#REF!</v>
      </c>
      <c r="D155" s="351">
        <f t="array" ref="D155:D158">TRANSPOSE(Model_Summary!$H$354:$K$354)</f>
        <v>0.20399999999999999</v>
      </c>
      <c r="E155" s="358" t="e">
        <f>D155/$B$138*$E$153</f>
        <v>#REF!</v>
      </c>
      <c r="F155" s="260"/>
      <c r="G155" s="276"/>
      <c r="H155" s="260"/>
      <c r="I155" s="121"/>
      <c r="J155" s="260"/>
    </row>
    <row r="156" spans="1:10" hidden="1">
      <c r="A156" s="369" t="s">
        <v>199</v>
      </c>
      <c r="B156" s="309">
        <v>0.24099999999999999</v>
      </c>
      <c r="C156" s="358" t="e">
        <f>B156/$B$137*$C$153</f>
        <v>#REF!</v>
      </c>
      <c r="D156" s="309">
        <v>0.24099999999999999</v>
      </c>
      <c r="E156" s="358" t="e">
        <f>D156/$B$138*$E$153</f>
        <v>#REF!</v>
      </c>
      <c r="F156" s="260"/>
      <c r="G156" s="276"/>
      <c r="H156" s="260"/>
      <c r="I156" s="121"/>
      <c r="J156" s="260"/>
    </row>
    <row r="157" spans="1:10" hidden="1">
      <c r="A157" s="369" t="s">
        <v>200</v>
      </c>
      <c r="B157" s="309">
        <v>0.15440000000000001</v>
      </c>
      <c r="C157" s="358" t="e">
        <f>B157/$B$137*$C$153</f>
        <v>#REF!</v>
      </c>
      <c r="D157" s="309">
        <v>0.13400000000000001</v>
      </c>
      <c r="E157" s="358" t="e">
        <f>D157/$B$138*$E$153</f>
        <v>#REF!</v>
      </c>
      <c r="F157" s="260"/>
      <c r="G157" s="276"/>
      <c r="H157" s="260"/>
      <c r="I157" s="121"/>
      <c r="J157" s="260"/>
    </row>
    <row r="158" spans="1:10" hidden="1">
      <c r="A158" s="369" t="s">
        <v>201</v>
      </c>
      <c r="B158" s="372">
        <v>0.127</v>
      </c>
      <c r="C158" s="373" t="e">
        <f>B158/$B$137*$C$153</f>
        <v>#REF!</v>
      </c>
      <c r="D158" s="355">
        <v>0.113</v>
      </c>
      <c r="E158" s="373" t="e">
        <f>D158/$B$138*$E$153</f>
        <v>#REF!</v>
      </c>
      <c r="F158" s="260"/>
      <c r="G158" s="276"/>
      <c r="H158" s="260"/>
      <c r="I158" s="121"/>
      <c r="J158" s="260"/>
    </row>
    <row r="159" spans="1:10" hidden="1"/>
    <row r="160" spans="1:10" ht="15" hidden="1" thickBot="1">
      <c r="A160" s="86" t="s">
        <v>388</v>
      </c>
      <c r="B160" s="334"/>
      <c r="C160" s="360"/>
      <c r="D160" s="334"/>
      <c r="E160" s="334"/>
      <c r="F160" s="334"/>
      <c r="G160" s="334"/>
      <c r="H160" s="334"/>
      <c r="I160" s="120"/>
      <c r="J160" s="334"/>
    </row>
    <row r="161" spans="1:10" hidden="1">
      <c r="A161" s="87" t="s">
        <v>190</v>
      </c>
      <c r="B161" s="141" t="s">
        <v>191</v>
      </c>
      <c r="C161" s="142" t="e">
        <f>#REF!</f>
        <v>#REF!</v>
      </c>
      <c r="D161" s="260"/>
      <c r="E161" s="260"/>
      <c r="F161" s="260"/>
      <c r="G161" s="260"/>
      <c r="H161" s="260"/>
      <c r="J161" s="260"/>
    </row>
    <row r="162" spans="1:10" hidden="1">
      <c r="A162" s="368"/>
      <c r="B162" s="93" t="s">
        <v>202</v>
      </c>
      <c r="C162" s="54" t="s">
        <v>203</v>
      </c>
      <c r="D162" s="137" t="s">
        <v>191</v>
      </c>
      <c r="E162" s="260"/>
      <c r="F162" s="260"/>
      <c r="G162" s="260"/>
      <c r="H162" s="260"/>
      <c r="J162" s="260"/>
    </row>
    <row r="163" spans="1:10" hidden="1">
      <c r="A163" s="361" t="str">
        <f t="array" ref="A163:A165">TRANSPOSE('By Product'!$D$3:$I$3)</f>
        <v>PL - NTB</v>
      </c>
      <c r="B163" s="239">
        <f t="array" ref="B163:B168">TRANSPOSE(Model_Summary!F15:K15)</f>
        <v>0.36</v>
      </c>
      <c r="C163" s="374">
        <f t="shared" ref="C163:C168" si="8">1-B163</f>
        <v>0.64</v>
      </c>
      <c r="D163" s="358" t="e">
        <f t="shared" ref="D163:D168" si="9">B163/$B$168*$C$161</f>
        <v>#REF!</v>
      </c>
      <c r="E163" s="260"/>
      <c r="F163" s="260"/>
      <c r="G163" s="260"/>
      <c r="H163" s="260"/>
    </row>
    <row r="164" spans="1:10" hidden="1">
      <c r="A164" s="361" t="str">
        <v>PL- Renewal</v>
      </c>
      <c r="B164" s="239">
        <v>0.85</v>
      </c>
      <c r="C164" s="374">
        <f t="shared" si="8"/>
        <v>0.15000000000000002</v>
      </c>
      <c r="D164" s="358" t="e">
        <f t="shared" si="9"/>
        <v>#REF!</v>
      </c>
      <c r="E164" s="260"/>
      <c r="F164" s="260"/>
      <c r="G164" s="260"/>
      <c r="H164" s="260"/>
    </row>
    <row r="165" spans="1:10" hidden="1">
      <c r="A165" s="361" t="str">
        <v>PL - Top-Up</v>
      </c>
      <c r="B165" s="239">
        <v>0.79</v>
      </c>
      <c r="C165" s="374">
        <f t="shared" si="8"/>
        <v>0.20999999999999996</v>
      </c>
      <c r="D165" s="358" t="e">
        <f t="shared" si="9"/>
        <v>#REF!</v>
      </c>
      <c r="E165" s="260"/>
      <c r="F165" s="260"/>
      <c r="G165" s="260"/>
      <c r="H165" s="260"/>
    </row>
    <row r="166" spans="1:10" hidden="1">
      <c r="A166" s="375" t="s">
        <v>204</v>
      </c>
      <c r="B166" s="239">
        <v>0.17</v>
      </c>
      <c r="C166" s="374">
        <f t="shared" si="8"/>
        <v>0.83</v>
      </c>
      <c r="D166" s="358" t="e">
        <f t="shared" si="9"/>
        <v>#REF!</v>
      </c>
      <c r="E166" s="260"/>
      <c r="F166" s="260"/>
      <c r="G166" s="260"/>
      <c r="H166" s="260"/>
    </row>
    <row r="167" spans="1:10" hidden="1">
      <c r="A167" s="375" t="s">
        <v>205</v>
      </c>
      <c r="B167" s="239">
        <v>0.97</v>
      </c>
      <c r="C167" s="374">
        <f t="shared" si="8"/>
        <v>3.0000000000000027E-2</v>
      </c>
      <c r="D167" s="358" t="e">
        <f t="shared" si="9"/>
        <v>#REF!</v>
      </c>
      <c r="E167" s="260"/>
      <c r="F167" s="260"/>
      <c r="G167" s="260"/>
      <c r="H167" s="260"/>
    </row>
    <row r="168" spans="1:10" hidden="1">
      <c r="A168" s="361" t="s">
        <v>7</v>
      </c>
      <c r="B168" s="240">
        <v>0.184</v>
      </c>
      <c r="C168" s="376">
        <f t="shared" si="8"/>
        <v>0.81600000000000006</v>
      </c>
      <c r="D168" s="373" t="e">
        <f t="shared" si="9"/>
        <v>#REF!</v>
      </c>
      <c r="E168" s="260"/>
      <c r="F168" s="260"/>
      <c r="G168" s="260"/>
      <c r="H168" s="260"/>
    </row>
    <row r="169" spans="1:10" hidden="1">
      <c r="A169" s="260"/>
      <c r="B169" s="260"/>
      <c r="C169" s="260"/>
      <c r="D169" s="260"/>
      <c r="E169" s="260"/>
      <c r="F169" s="260"/>
      <c r="G169" s="260"/>
      <c r="H169" s="260"/>
      <c r="I169" s="122"/>
    </row>
    <row r="170" spans="1:10" hidden="1"/>
    <row r="171" spans="1:10" hidden="1">
      <c r="A171" s="4" t="s">
        <v>206</v>
      </c>
      <c r="B171" s="143"/>
      <c r="C171" s="144" t="s">
        <v>95</v>
      </c>
      <c r="D171" s="145"/>
      <c r="E171" s="144"/>
      <c r="F171" s="144" t="s">
        <v>197</v>
      </c>
      <c r="G171" s="145"/>
      <c r="H171" s="260"/>
    </row>
    <row r="172" spans="1:10" hidden="1">
      <c r="A172" s="73" t="s">
        <v>187</v>
      </c>
      <c r="B172" s="146" t="s">
        <v>191</v>
      </c>
      <c r="C172" s="88" t="e">
        <f>D166</f>
        <v>#REF!</v>
      </c>
      <c r="D172" s="305"/>
      <c r="E172" s="91"/>
      <c r="F172" s="90" t="s">
        <v>191</v>
      </c>
      <c r="G172" s="95" t="e">
        <f>$D$167</f>
        <v>#REF!</v>
      </c>
      <c r="H172" s="260"/>
    </row>
    <row r="173" spans="1:10" hidden="1">
      <c r="A173" s="377"/>
      <c r="B173" s="147" t="s">
        <v>202</v>
      </c>
      <c r="C173" s="94" t="s">
        <v>203</v>
      </c>
      <c r="D173" s="71" t="s">
        <v>191</v>
      </c>
      <c r="E173" s="93" t="s">
        <v>202</v>
      </c>
      <c r="F173" s="54" t="s">
        <v>203</v>
      </c>
      <c r="G173" s="81" t="s">
        <v>191</v>
      </c>
      <c r="H173" s="260"/>
    </row>
    <row r="174" spans="1:10" hidden="1">
      <c r="A174" s="378" t="s">
        <v>198</v>
      </c>
      <c r="B174" s="379">
        <f t="array" ref="B174:B177">TRANSPOSE(Model_Summary!H280:K280)</f>
        <v>0.01</v>
      </c>
      <c r="C174" s="374">
        <f>1-B174</f>
        <v>0.99</v>
      </c>
      <c r="D174" s="358" t="e">
        <f>B174/$B$166*$C$172</f>
        <v>#REF!</v>
      </c>
      <c r="E174" s="374">
        <f t="array" ref="E174:E177">TRANSPOSE(Model_Summary!H347:K347)</f>
        <v>0.76595744680851063</v>
      </c>
      <c r="F174" s="374">
        <f>1-E174</f>
        <v>0.23404255319148937</v>
      </c>
      <c r="G174" s="358" t="e">
        <f>E174/$B$167*$G$172</f>
        <v>#REF!</v>
      </c>
      <c r="H174" s="260"/>
    </row>
    <row r="175" spans="1:10" hidden="1">
      <c r="A175" s="378" t="s">
        <v>199</v>
      </c>
      <c r="B175" s="379">
        <v>0.01</v>
      </c>
      <c r="C175" s="374">
        <f>1-B175</f>
        <v>0.99</v>
      </c>
      <c r="D175" s="358" t="e">
        <f>B175/$B$166*$C$172</f>
        <v>#REF!</v>
      </c>
      <c r="E175" s="374">
        <v>0.77070063694267521</v>
      </c>
      <c r="F175" s="374">
        <f>1-E175</f>
        <v>0.22929936305732479</v>
      </c>
      <c r="G175" s="358" t="e">
        <f>E175/$B$167*$G$172</f>
        <v>#REF!</v>
      </c>
      <c r="H175" s="260"/>
      <c r="I175" s="122"/>
    </row>
    <row r="176" spans="1:10" hidden="1">
      <c r="A176" s="378" t="s">
        <v>200</v>
      </c>
      <c r="B176" s="379">
        <v>0.04</v>
      </c>
      <c r="C176" s="374">
        <f>1-B176</f>
        <v>0.96</v>
      </c>
      <c r="D176" s="358" t="e">
        <f>B176/$B$166*$C$172</f>
        <v>#REF!</v>
      </c>
      <c r="E176" s="374">
        <v>0.8571428571428571</v>
      </c>
      <c r="F176" s="374">
        <f>1-E176</f>
        <v>0.1428571428571429</v>
      </c>
      <c r="G176" s="358" t="e">
        <f>E176/$B$167*$G$172</f>
        <v>#REF!</v>
      </c>
      <c r="H176" s="260"/>
      <c r="I176" s="122"/>
    </row>
    <row r="177" spans="1:11" hidden="1">
      <c r="A177" s="378" t="s">
        <v>201</v>
      </c>
      <c r="B177" s="380">
        <v>0.06</v>
      </c>
      <c r="C177" s="376">
        <f>1-B177</f>
        <v>0.94</v>
      </c>
      <c r="D177" s="373" t="e">
        <f>B177/$B$166*$C$172</f>
        <v>#REF!</v>
      </c>
      <c r="E177" s="376">
        <v>0.76666666666666672</v>
      </c>
      <c r="F177" s="376">
        <f>1-E177</f>
        <v>0.23333333333333328</v>
      </c>
      <c r="G177" s="373" t="e">
        <f>E177/$B$167*$G$172</f>
        <v>#REF!</v>
      </c>
      <c r="H177" s="260"/>
      <c r="I177" s="122"/>
    </row>
    <row r="178" spans="1:11" hidden="1">
      <c r="A178" s="260"/>
      <c r="B178" s="381"/>
      <c r="C178" s="381"/>
      <c r="D178" s="260"/>
      <c r="E178" s="260"/>
      <c r="F178" s="260"/>
      <c r="G178" s="260"/>
      <c r="H178" s="260"/>
    </row>
    <row r="179" spans="1:11" hidden="1">
      <c r="A179" s="260"/>
      <c r="B179" s="381"/>
      <c r="C179" s="381"/>
      <c r="D179" s="260"/>
      <c r="E179" s="260"/>
      <c r="F179" s="260"/>
      <c r="G179" s="260"/>
      <c r="H179" s="260"/>
      <c r="J179" s="260"/>
      <c r="K179" s="260"/>
    </row>
    <row r="180" spans="1:11" hidden="1">
      <c r="A180" s="73" t="s">
        <v>207</v>
      </c>
      <c r="B180" s="143"/>
      <c r="C180" s="144" t="s">
        <v>95</v>
      </c>
      <c r="D180" s="145"/>
      <c r="E180" s="144"/>
      <c r="F180" s="144" t="s">
        <v>184</v>
      </c>
      <c r="G180" s="145"/>
      <c r="H180" s="144"/>
      <c r="I180" s="144" t="s">
        <v>193</v>
      </c>
      <c r="J180" s="145"/>
      <c r="K180" s="303"/>
    </row>
    <row r="181" spans="1:11" hidden="1">
      <c r="A181" s="382"/>
      <c r="B181" s="91"/>
      <c r="C181" s="90" t="s">
        <v>191</v>
      </c>
      <c r="D181" s="95" t="e">
        <f>$D$163</f>
        <v>#REF!</v>
      </c>
      <c r="E181" s="91"/>
      <c r="F181" s="90" t="s">
        <v>191</v>
      </c>
      <c r="G181" s="95" t="e">
        <f>$D$164</f>
        <v>#REF!</v>
      </c>
      <c r="H181" s="90"/>
      <c r="I181" s="90" t="s">
        <v>191</v>
      </c>
      <c r="J181" s="95" t="e">
        <f>$D$165</f>
        <v>#REF!</v>
      </c>
      <c r="K181" s="260"/>
    </row>
    <row r="182" spans="1:11" hidden="1">
      <c r="A182" s="383"/>
      <c r="B182" s="93" t="s">
        <v>202</v>
      </c>
      <c r="C182" s="54" t="s">
        <v>203</v>
      </c>
      <c r="D182" s="81" t="s">
        <v>191</v>
      </c>
      <c r="E182" s="93" t="s">
        <v>202</v>
      </c>
      <c r="F182" s="54" t="s">
        <v>203</v>
      </c>
      <c r="G182" s="81" t="s">
        <v>191</v>
      </c>
      <c r="H182" s="54" t="s">
        <v>202</v>
      </c>
      <c r="I182" s="124" t="s">
        <v>203</v>
      </c>
      <c r="J182" s="81" t="s">
        <v>191</v>
      </c>
      <c r="K182" s="260"/>
    </row>
    <row r="183" spans="1:11" hidden="1">
      <c r="A183" s="378" t="s">
        <v>194</v>
      </c>
      <c r="B183" s="379">
        <f t="array" ref="B183:B188">TRANSPOSE(Model_Summary!F83:K83)</f>
        <v>0.5</v>
      </c>
      <c r="C183" s="374">
        <f t="shared" ref="C183:C188" si="10">1-B183</f>
        <v>0.5</v>
      </c>
      <c r="D183" s="358" t="e">
        <f t="shared" ref="D183:D188" si="11">B183/$B$163*$D$181</f>
        <v>#REF!</v>
      </c>
      <c r="E183" s="374">
        <f t="array" ref="E183:E188">TRANSPOSE(Model_Summary!F148:K148)</f>
        <v>0.9</v>
      </c>
      <c r="F183" s="374">
        <f t="shared" ref="F183:F188" si="12">1-E183</f>
        <v>9.9999999999999978E-2</v>
      </c>
      <c r="G183" s="358" t="e">
        <f t="shared" ref="G183:G188" si="13">E183/$B$164*$G$181</f>
        <v>#REF!</v>
      </c>
      <c r="H183" s="374">
        <f t="array" ref="H183:H188">TRANSPOSE(Model_Summary!F213:K213)</f>
        <v>0.84571428571428575</v>
      </c>
      <c r="I183" s="148">
        <f t="shared" ref="I183:I188" si="14">1-H183</f>
        <v>0.15428571428571425</v>
      </c>
      <c r="J183" s="358" t="e">
        <f t="shared" ref="J183:J188" si="15">H183/$B$165*$J$181</f>
        <v>#REF!</v>
      </c>
      <c r="K183" s="260"/>
    </row>
    <row r="184" spans="1:11" hidden="1">
      <c r="A184" s="378" t="s">
        <v>116</v>
      </c>
      <c r="B184" s="379">
        <v>0.5</v>
      </c>
      <c r="C184" s="374">
        <f t="shared" si="10"/>
        <v>0.5</v>
      </c>
      <c r="D184" s="358" t="e">
        <f t="shared" si="11"/>
        <v>#REF!</v>
      </c>
      <c r="E184" s="374">
        <v>0.9</v>
      </c>
      <c r="F184" s="374">
        <f t="shared" si="12"/>
        <v>9.9999999999999978E-2</v>
      </c>
      <c r="G184" s="358" t="e">
        <f t="shared" si="13"/>
        <v>#REF!</v>
      </c>
      <c r="H184" s="374">
        <v>0.891156462585034</v>
      </c>
      <c r="I184" s="148">
        <f t="shared" si="14"/>
        <v>0.108843537414966</v>
      </c>
      <c r="J184" s="358" t="e">
        <f t="shared" si="15"/>
        <v>#REF!</v>
      </c>
      <c r="K184" s="260"/>
    </row>
    <row r="185" spans="1:11" hidden="1">
      <c r="A185" s="378" t="s">
        <v>117</v>
      </c>
      <c r="B185" s="379">
        <v>0.12</v>
      </c>
      <c r="C185" s="374">
        <f t="shared" si="10"/>
        <v>0.88</v>
      </c>
      <c r="D185" s="358" t="e">
        <f t="shared" si="11"/>
        <v>#REF!</v>
      </c>
      <c r="E185" s="374">
        <v>0.89029003783102145</v>
      </c>
      <c r="F185" s="374">
        <f t="shared" si="12"/>
        <v>0.10970996216897855</v>
      </c>
      <c r="G185" s="358" t="e">
        <f t="shared" si="13"/>
        <v>#REF!</v>
      </c>
      <c r="H185" s="374">
        <v>0.92535211267605633</v>
      </c>
      <c r="I185" s="148">
        <f t="shared" si="14"/>
        <v>7.4647887323943674E-2</v>
      </c>
      <c r="J185" s="358" t="e">
        <f t="shared" si="15"/>
        <v>#REF!</v>
      </c>
      <c r="K185" s="260"/>
    </row>
    <row r="186" spans="1:11" hidden="1">
      <c r="A186" s="378" t="s">
        <v>118</v>
      </c>
      <c r="B186" s="379">
        <v>0.19</v>
      </c>
      <c r="C186" s="374">
        <f t="shared" si="10"/>
        <v>0.81</v>
      </c>
      <c r="D186" s="358" t="e">
        <f t="shared" si="11"/>
        <v>#REF!</v>
      </c>
      <c r="E186" s="374">
        <v>0.90071942446043163</v>
      </c>
      <c r="F186" s="374">
        <f t="shared" si="12"/>
        <v>9.9280575539568372E-2</v>
      </c>
      <c r="G186" s="358" t="e">
        <f t="shared" si="13"/>
        <v>#REF!</v>
      </c>
      <c r="H186" s="374">
        <v>0.91745283018867929</v>
      </c>
      <c r="I186" s="148">
        <f t="shared" si="14"/>
        <v>8.2547169811320709E-2</v>
      </c>
      <c r="J186" s="358" t="e">
        <f t="shared" si="15"/>
        <v>#REF!</v>
      </c>
      <c r="K186" s="260"/>
    </row>
    <row r="187" spans="1:11" hidden="1">
      <c r="A187" s="378" t="s">
        <v>195</v>
      </c>
      <c r="B187" s="379">
        <v>0.32</v>
      </c>
      <c r="C187" s="374">
        <f t="shared" si="10"/>
        <v>0.67999999999999994</v>
      </c>
      <c r="D187" s="358" t="e">
        <f t="shared" si="11"/>
        <v>#REF!</v>
      </c>
      <c r="E187" s="374">
        <v>0.88692098092643057</v>
      </c>
      <c r="F187" s="374">
        <f t="shared" si="12"/>
        <v>0.11307901907356943</v>
      </c>
      <c r="G187" s="358" t="e">
        <f t="shared" si="13"/>
        <v>#REF!</v>
      </c>
      <c r="H187" s="374">
        <v>0.90884718498659522</v>
      </c>
      <c r="I187" s="148">
        <f t="shared" si="14"/>
        <v>9.1152815013404775E-2</v>
      </c>
      <c r="J187" s="358" t="e">
        <f t="shared" si="15"/>
        <v>#REF!</v>
      </c>
      <c r="K187" s="260"/>
    </row>
    <row r="188" spans="1:11" hidden="1">
      <c r="A188" s="378" t="s">
        <v>196</v>
      </c>
      <c r="B188" s="380">
        <v>0.25675675675675674</v>
      </c>
      <c r="C188" s="376">
        <f t="shared" si="10"/>
        <v>0.7432432432432432</v>
      </c>
      <c r="D188" s="373" t="e">
        <f t="shared" si="11"/>
        <v>#REF!</v>
      </c>
      <c r="E188" s="376">
        <v>0.85359116022099446</v>
      </c>
      <c r="F188" s="376">
        <f t="shared" si="12"/>
        <v>0.14640883977900554</v>
      </c>
      <c r="G188" s="373" t="e">
        <f t="shared" si="13"/>
        <v>#REF!</v>
      </c>
      <c r="H188" s="376">
        <v>0.84168336673346689</v>
      </c>
      <c r="I188" s="149">
        <f t="shared" si="14"/>
        <v>0.15831663326653311</v>
      </c>
      <c r="J188" s="373" t="e">
        <f t="shared" si="15"/>
        <v>#REF!</v>
      </c>
      <c r="K188" s="260"/>
    </row>
    <row r="191" spans="1:11">
      <c r="A191" s="4" t="s">
        <v>208</v>
      </c>
      <c r="B191" s="260"/>
      <c r="C191" s="260"/>
      <c r="D191" s="260"/>
      <c r="E191" s="260"/>
      <c r="F191" s="260"/>
      <c r="G191" s="260"/>
      <c r="H191" s="260"/>
      <c r="J191" s="260"/>
      <c r="K191" s="260"/>
    </row>
    <row r="192" spans="1:11">
      <c r="A192" s="260" t="s">
        <v>209</v>
      </c>
      <c r="B192" s="384">
        <f>B223</f>
        <v>3216159290</v>
      </c>
      <c r="C192" s="526" t="s">
        <v>429</v>
      </c>
      <c r="D192" s="260"/>
      <c r="E192" s="260"/>
      <c r="F192" s="260"/>
      <c r="G192" s="260"/>
      <c r="H192" s="260"/>
      <c r="I192" s="122"/>
      <c r="J192" s="260"/>
      <c r="K192" s="260"/>
    </row>
    <row r="193" spans="1:11" ht="15" thickBot="1">
      <c r="A193" s="514" t="s">
        <v>420</v>
      </c>
      <c r="B193" s="384">
        <f>'Overhead Allocation'!H16</f>
        <v>20396</v>
      </c>
      <c r="C193" s="260"/>
      <c r="D193" s="260"/>
      <c r="E193" s="276"/>
      <c r="F193" s="260"/>
      <c r="G193" s="260"/>
      <c r="H193" s="260"/>
      <c r="I193" s="122"/>
      <c r="J193" s="260"/>
      <c r="K193" s="260"/>
    </row>
    <row r="194" spans="1:11" ht="15" thickBot="1">
      <c r="A194" s="260" t="s">
        <v>137</v>
      </c>
      <c r="B194" s="153">
        <f>(B192/B193)</f>
        <v>157685.78593841929</v>
      </c>
      <c r="C194" s="260"/>
      <c r="D194" s="298"/>
      <c r="E194" s="260"/>
      <c r="F194" s="260"/>
      <c r="G194" s="260"/>
      <c r="H194" s="260"/>
      <c r="I194" s="122"/>
      <c r="J194" s="260"/>
      <c r="K194" s="260"/>
    </row>
    <row r="195" spans="1:11">
      <c r="A195" s="260"/>
      <c r="B195" s="263"/>
      <c r="C195" s="260"/>
      <c r="D195" s="260"/>
      <c r="E195" s="260"/>
      <c r="F195" s="260"/>
      <c r="G195" s="260"/>
      <c r="H195" s="260"/>
      <c r="I195" s="122"/>
    </row>
    <row r="196" spans="1:11" hidden="1">
      <c r="A196" s="266"/>
      <c r="B196" s="264" t="s">
        <v>210</v>
      </c>
      <c r="C196" s="265" t="s">
        <v>13</v>
      </c>
      <c r="D196" s="260"/>
      <c r="E196" s="260"/>
      <c r="F196" s="260"/>
      <c r="G196" s="260"/>
      <c r="H196" s="122"/>
      <c r="I196" s="260"/>
    </row>
    <row r="197" spans="1:11" hidden="1">
      <c r="A197" s="266" t="s">
        <v>211</v>
      </c>
      <c r="B197" s="471">
        <v>0.7</v>
      </c>
      <c r="C197" s="472">
        <f>B193*B197</f>
        <v>14277.199999999999</v>
      </c>
      <c r="D197" s="260"/>
      <c r="E197" s="260"/>
      <c r="F197" s="260"/>
      <c r="G197" s="260"/>
      <c r="H197" s="122"/>
      <c r="I197" s="260"/>
    </row>
    <row r="198" spans="1:11" hidden="1">
      <c r="A198" s="266" t="s">
        <v>212</v>
      </c>
      <c r="B198" s="471">
        <v>0.3</v>
      </c>
      <c r="C198" s="472">
        <f>B198*B193</f>
        <v>6118.8</v>
      </c>
      <c r="D198" s="260"/>
      <c r="E198" s="260"/>
      <c r="F198" s="260"/>
      <c r="G198" s="260"/>
      <c r="H198" s="122"/>
      <c r="I198" s="260"/>
    </row>
    <row r="199" spans="1:11">
      <c r="A199" s="260"/>
      <c r="B199" s="276"/>
      <c r="C199" s="260"/>
      <c r="D199" s="260"/>
      <c r="E199" s="260"/>
      <c r="F199" s="260"/>
      <c r="G199" s="260"/>
      <c r="H199" s="260"/>
      <c r="I199" s="122"/>
    </row>
    <row r="200" spans="1:11" ht="15" thickBot="1">
      <c r="A200" s="169" t="s">
        <v>213</v>
      </c>
      <c r="B200" s="168" t="s">
        <v>520</v>
      </c>
      <c r="C200" s="687"/>
      <c r="D200" s="687"/>
      <c r="E200" s="260"/>
      <c r="F200" s="260"/>
      <c r="G200" s="260"/>
      <c r="H200" s="260"/>
      <c r="I200" s="122"/>
    </row>
    <row r="201" spans="1:11">
      <c r="A201" s="742" t="s">
        <v>214</v>
      </c>
      <c r="B201" s="743">
        <v>1617417000</v>
      </c>
      <c r="C201" s="246"/>
      <c r="D201" s="687"/>
      <c r="E201" s="260"/>
      <c r="F201" s="260"/>
      <c r="G201" s="260"/>
      <c r="H201" s="260"/>
      <c r="I201" s="122"/>
    </row>
    <row r="202" spans="1:11">
      <c r="A202" s="742" t="s">
        <v>503</v>
      </c>
      <c r="B202" s="743">
        <v>0</v>
      </c>
      <c r="C202" s="246"/>
      <c r="D202" s="687"/>
      <c r="E202" s="260"/>
      <c r="F202" s="260"/>
      <c r="G202" s="260"/>
      <c r="H202" s="260"/>
      <c r="I202" s="122"/>
    </row>
    <row r="203" spans="1:11">
      <c r="A203" s="742" t="s">
        <v>216</v>
      </c>
      <c r="B203" s="743">
        <v>288300000</v>
      </c>
      <c r="C203" s="246"/>
      <c r="D203" s="690"/>
      <c r="E203" s="260"/>
      <c r="F203" s="260"/>
      <c r="G203" s="260"/>
      <c r="H203" s="260"/>
      <c r="I203" s="122"/>
    </row>
    <row r="204" spans="1:11">
      <c r="A204" s="742" t="s">
        <v>217</v>
      </c>
      <c r="B204" s="743">
        <v>426926000</v>
      </c>
      <c r="C204" s="693"/>
      <c r="D204" s="687"/>
      <c r="E204" s="260"/>
      <c r="F204" s="260"/>
      <c r="G204" s="260"/>
      <c r="H204" s="260"/>
      <c r="I204" s="122"/>
    </row>
    <row r="205" spans="1:11">
      <c r="A205" s="742" t="s">
        <v>218</v>
      </c>
      <c r="B205" s="743">
        <v>154663000</v>
      </c>
      <c r="C205" s="693"/>
      <c r="D205" s="690"/>
      <c r="E205" s="260"/>
      <c r="F205" s="260"/>
      <c r="G205" s="260"/>
      <c r="H205" s="260"/>
      <c r="I205" s="122"/>
    </row>
    <row r="206" spans="1:11">
      <c r="A206" s="742" t="s">
        <v>219</v>
      </c>
      <c r="B206" s="743">
        <v>306241000</v>
      </c>
      <c r="C206" s="693"/>
      <c r="D206" s="687"/>
      <c r="E206" s="260"/>
      <c r="F206" s="260"/>
      <c r="G206" s="260"/>
      <c r="H206" s="260"/>
      <c r="I206" s="122"/>
    </row>
    <row r="207" spans="1:11">
      <c r="A207" s="742" t="s">
        <v>220</v>
      </c>
      <c r="B207" s="743">
        <v>27000000</v>
      </c>
      <c r="C207" s="693"/>
      <c r="D207" s="687"/>
      <c r="E207" s="260"/>
      <c r="F207" s="260"/>
      <c r="G207" s="260"/>
      <c r="H207" s="260"/>
      <c r="I207" s="122"/>
    </row>
    <row r="208" spans="1:11">
      <c r="A208" s="742" t="s">
        <v>521</v>
      </c>
      <c r="B208" s="743">
        <v>29395000</v>
      </c>
      <c r="C208" s="693"/>
      <c r="D208" s="687"/>
      <c r="E208" s="260"/>
      <c r="F208" s="260"/>
      <c r="G208" s="260"/>
      <c r="H208" s="260"/>
      <c r="I208" s="122"/>
    </row>
    <row r="209" spans="1:9">
      <c r="A209" s="742" t="s">
        <v>222</v>
      </c>
      <c r="B209" s="743">
        <v>101576000</v>
      </c>
      <c r="C209" s="693"/>
      <c r="D209" s="687"/>
      <c r="E209" s="260"/>
      <c r="F209" s="260"/>
      <c r="G209" s="260"/>
      <c r="H209" s="260"/>
      <c r="I209" s="122"/>
    </row>
    <row r="210" spans="1:9">
      <c r="A210" s="742" t="s">
        <v>223</v>
      </c>
      <c r="B210" s="743">
        <v>1240000</v>
      </c>
      <c r="C210" s="693"/>
      <c r="D210" s="687"/>
      <c r="E210" s="260"/>
      <c r="F210" s="260"/>
      <c r="G210" s="260"/>
      <c r="H210" s="260"/>
      <c r="I210" s="122"/>
    </row>
    <row r="211" spans="1:9">
      <c r="A211" s="742" t="s">
        <v>224</v>
      </c>
      <c r="B211" s="743">
        <v>77050000</v>
      </c>
      <c r="C211" s="246"/>
      <c r="D211" s="687"/>
      <c r="E211" s="260"/>
      <c r="F211" s="260"/>
      <c r="G211" s="260"/>
      <c r="H211" s="260"/>
      <c r="I211" s="122"/>
    </row>
    <row r="212" spans="1:9">
      <c r="A212" s="742" t="s">
        <v>225</v>
      </c>
      <c r="B212" s="743">
        <v>2734000</v>
      </c>
      <c r="C212" s="693"/>
      <c r="D212" s="687"/>
      <c r="E212" s="497"/>
      <c r="F212" s="260"/>
      <c r="G212" s="260"/>
      <c r="H212" s="260"/>
      <c r="I212" s="122"/>
    </row>
    <row r="213" spans="1:9">
      <c r="A213" s="742" t="s">
        <v>226</v>
      </c>
      <c r="B213" s="743">
        <v>0</v>
      </c>
      <c r="C213" s="693"/>
      <c r="D213" s="687"/>
      <c r="E213" s="497"/>
      <c r="F213" s="260"/>
      <c r="G213" s="260"/>
      <c r="H213" s="260"/>
      <c r="I213" s="122"/>
    </row>
    <row r="214" spans="1:9">
      <c r="A214" s="742" t="s">
        <v>227</v>
      </c>
      <c r="B214" s="743">
        <v>145715000</v>
      </c>
      <c r="C214" s="693"/>
      <c r="D214" s="687"/>
      <c r="E214" s="260"/>
      <c r="F214" s="260"/>
      <c r="G214" s="260"/>
      <c r="H214" s="260"/>
      <c r="I214" s="122"/>
    </row>
    <row r="215" spans="1:9">
      <c r="A215" s="741"/>
      <c r="B215" s="170">
        <f>SUM(B201:B214)</f>
        <v>3178257000</v>
      </c>
      <c r="C215" s="693"/>
      <c r="D215" s="687"/>
      <c r="E215" s="260"/>
      <c r="F215" s="260"/>
      <c r="G215" s="260"/>
      <c r="H215" s="260"/>
      <c r="I215" s="122"/>
    </row>
    <row r="216" spans="1:9">
      <c r="A216" s="564" t="s">
        <v>228</v>
      </c>
      <c r="B216" s="29"/>
      <c r="C216" s="687"/>
      <c r="D216" s="687"/>
      <c r="E216" s="260"/>
      <c r="F216" s="260"/>
      <c r="G216" s="260"/>
      <c r="H216" s="260"/>
      <c r="I216" s="122"/>
    </row>
    <row r="217" spans="1:9">
      <c r="A217" s="742" t="s">
        <v>66</v>
      </c>
      <c r="B217" s="743">
        <v>0</v>
      </c>
      <c r="C217" s="246"/>
      <c r="D217" s="687"/>
      <c r="E217" s="260"/>
      <c r="F217" s="260"/>
      <c r="G217" s="260"/>
      <c r="H217" s="260"/>
      <c r="I217" s="122"/>
    </row>
    <row r="218" spans="1:9">
      <c r="A218" s="742" t="s">
        <v>67</v>
      </c>
      <c r="B218" s="743">
        <v>120000000</v>
      </c>
      <c r="C218" s="694">
        <f>225000*420</f>
        <v>94500000</v>
      </c>
      <c r="D218" s="687" t="s">
        <v>504</v>
      </c>
      <c r="E218" s="260"/>
      <c r="F218" s="260"/>
      <c r="G218" s="260"/>
      <c r="H218" s="260"/>
      <c r="I218" s="122"/>
    </row>
    <row r="219" spans="1:9">
      <c r="A219" s="742" t="s">
        <v>233</v>
      </c>
      <c r="B219" s="743">
        <v>33862000</v>
      </c>
      <c r="C219" s="694">
        <f>75000*420</f>
        <v>31500000</v>
      </c>
      <c r="D219" s="687" t="s">
        <v>505</v>
      </c>
      <c r="E219" s="260"/>
      <c r="F219" s="260"/>
      <c r="G219" s="260"/>
      <c r="H219" s="260"/>
      <c r="I219" s="122"/>
    </row>
    <row r="220" spans="1:9">
      <c r="A220" s="742" t="s">
        <v>522</v>
      </c>
      <c r="B220" s="743">
        <v>3310000</v>
      </c>
      <c r="C220" s="690"/>
      <c r="D220" s="687"/>
      <c r="E220" s="260"/>
      <c r="F220" s="260"/>
      <c r="G220" s="260"/>
      <c r="H220" s="260"/>
      <c r="I220" s="122"/>
    </row>
    <row r="221" spans="1:9">
      <c r="A221" s="741" t="s">
        <v>234</v>
      </c>
      <c r="B221" s="743"/>
      <c r="C221" s="695"/>
      <c r="D221" s="687"/>
      <c r="E221" s="260"/>
      <c r="F221" s="260"/>
      <c r="G221" s="260"/>
      <c r="H221" s="260"/>
      <c r="I221" s="122"/>
    </row>
    <row r="222" spans="1:9">
      <c r="A222" s="741" t="s">
        <v>236</v>
      </c>
      <c r="B222" s="743">
        <f>-B203*'[2]Marketing Split'!E6</f>
        <v>-119269710</v>
      </c>
      <c r="C222" s="695"/>
      <c r="D222" s="687"/>
      <c r="E222" s="308"/>
      <c r="F222" s="260"/>
      <c r="G222" s="260"/>
      <c r="H222" s="260"/>
      <c r="I222" s="122"/>
    </row>
    <row r="223" spans="1:9" ht="15" thickBot="1">
      <c r="A223" s="741" t="s">
        <v>237</v>
      </c>
      <c r="B223" s="5">
        <f>SUM(B215:B222)</f>
        <v>3216159290</v>
      </c>
      <c r="C223" s="695"/>
      <c r="D223" s="687"/>
      <c r="E223" s="308"/>
      <c r="F223" s="260"/>
      <c r="G223" s="260"/>
      <c r="H223" s="260"/>
      <c r="I223" s="122"/>
    </row>
    <row r="224" spans="1:9" ht="15" thickTop="1">
      <c r="A224" s="260"/>
      <c r="B224" s="260"/>
      <c r="C224" s="275"/>
      <c r="D224" s="260"/>
      <c r="E224" s="308"/>
      <c r="F224" s="260"/>
      <c r="G224" s="260"/>
      <c r="H224" s="260"/>
      <c r="I224" s="122"/>
    </row>
    <row r="225" spans="1:9">
      <c r="A225" s="4" t="s">
        <v>238</v>
      </c>
      <c r="B225" s="260"/>
      <c r="C225" s="260"/>
      <c r="D225" s="260"/>
      <c r="E225" s="308"/>
      <c r="F225" s="260"/>
      <c r="G225" s="260"/>
      <c r="H225" s="260"/>
      <c r="I225" s="122"/>
    </row>
    <row r="226" spans="1:9">
      <c r="A226" s="260"/>
      <c r="B226" s="276"/>
      <c r="C226" s="260"/>
      <c r="D226" s="260"/>
      <c r="E226" s="260"/>
      <c r="F226" s="260"/>
      <c r="G226" s="260"/>
      <c r="H226" s="260"/>
      <c r="I226" s="122"/>
    </row>
    <row r="227" spans="1:9">
      <c r="A227" s="260" t="s">
        <v>239</v>
      </c>
      <c r="B227" s="294">
        <f>E7</f>
        <v>398971.67125583626</v>
      </c>
      <c r="C227" s="260"/>
      <c r="D227" s="260"/>
      <c r="E227" s="260"/>
      <c r="F227" s="260"/>
      <c r="G227" s="260"/>
      <c r="H227" s="260"/>
      <c r="I227" s="122"/>
    </row>
    <row r="228" spans="1:9" ht="15" thickBot="1">
      <c r="A228" s="260"/>
      <c r="B228" s="219"/>
      <c r="C228" s="260"/>
      <c r="D228" s="260"/>
      <c r="E228" s="260"/>
      <c r="F228" s="260"/>
      <c r="G228" s="260"/>
      <c r="H228" s="260"/>
      <c r="I228" s="122"/>
    </row>
    <row r="229" spans="1:9" ht="15" thickTop="1">
      <c r="A229" s="260"/>
      <c r="B229" s="76"/>
      <c r="C229" s="260"/>
      <c r="D229" s="260"/>
      <c r="E229" s="260"/>
      <c r="F229" s="260"/>
      <c r="G229" s="260"/>
      <c r="H229" s="260"/>
      <c r="I229" s="122"/>
    </row>
    <row r="230" spans="1:9">
      <c r="A230" s="260"/>
      <c r="B230" s="76"/>
      <c r="C230" s="260"/>
      <c r="D230" s="260"/>
      <c r="E230" s="280"/>
      <c r="F230" s="260"/>
      <c r="G230" s="260"/>
      <c r="H230" s="260"/>
      <c r="I230" s="122"/>
    </row>
    <row r="231" spans="1:9">
      <c r="A231" s="649" t="s">
        <v>476</v>
      </c>
      <c r="B231" s="650"/>
      <c r="C231" s="651"/>
      <c r="D231" s="652"/>
      <c r="E231" s="280"/>
      <c r="F231" s="52" t="s">
        <v>500</v>
      </c>
      <c r="G231" s="563" t="s">
        <v>501</v>
      </c>
      <c r="H231" s="260"/>
      <c r="I231" s="122"/>
    </row>
    <row r="232" spans="1:9">
      <c r="A232" s="653"/>
      <c r="B232" s="491" t="s">
        <v>156</v>
      </c>
      <c r="C232" s="648" t="s">
        <v>477</v>
      </c>
      <c r="D232" s="654" t="s">
        <v>478</v>
      </c>
      <c r="E232" s="280"/>
      <c r="F232" s="688">
        <v>293</v>
      </c>
      <c r="G232" s="687">
        <v>100</v>
      </c>
      <c r="H232" s="260"/>
      <c r="I232" s="122"/>
    </row>
    <row r="233" spans="1:9">
      <c r="A233" s="653"/>
      <c r="B233" s="491"/>
      <c r="C233" s="648"/>
      <c r="D233" s="654"/>
      <c r="E233" s="260"/>
      <c r="F233" s="689">
        <v>0.5</v>
      </c>
      <c r="G233" s="689">
        <v>0.5</v>
      </c>
      <c r="H233" s="260"/>
      <c r="I233" s="122"/>
    </row>
    <row r="234" spans="1:9">
      <c r="A234" s="655">
        <v>44013</v>
      </c>
      <c r="B234" s="491">
        <v>14320</v>
      </c>
      <c r="C234" s="648">
        <v>1352</v>
      </c>
      <c r="D234" s="656">
        <f>C234/B234</f>
        <v>9.4413407821229048E-2</v>
      </c>
      <c r="E234" s="260"/>
      <c r="F234" s="690"/>
      <c r="G234" s="687"/>
      <c r="H234" s="260"/>
      <c r="I234" s="122"/>
    </row>
    <row r="235" spans="1:9">
      <c r="A235" s="655">
        <v>44044</v>
      </c>
      <c r="B235" s="491">
        <v>16234</v>
      </c>
      <c r="C235" s="648">
        <v>1728</v>
      </c>
      <c r="D235" s="656">
        <f t="shared" ref="D235:D236" si="16">C235/B235</f>
        <v>0.10644326721695208</v>
      </c>
      <c r="E235" s="260"/>
      <c r="F235" s="691" t="s">
        <v>502</v>
      </c>
      <c r="G235" s="692">
        <f>SUMPRODUCT(F232:G232,F233:G233)/SUM(F233:G233)</f>
        <v>196.5</v>
      </c>
      <c r="H235" s="260"/>
    </row>
    <row r="236" spans="1:9">
      <c r="A236" s="655">
        <v>44075</v>
      </c>
      <c r="B236" s="491">
        <v>17874</v>
      </c>
      <c r="C236" s="648">
        <v>2251</v>
      </c>
      <c r="D236" s="656">
        <f t="shared" si="16"/>
        <v>0.12593711536309724</v>
      </c>
      <c r="E236" s="260"/>
      <c r="F236" s="260"/>
      <c r="G236" s="260"/>
      <c r="H236" s="260"/>
    </row>
    <row r="237" spans="1:9">
      <c r="A237" s="657"/>
      <c r="B237" s="88"/>
      <c r="C237" s="598" t="s">
        <v>479</v>
      </c>
      <c r="D237" s="658">
        <f>(SUM(D234:D236)/3)</f>
        <v>0.10893126346709277</v>
      </c>
      <c r="E237" s="260"/>
      <c r="F237" s="260"/>
      <c r="G237" s="260"/>
      <c r="H237" s="260"/>
    </row>
    <row r="238" spans="1:9">
      <c r="A238" s="260"/>
      <c r="B238" s="76"/>
      <c r="C238" s="260"/>
      <c r="D238" s="260"/>
      <c r="E238" s="260"/>
      <c r="F238" s="260"/>
      <c r="G238" s="260"/>
      <c r="H238" s="260"/>
    </row>
    <row r="239" spans="1:9">
      <c r="A239" s="260"/>
      <c r="B239" s="76"/>
      <c r="C239" s="260"/>
      <c r="D239" s="260"/>
      <c r="E239" s="260"/>
      <c r="F239" s="260"/>
      <c r="G239" s="260"/>
      <c r="H239" s="260"/>
    </row>
    <row r="240" spans="1:9">
      <c r="A240" s="260"/>
      <c r="B240" s="76"/>
      <c r="C240" s="260"/>
      <c r="D240" s="260"/>
      <c r="E240" s="260"/>
      <c r="F240" s="260"/>
      <c r="G240" s="260"/>
      <c r="H240" s="260"/>
    </row>
    <row r="241" spans="1:9" hidden="1">
      <c r="A241" s="231" t="s">
        <v>240</v>
      </c>
      <c r="B241" s="262"/>
      <c r="C241" s="262"/>
      <c r="D241" s="262"/>
      <c r="E241" s="260"/>
      <c r="F241" s="260"/>
      <c r="G241" s="260"/>
      <c r="H241" s="260"/>
    </row>
    <row r="242" spans="1:9" hidden="1">
      <c r="A242" s="231" t="s">
        <v>241</v>
      </c>
      <c r="B242" s="262"/>
      <c r="C242" s="262"/>
      <c r="D242" s="262"/>
      <c r="E242" s="260"/>
      <c r="F242" s="260"/>
      <c r="G242" s="260"/>
      <c r="H242" s="260"/>
    </row>
    <row r="243" spans="1:9" ht="15" hidden="1" thickBot="1">
      <c r="A243" s="761"/>
      <c r="B243" s="761"/>
      <c r="C243" s="262"/>
      <c r="D243" s="262"/>
      <c r="E243" s="260"/>
      <c r="F243" s="260"/>
      <c r="G243" s="260"/>
      <c r="H243" s="260"/>
    </row>
    <row r="244" spans="1:9" ht="15" hidden="1" thickBot="1">
      <c r="A244" s="232" t="s">
        <v>242</v>
      </c>
      <c r="B244" s="233" t="s">
        <v>243</v>
      </c>
      <c r="C244" s="233" t="s">
        <v>244</v>
      </c>
      <c r="D244" s="262"/>
      <c r="E244" s="260"/>
      <c r="F244" s="260"/>
      <c r="G244" s="260"/>
      <c r="H244" s="260"/>
    </row>
    <row r="245" spans="1:9" ht="15" hidden="1" thickBot="1">
      <c r="A245" s="234">
        <v>50</v>
      </c>
      <c r="B245" s="235">
        <v>129</v>
      </c>
      <c r="C245" s="236">
        <f t="array" ref="C245:C250">TRANSPOSE(Model_Summary!$F$85:$K$85)</f>
        <v>0.29999999999999971</v>
      </c>
      <c r="D245" s="262"/>
      <c r="E245" s="282"/>
      <c r="F245" s="260"/>
      <c r="G245" s="260"/>
      <c r="H245" s="260"/>
    </row>
    <row r="246" spans="1:9" ht="15" hidden="1" thickBot="1">
      <c r="A246" s="234">
        <v>130</v>
      </c>
      <c r="B246" s="235">
        <v>199</v>
      </c>
      <c r="C246" s="236">
        <v>0.29999999999999971</v>
      </c>
      <c r="D246" s="262"/>
      <c r="E246" s="282"/>
      <c r="F246" s="260"/>
      <c r="G246" s="260"/>
      <c r="H246" s="260"/>
    </row>
    <row r="247" spans="1:9" ht="15" hidden="1" thickBot="1">
      <c r="A247" s="234">
        <v>200</v>
      </c>
      <c r="B247" s="235">
        <v>319</v>
      </c>
      <c r="C247" s="236">
        <v>8.8123555729852698E-2</v>
      </c>
      <c r="D247" s="262"/>
      <c r="E247" s="282"/>
      <c r="F247" s="260"/>
      <c r="G247" s="260"/>
      <c r="H247" s="260"/>
    </row>
    <row r="248" spans="1:9" ht="15" hidden="1" thickBot="1">
      <c r="A248" s="234">
        <v>320</v>
      </c>
      <c r="B248" s="235">
        <v>679</v>
      </c>
      <c r="C248" s="236">
        <v>8.5259380039840502E-2</v>
      </c>
      <c r="D248" s="262"/>
      <c r="E248" s="282"/>
      <c r="F248" s="260"/>
      <c r="G248" s="260"/>
      <c r="H248" s="260"/>
    </row>
    <row r="249" spans="1:9" ht="15" hidden="1" thickBot="1">
      <c r="A249" s="234">
        <v>680</v>
      </c>
      <c r="B249" s="235">
        <v>1999</v>
      </c>
      <c r="C249" s="236">
        <v>6.6153226409019689E-2</v>
      </c>
      <c r="D249" s="262"/>
      <c r="E249" s="282"/>
      <c r="F249" s="260"/>
      <c r="G249" s="260"/>
      <c r="H249" s="260"/>
    </row>
    <row r="250" spans="1:9" ht="15" hidden="1" thickBot="1">
      <c r="A250" s="234">
        <v>2000</v>
      </c>
      <c r="B250" s="235" t="s">
        <v>245</v>
      </c>
      <c r="C250" s="236">
        <v>6.3131644929473762E-2</v>
      </c>
      <c r="D250" s="262"/>
      <c r="E250" s="260"/>
      <c r="F250" s="260"/>
      <c r="G250" s="260"/>
      <c r="H250" s="260"/>
      <c r="I250" s="260"/>
    </row>
    <row r="251" spans="1:9" hidden="1">
      <c r="A251" s="262"/>
      <c r="B251" s="385"/>
      <c r="C251" s="262"/>
      <c r="D251" s="262"/>
      <c r="E251" s="260"/>
      <c r="F251" s="260"/>
      <c r="G251" s="260"/>
      <c r="H251" s="260"/>
      <c r="I251" s="260"/>
    </row>
    <row r="252" spans="1:9" hidden="1">
      <c r="A252" s="231" t="s">
        <v>246</v>
      </c>
      <c r="B252" s="231"/>
      <c r="C252" s="262"/>
      <c r="D252" s="262"/>
      <c r="E252" s="260"/>
      <c r="F252" s="260"/>
      <c r="G252" s="260"/>
      <c r="H252" s="260"/>
      <c r="I252" s="260"/>
    </row>
    <row r="253" spans="1:9" ht="15" hidden="1" thickBot="1">
      <c r="A253" s="232" t="s">
        <v>242</v>
      </c>
      <c r="B253" s="233" t="s">
        <v>243</v>
      </c>
      <c r="C253" s="233" t="s">
        <v>244</v>
      </c>
      <c r="D253" s="262"/>
      <c r="E253" s="260"/>
      <c r="F253" s="260"/>
      <c r="G253" s="260"/>
      <c r="H253" s="260"/>
      <c r="I253" s="260"/>
    </row>
    <row r="254" spans="1:9" ht="15" hidden="1" thickBot="1">
      <c r="A254" s="234">
        <v>50</v>
      </c>
      <c r="B254" s="235">
        <v>129</v>
      </c>
      <c r="C254" s="236">
        <f t="array" ref="C254:C259">TRANSPOSE(Model_Summary!$F$149:$K$149)</f>
        <v>0.22500000000000028</v>
      </c>
      <c r="D254" s="262"/>
      <c r="E254" s="282"/>
      <c r="F254" s="260"/>
      <c r="G254" s="260"/>
      <c r="H254" s="260"/>
      <c r="I254" s="260"/>
    </row>
    <row r="255" spans="1:9" ht="15" hidden="1" thickBot="1">
      <c r="A255" s="234">
        <v>130</v>
      </c>
      <c r="B255" s="235">
        <v>199</v>
      </c>
      <c r="C255" s="236">
        <v>0.22500000000000028</v>
      </c>
      <c r="D255" s="262"/>
      <c r="E255" s="282"/>
      <c r="F255" s="260"/>
      <c r="G255" s="260"/>
      <c r="H255" s="260"/>
      <c r="I255" s="260"/>
    </row>
    <row r="256" spans="1:9" ht="15" hidden="1" thickBot="1">
      <c r="A256" s="234">
        <v>200</v>
      </c>
      <c r="B256" s="235">
        <v>319</v>
      </c>
      <c r="C256" s="236">
        <v>7.6550827397645904E-2</v>
      </c>
      <c r="D256" s="262"/>
      <c r="E256" s="282"/>
      <c r="F256" s="260"/>
      <c r="G256" s="260"/>
      <c r="H256" s="260"/>
      <c r="I256" s="260"/>
    </row>
    <row r="257" spans="1:9" ht="15" hidden="1" thickBot="1">
      <c r="A257" s="234">
        <v>320</v>
      </c>
      <c r="B257" s="235">
        <v>679</v>
      </c>
      <c r="C257" s="236">
        <v>7.3607288877850674E-2</v>
      </c>
      <c r="D257" s="262"/>
      <c r="E257" s="282"/>
      <c r="F257" s="260"/>
      <c r="G257" s="260"/>
      <c r="H257" s="260"/>
      <c r="I257" s="260"/>
    </row>
    <row r="258" spans="1:9" ht="15" hidden="1" thickBot="1">
      <c r="A258" s="234">
        <v>680</v>
      </c>
      <c r="B258" s="235">
        <v>1999</v>
      </c>
      <c r="C258" s="236">
        <v>5.7015761698186812E-2</v>
      </c>
      <c r="D258" s="262"/>
      <c r="E258" s="282"/>
      <c r="F258" s="260"/>
      <c r="G258" s="260"/>
      <c r="H258" s="260"/>
      <c r="I258" s="260"/>
    </row>
    <row r="259" spans="1:9" ht="15" hidden="1" thickBot="1">
      <c r="A259" s="234">
        <v>2000</v>
      </c>
      <c r="B259" s="235" t="s">
        <v>245</v>
      </c>
      <c r="C259" s="236">
        <v>5.391980220160545E-2</v>
      </c>
      <c r="D259" s="262"/>
      <c r="E259" s="282"/>
      <c r="F259" s="260"/>
      <c r="G259" s="260"/>
      <c r="H259" s="260"/>
      <c r="I259" s="260"/>
    </row>
    <row r="260" spans="1:9" hidden="1">
      <c r="A260" s="237"/>
      <c r="B260" s="237"/>
      <c r="C260" s="238"/>
      <c r="D260" s="262"/>
      <c r="E260" s="260"/>
      <c r="F260" s="260"/>
      <c r="G260" s="260"/>
      <c r="H260" s="260"/>
      <c r="I260" s="260"/>
    </row>
    <row r="261" spans="1:9" hidden="1">
      <c r="A261" s="231" t="s">
        <v>247</v>
      </c>
      <c r="B261" s="231"/>
      <c r="C261" s="262"/>
      <c r="D261" s="262"/>
      <c r="E261" s="260"/>
      <c r="F261" s="260"/>
      <c r="G261" s="260"/>
      <c r="H261" s="260"/>
      <c r="I261" s="260"/>
    </row>
    <row r="262" spans="1:9" ht="15" hidden="1" thickBot="1">
      <c r="A262" s="232" t="s">
        <v>242</v>
      </c>
      <c r="B262" s="233" t="s">
        <v>243</v>
      </c>
      <c r="C262" s="233" t="s">
        <v>244</v>
      </c>
      <c r="D262" s="262"/>
      <c r="E262" s="260"/>
      <c r="F262" s="260"/>
      <c r="G262" s="260"/>
      <c r="H262" s="260"/>
      <c r="I262" s="260"/>
    </row>
    <row r="263" spans="1:9" ht="15" hidden="1" thickBot="1">
      <c r="A263" s="234">
        <v>50</v>
      </c>
      <c r="B263" s="235">
        <v>129</v>
      </c>
      <c r="C263" s="236">
        <f t="array" ref="C263:C268">TRANSPOSE(Model_Summary!$F$214:$K$214)</f>
        <v>0.17999999999999994</v>
      </c>
      <c r="D263" s="262"/>
      <c r="E263" s="282"/>
      <c r="F263" s="282"/>
      <c r="G263" s="260"/>
      <c r="H263" s="260"/>
      <c r="I263" s="260"/>
    </row>
    <row r="264" spans="1:9" ht="15" hidden="1" thickBot="1">
      <c r="A264" s="234">
        <v>130</v>
      </c>
      <c r="B264" s="235">
        <v>199</v>
      </c>
      <c r="C264" s="236">
        <v>0.17999999999999994</v>
      </c>
      <c r="D264" s="262"/>
      <c r="E264" s="282"/>
      <c r="F264" s="282"/>
      <c r="G264" s="260"/>
      <c r="H264" s="260"/>
      <c r="I264" s="260"/>
    </row>
    <row r="265" spans="1:9" ht="15" hidden="1" thickBot="1">
      <c r="A265" s="234">
        <v>200</v>
      </c>
      <c r="B265" s="235">
        <v>319</v>
      </c>
      <c r="C265" s="236">
        <v>8.8123555729852698E-2</v>
      </c>
      <c r="D265" s="262"/>
      <c r="E265" s="282"/>
      <c r="F265" s="282"/>
      <c r="G265" s="260"/>
      <c r="H265" s="260"/>
      <c r="I265" s="260"/>
    </row>
    <row r="266" spans="1:9" ht="15" hidden="1" thickBot="1">
      <c r="A266" s="234">
        <v>320</v>
      </c>
      <c r="B266" s="235">
        <v>679</v>
      </c>
      <c r="C266" s="236">
        <v>8.5259380039840502E-2</v>
      </c>
      <c r="D266" s="262"/>
      <c r="E266" s="282"/>
      <c r="F266" s="282"/>
      <c r="G266" s="260"/>
      <c r="H266" s="260"/>
    </row>
    <row r="267" spans="1:9" ht="15" hidden="1" thickBot="1">
      <c r="A267" s="234">
        <v>680</v>
      </c>
      <c r="B267" s="235">
        <v>1999</v>
      </c>
      <c r="C267" s="236">
        <v>6.6153226409019689E-2</v>
      </c>
      <c r="D267" s="262"/>
      <c r="E267" s="282"/>
      <c r="F267" s="282"/>
      <c r="G267" s="260"/>
      <c r="H267" s="260"/>
    </row>
    <row r="268" spans="1:9" ht="15" hidden="1" thickBot="1">
      <c r="A268" s="234">
        <v>2000</v>
      </c>
      <c r="B268" s="235" t="s">
        <v>245</v>
      </c>
      <c r="C268" s="236">
        <v>6.3131644929473762E-2</v>
      </c>
      <c r="D268" s="262"/>
      <c r="E268" s="282"/>
      <c r="F268" s="282"/>
      <c r="G268" s="260"/>
      <c r="H268" s="260"/>
    </row>
    <row r="269" spans="1:9" hidden="1">
      <c r="A269" s="237"/>
      <c r="B269" s="237"/>
      <c r="C269" s="238"/>
      <c r="D269" s="262"/>
      <c r="E269" s="260"/>
      <c r="F269" s="260"/>
      <c r="G269" s="260"/>
      <c r="H269" s="260"/>
    </row>
    <row r="270" spans="1:9" hidden="1">
      <c r="A270" s="237"/>
      <c r="B270" s="237"/>
      <c r="C270" s="238"/>
      <c r="D270" s="262"/>
      <c r="E270" s="260"/>
      <c r="F270" s="260"/>
      <c r="G270" s="260"/>
      <c r="H270" s="260"/>
    </row>
    <row r="271" spans="1:9" hidden="1">
      <c r="A271" s="231" t="s">
        <v>187</v>
      </c>
      <c r="B271" s="231"/>
      <c r="C271" s="262"/>
      <c r="D271" s="262"/>
      <c r="E271" s="260"/>
      <c r="F271" s="260"/>
      <c r="G271" s="260"/>
      <c r="H271" s="260"/>
    </row>
    <row r="272" spans="1:9" ht="15" hidden="1" thickBot="1">
      <c r="A272" s="232" t="s">
        <v>242</v>
      </c>
      <c r="B272" s="233" t="s">
        <v>243</v>
      </c>
      <c r="C272" s="233" t="s">
        <v>244</v>
      </c>
      <c r="D272" s="262"/>
      <c r="E272" s="260"/>
      <c r="F272" s="260"/>
      <c r="G272" s="260"/>
      <c r="H272" s="260"/>
    </row>
    <row r="273" spans="1:15" ht="15" hidden="1" thickBot="1">
      <c r="A273" s="234" t="s">
        <v>248</v>
      </c>
      <c r="B273" s="235" t="s">
        <v>249</v>
      </c>
      <c r="C273" s="236">
        <v>0.13569999999999999</v>
      </c>
      <c r="D273" s="262"/>
      <c r="E273" s="282"/>
      <c r="F273" s="260"/>
      <c r="G273" s="260"/>
      <c r="H273" s="260"/>
    </row>
    <row r="274" spans="1:15" ht="15" hidden="1" thickBot="1">
      <c r="A274" s="234" t="s">
        <v>250</v>
      </c>
      <c r="B274" s="235" t="s">
        <v>251</v>
      </c>
      <c r="C274" s="236">
        <v>0.13589999999999999</v>
      </c>
      <c r="D274" s="262"/>
      <c r="E274" s="260"/>
      <c r="F274" s="260"/>
      <c r="G274" s="260"/>
      <c r="H274" s="260"/>
    </row>
    <row r="275" spans="1:15" ht="15" hidden="1" thickBot="1">
      <c r="A275" s="234" t="s">
        <v>252</v>
      </c>
      <c r="B275" s="235" t="s">
        <v>253</v>
      </c>
      <c r="C275" s="236">
        <v>0.1079</v>
      </c>
      <c r="D275" s="262"/>
      <c r="E275" s="260"/>
      <c r="F275" s="260"/>
      <c r="G275" s="260"/>
      <c r="H275" s="260"/>
      <c r="J275" s="260"/>
      <c r="K275" s="260"/>
    </row>
    <row r="276" spans="1:15" ht="15" hidden="1" thickBot="1">
      <c r="A276" s="234" t="s">
        <v>254</v>
      </c>
      <c r="B276" s="235" t="s">
        <v>255</v>
      </c>
      <c r="C276" s="236">
        <v>9.3799999999999994E-2</v>
      </c>
      <c r="D276" s="262"/>
      <c r="E276" s="260"/>
      <c r="F276" s="260"/>
      <c r="G276" s="260"/>
      <c r="H276" s="260"/>
      <c r="J276" s="260"/>
      <c r="K276" s="260"/>
    </row>
    <row r="277" spans="1:15" ht="15" hidden="1" thickBot="1">
      <c r="A277" s="234" t="s">
        <v>256</v>
      </c>
      <c r="B277" s="235" t="s">
        <v>245</v>
      </c>
      <c r="C277" s="236">
        <v>7.9399999999999998E-2</v>
      </c>
      <c r="D277" s="262"/>
      <c r="E277" s="260"/>
      <c r="F277" s="260"/>
      <c r="G277" s="260"/>
      <c r="H277" s="260"/>
      <c r="J277" s="260"/>
      <c r="K277" s="260"/>
    </row>
    <row r="278" spans="1:15" hidden="1">
      <c r="A278" s="96"/>
      <c r="B278" s="96"/>
      <c r="C278" s="97"/>
      <c r="D278" s="260"/>
      <c r="E278" s="260"/>
      <c r="F278" s="260"/>
      <c r="G278" s="260"/>
      <c r="H278" s="260"/>
      <c r="J278" s="260"/>
      <c r="K278" s="260"/>
    </row>
    <row r="279" spans="1:15">
      <c r="A279" s="260"/>
      <c r="B279" s="260"/>
      <c r="C279" s="260"/>
      <c r="D279" s="260"/>
      <c r="E279" s="260"/>
      <c r="F279" s="260"/>
      <c r="G279" s="260"/>
      <c r="H279" s="260"/>
      <c r="J279" s="260"/>
      <c r="K279" s="260"/>
    </row>
    <row r="280" spans="1:15" s="110" customFormat="1" ht="15" thickBot="1">
      <c r="A280" s="86" t="s">
        <v>257</v>
      </c>
      <c r="B280" s="334"/>
      <c r="C280" s="334"/>
      <c r="D280" s="334"/>
      <c r="E280" s="334"/>
      <c r="F280" s="334"/>
      <c r="G280" s="334"/>
      <c r="H280" s="334"/>
      <c r="I280" s="86" t="s">
        <v>257</v>
      </c>
      <c r="J280" s="334"/>
      <c r="K280" s="334"/>
      <c r="L280" s="334"/>
      <c r="M280" s="334"/>
      <c r="N280" s="334"/>
      <c r="O280" s="334"/>
    </row>
    <row r="281" spans="1:15" s="110" customFormat="1">
      <c r="A281" s="117" t="s">
        <v>381</v>
      </c>
      <c r="B281" s="386"/>
      <c r="C281" s="386"/>
      <c r="D281" s="116"/>
      <c r="E281" s="386"/>
      <c r="F281" s="386"/>
      <c r="G281" s="260"/>
      <c r="H281" s="260"/>
      <c r="I281" s="117" t="s">
        <v>382</v>
      </c>
      <c r="J281" s="386"/>
      <c r="K281" s="386"/>
      <c r="L281" s="116"/>
      <c r="M281" s="386"/>
      <c r="N281" s="386"/>
      <c r="O281" s="260"/>
    </row>
    <row r="282" spans="1:15" s="110" customFormat="1">
      <c r="A282" s="260"/>
      <c r="B282" s="71" t="s">
        <v>258</v>
      </c>
      <c r="C282" s="71" t="s">
        <v>3</v>
      </c>
      <c r="D282" s="71" t="s">
        <v>4</v>
      </c>
      <c r="E282" s="71" t="s">
        <v>259</v>
      </c>
      <c r="F282" s="71" t="s">
        <v>260</v>
      </c>
      <c r="G282" s="71" t="s">
        <v>7</v>
      </c>
      <c r="H282" s="260"/>
      <c r="I282" s="260"/>
      <c r="J282" s="71" t="s">
        <v>258</v>
      </c>
      <c r="K282" s="71" t="s">
        <v>3</v>
      </c>
      <c r="L282" s="71" t="s">
        <v>4</v>
      </c>
      <c r="M282" s="71" t="s">
        <v>259</v>
      </c>
      <c r="N282" s="71" t="s">
        <v>260</v>
      </c>
      <c r="O282" s="71" t="s">
        <v>7</v>
      </c>
    </row>
    <row r="283" spans="1:15" s="110" customFormat="1">
      <c r="A283" s="260" t="s">
        <v>261</v>
      </c>
      <c r="B283" s="387">
        <f>RATE(B292,-B293,B291)</f>
        <v>9.7110678975963274E-2</v>
      </c>
      <c r="C283" s="387">
        <f t="shared" ref="C283:G283" si="17">RATE(C292,-C293,C291)</f>
        <v>7.2883100048689378E-2</v>
      </c>
      <c r="D283" s="387">
        <f t="shared" si="17"/>
        <v>7.3805402920844601E-2</v>
      </c>
      <c r="E283" s="387">
        <f t="shared" si="17"/>
        <v>0.1111595169682198</v>
      </c>
      <c r="F283" s="387">
        <f t="shared" si="17"/>
        <v>0.12858266597977494</v>
      </c>
      <c r="G283" s="387">
        <f t="shared" si="17"/>
        <v>8.5090210585949955E-2</v>
      </c>
      <c r="H283" s="282"/>
      <c r="I283" s="260" t="s">
        <v>261</v>
      </c>
      <c r="J283" s="387">
        <f>RATE(J292,-J293,J291)</f>
        <v>7.0980720081469884E-2</v>
      </c>
      <c r="K283" s="387">
        <f t="shared" ref="K283:O283" si="18">RATE(K292,-K293,K291)</f>
        <v>6.0024908213089367E-2</v>
      </c>
      <c r="L283" s="387">
        <f t="shared" si="18"/>
        <v>6.2979943202299382E-2</v>
      </c>
      <c r="M283" s="387">
        <f t="shared" si="18"/>
        <v>0.10715764404203197</v>
      </c>
      <c r="N283" s="387">
        <f t="shared" si="18"/>
        <v>9.4278345471185743E-2</v>
      </c>
      <c r="O283" s="387">
        <f t="shared" si="18"/>
        <v>7.7095740520046613E-2</v>
      </c>
    </row>
    <row r="284" spans="1:15" s="110" customFormat="1">
      <c r="A284" s="260" t="s">
        <v>262</v>
      </c>
      <c r="B284" s="282">
        <f>'By Product'!D17</f>
        <v>0</v>
      </c>
      <c r="C284" s="282">
        <f>'By Product'!E17</f>
        <v>0</v>
      </c>
      <c r="D284" s="282">
        <f>'By Product'!F17</f>
        <v>0</v>
      </c>
      <c r="E284" s="282">
        <f>'By Product'!G17</f>
        <v>0</v>
      </c>
      <c r="F284" s="282">
        <f>'By Product'!H17</f>
        <v>0</v>
      </c>
      <c r="G284" s="282">
        <f>'By Product'!I17</f>
        <v>0</v>
      </c>
      <c r="H284" s="282"/>
      <c r="I284" s="260" t="s">
        <v>262</v>
      </c>
      <c r="J284" s="282">
        <f>'By Product'!K17</f>
        <v>0</v>
      </c>
      <c r="K284" s="282">
        <f>'By Product'!L17</f>
        <v>0</v>
      </c>
      <c r="L284" s="282">
        <f>'By Product'!M17</f>
        <v>0</v>
      </c>
      <c r="M284" s="282">
        <f>'By Product'!N17</f>
        <v>0</v>
      </c>
      <c r="N284" s="282">
        <f>'By Product'!O17</f>
        <v>0</v>
      </c>
      <c r="O284" s="282">
        <f>'By Product'!P17</f>
        <v>0</v>
      </c>
    </row>
    <row r="285" spans="1:15" s="110" customFormat="1">
      <c r="A285" s="260" t="s">
        <v>263</v>
      </c>
      <c r="B285" s="388">
        <f>B283*12</f>
        <v>1.1653281477115593</v>
      </c>
      <c r="C285" s="388">
        <f t="shared" ref="C285:G285" si="19">C283*12</f>
        <v>0.87459720058427259</v>
      </c>
      <c r="D285" s="388">
        <f t="shared" si="19"/>
        <v>0.88566483505013527</v>
      </c>
      <c r="E285" s="388">
        <f>E283*12</f>
        <v>1.3339142036186376</v>
      </c>
      <c r="F285" s="388">
        <f t="shared" si="19"/>
        <v>1.5429919917572992</v>
      </c>
      <c r="G285" s="388">
        <f t="shared" si="19"/>
        <v>1.0210825270313995</v>
      </c>
      <c r="H285" s="260"/>
      <c r="I285" s="260" t="s">
        <v>263</v>
      </c>
      <c r="J285" s="388">
        <f>J283*12</f>
        <v>0.8517686409776386</v>
      </c>
      <c r="K285" s="388">
        <f t="shared" ref="K285:L285" si="20">K283*12</f>
        <v>0.72029889855707241</v>
      </c>
      <c r="L285" s="388">
        <f t="shared" si="20"/>
        <v>0.75575931842759259</v>
      </c>
      <c r="M285" s="388">
        <f>M283*12</f>
        <v>1.2858917285043836</v>
      </c>
      <c r="N285" s="388">
        <f t="shared" ref="N285:O285" si="21">N283*12</f>
        <v>1.1313401456542289</v>
      </c>
      <c r="O285" s="388">
        <f t="shared" si="21"/>
        <v>0.92514888624055935</v>
      </c>
    </row>
    <row r="286" spans="1:15" s="110" customFormat="1">
      <c r="A286" s="260" t="s">
        <v>264</v>
      </c>
      <c r="B286" s="297">
        <f t="shared" ref="B286:G286" si="22">RATE(B292,B293,-B290,0)*12</f>
        <v>1.1653281477115554</v>
      </c>
      <c r="C286" s="297">
        <f t="shared" si="22"/>
        <v>0.87459720058429102</v>
      </c>
      <c r="D286" s="297">
        <f t="shared" si="22"/>
        <v>0.88566483505014926</v>
      </c>
      <c r="E286" s="297">
        <f t="shared" si="22"/>
        <v>1.3339142036186398</v>
      </c>
      <c r="F286" s="297">
        <f t="shared" si="22"/>
        <v>1.5429919917572152</v>
      </c>
      <c r="G286" s="297">
        <f t="shared" si="22"/>
        <v>1.0210825270313966</v>
      </c>
      <c r="H286" s="260"/>
      <c r="I286" s="260" t="s">
        <v>264</v>
      </c>
      <c r="J286" s="297">
        <f t="shared" ref="J286:O286" si="23">RATE(J292,J293,-J290,0)*12</f>
        <v>0.85176864097763527</v>
      </c>
      <c r="K286" s="297">
        <f t="shared" si="23"/>
        <v>0.72029889855710605</v>
      </c>
      <c r="L286" s="297">
        <f t="shared" si="23"/>
        <v>0.75575931842764688</v>
      </c>
      <c r="M286" s="297">
        <f t="shared" si="23"/>
        <v>1.2858917285043865</v>
      </c>
      <c r="N286" s="297">
        <f t="shared" si="23"/>
        <v>1.131340145653811</v>
      </c>
      <c r="O286" s="297">
        <f t="shared" si="23"/>
        <v>0.92514888624056191</v>
      </c>
    </row>
    <row r="287" spans="1:15" s="110" customFormat="1" ht="8.15" customHeight="1">
      <c r="A287" s="260"/>
      <c r="B287" s="260"/>
      <c r="C287" s="260"/>
      <c r="D287" s="260"/>
      <c r="E287" s="260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</row>
    <row r="288" spans="1:15" s="110" customFormat="1">
      <c r="A288" s="260" t="s">
        <v>265</v>
      </c>
      <c r="B288" s="159">
        <f>Model_Summary!F$17</f>
        <v>6.0999999999999999E-2</v>
      </c>
      <c r="C288" s="159">
        <f>Model_Summary!G$17</f>
        <v>4.4999999999999998E-2</v>
      </c>
      <c r="D288" s="159">
        <f>Model_Summary!H$17</f>
        <v>4.5600000000000002E-2</v>
      </c>
      <c r="E288" s="159">
        <f>Model_Summary!I$17</f>
        <v>7.0499999999999993E-2</v>
      </c>
      <c r="F288" s="159">
        <f>Model_Summary!J$17</f>
        <v>8.2500000000000004E-2</v>
      </c>
      <c r="G288" s="159">
        <f>Model_Summary!K$17</f>
        <v>5.2999999999999999E-2</v>
      </c>
      <c r="H288" s="260"/>
      <c r="I288" s="260" t="s">
        <v>265</v>
      </c>
      <c r="J288" s="159">
        <f>Model_Summary!F520</f>
        <v>4.3099999999999999E-2</v>
      </c>
      <c r="K288" s="159">
        <f>Model_Summary!G520</f>
        <v>3.5900000000000001E-2</v>
      </c>
      <c r="L288" s="159">
        <f>Model_Summary!H520</f>
        <v>3.7900000000000003E-2</v>
      </c>
      <c r="M288" s="159">
        <f>Model_Summary!I520</f>
        <v>6.7500000000000004E-2</v>
      </c>
      <c r="N288" s="159">
        <f>Model_Summary!J520</f>
        <v>5.8599999999999999E-2</v>
      </c>
      <c r="O288" s="159">
        <f>Model_Summary!K520</f>
        <v>4.7199999999999999E-2</v>
      </c>
    </row>
    <row r="289" spans="1:15" s="110" customFormat="1" ht="8.15" customHeight="1">
      <c r="A289" s="260"/>
      <c r="B289" s="389"/>
      <c r="C289" s="389"/>
      <c r="D289" s="389"/>
      <c r="E289" s="389"/>
      <c r="F289" s="389"/>
      <c r="G289" s="389"/>
      <c r="H289" s="260"/>
      <c r="I289" s="260"/>
      <c r="J289" s="389"/>
      <c r="K289" s="389"/>
      <c r="L289" s="389"/>
      <c r="M289" s="389"/>
      <c r="N289" s="389"/>
      <c r="O289" s="389"/>
    </row>
    <row r="290" spans="1:15" s="110" customFormat="1">
      <c r="A290" s="260" t="s">
        <v>266</v>
      </c>
      <c r="B290" s="390">
        <v>100000</v>
      </c>
      <c r="C290" s="390">
        <v>100000</v>
      </c>
      <c r="D290" s="390">
        <v>100000</v>
      </c>
      <c r="E290" s="390">
        <v>100000</v>
      </c>
      <c r="F290" s="390">
        <v>100000</v>
      </c>
      <c r="G290" s="390">
        <v>100000</v>
      </c>
      <c r="H290" s="391"/>
      <c r="I290" s="260" t="s">
        <v>266</v>
      </c>
      <c r="J290" s="390">
        <v>100000</v>
      </c>
      <c r="K290" s="390">
        <v>100000</v>
      </c>
      <c r="L290" s="390">
        <v>100000</v>
      </c>
      <c r="M290" s="390">
        <v>100000</v>
      </c>
      <c r="N290" s="390">
        <v>100000</v>
      </c>
      <c r="O290" s="390">
        <v>100000</v>
      </c>
    </row>
    <row r="291" spans="1:15" s="110" customFormat="1">
      <c r="A291" s="260" t="s">
        <v>267</v>
      </c>
      <c r="B291" s="390">
        <f t="shared" ref="B291:G291" si="24">B290*(1+B284)</f>
        <v>100000</v>
      </c>
      <c r="C291" s="390">
        <f t="shared" si="24"/>
        <v>100000</v>
      </c>
      <c r="D291" s="390">
        <f t="shared" si="24"/>
        <v>100000</v>
      </c>
      <c r="E291" s="390">
        <f t="shared" si="24"/>
        <v>100000</v>
      </c>
      <c r="F291" s="390">
        <f t="shared" si="24"/>
        <v>100000</v>
      </c>
      <c r="G291" s="390">
        <f t="shared" si="24"/>
        <v>100000</v>
      </c>
      <c r="H291" s="390"/>
      <c r="I291" s="260" t="s">
        <v>267</v>
      </c>
      <c r="J291" s="390">
        <f t="shared" ref="J291:O291" si="25">J290*(1+J284)</f>
        <v>100000</v>
      </c>
      <c r="K291" s="390">
        <f t="shared" si="25"/>
        <v>100000</v>
      </c>
      <c r="L291" s="390">
        <f t="shared" si="25"/>
        <v>100000</v>
      </c>
      <c r="M291" s="390">
        <f t="shared" si="25"/>
        <v>100000</v>
      </c>
      <c r="N291" s="390">
        <f t="shared" si="25"/>
        <v>100000</v>
      </c>
      <c r="O291" s="390">
        <f t="shared" si="25"/>
        <v>100000</v>
      </c>
    </row>
    <row r="292" spans="1:15" s="110" customFormat="1">
      <c r="A292" s="260" t="s">
        <v>268</v>
      </c>
      <c r="B292" s="392">
        <f>Model_Summary!F18</f>
        <v>6</v>
      </c>
      <c r="C292" s="392">
        <f>Model_Summary!G18</f>
        <v>6</v>
      </c>
      <c r="D292" s="392">
        <f>Model_Summary!H18</f>
        <v>6</v>
      </c>
      <c r="E292" s="392">
        <f>Model_Summary!I18</f>
        <v>6</v>
      </c>
      <c r="F292" s="392">
        <f>Model_Summary!J18</f>
        <v>6</v>
      </c>
      <c r="G292" s="392">
        <f>Model_Summary!J18</f>
        <v>6</v>
      </c>
      <c r="H292" s="384"/>
      <c r="I292" s="260" t="s">
        <v>268</v>
      </c>
      <c r="J292" s="392">
        <f>Model_Summary!F521</f>
        <v>11</v>
      </c>
      <c r="K292" s="392">
        <f>Model_Summary!G521</f>
        <v>11</v>
      </c>
      <c r="L292" s="392">
        <f>Model_Summary!H521</f>
        <v>12</v>
      </c>
      <c r="M292" s="392">
        <f>Model_Summary!I521</f>
        <v>9</v>
      </c>
      <c r="N292" s="392">
        <f>Model_Summary!J521</f>
        <v>9</v>
      </c>
      <c r="O292" s="392">
        <f>Model_Summary!K521</f>
        <v>11</v>
      </c>
    </row>
    <row r="293" spans="1:15" s="110" customFormat="1">
      <c r="A293" s="260" t="s">
        <v>269</v>
      </c>
      <c r="B293" s="390">
        <f>(B291/B292)+(B291*B288)</f>
        <v>22766.666666666668</v>
      </c>
      <c r="C293" s="390">
        <f t="shared" ref="C293:G293" si="26">(C291/C292)+(C291*C288)</f>
        <v>21166.666666666668</v>
      </c>
      <c r="D293" s="390">
        <f t="shared" si="26"/>
        <v>21226.666666666668</v>
      </c>
      <c r="E293" s="390">
        <f t="shared" si="26"/>
        <v>23716.666666666668</v>
      </c>
      <c r="F293" s="390">
        <f t="shared" si="26"/>
        <v>24916.666666666668</v>
      </c>
      <c r="G293" s="390">
        <f t="shared" si="26"/>
        <v>21966.666666666668</v>
      </c>
      <c r="H293" s="287"/>
      <c r="I293" s="260" t="s">
        <v>269</v>
      </c>
      <c r="J293" s="390">
        <f>(J291/J292)+(J291*J288)</f>
        <v>13400.90909090909</v>
      </c>
      <c r="K293" s="390">
        <f t="shared" ref="K293:O293" si="27">(K291/K292)+(K291*K288)</f>
        <v>12680.90909090909</v>
      </c>
      <c r="L293" s="390">
        <f t="shared" si="27"/>
        <v>12123.333333333334</v>
      </c>
      <c r="M293" s="390">
        <f t="shared" si="27"/>
        <v>17861.111111111109</v>
      </c>
      <c r="N293" s="390">
        <f t="shared" si="27"/>
        <v>16971.111111111109</v>
      </c>
      <c r="O293" s="390">
        <f t="shared" si="27"/>
        <v>13810.90909090909</v>
      </c>
    </row>
    <row r="294" spans="1:15" s="110" customFormat="1">
      <c r="A294" s="260" t="s">
        <v>270</v>
      </c>
      <c r="B294" s="390">
        <f t="shared" ref="B294:G294" si="28">B293*B292</f>
        <v>136600</v>
      </c>
      <c r="C294" s="390">
        <f t="shared" si="28"/>
        <v>127000</v>
      </c>
      <c r="D294" s="390">
        <f t="shared" si="28"/>
        <v>127360</v>
      </c>
      <c r="E294" s="390">
        <f t="shared" si="28"/>
        <v>142300</v>
      </c>
      <c r="F294" s="390">
        <f t="shared" si="28"/>
        <v>149500</v>
      </c>
      <c r="G294" s="390">
        <f t="shared" si="28"/>
        <v>131800</v>
      </c>
      <c r="H294" s="287"/>
      <c r="I294" s="260" t="s">
        <v>270</v>
      </c>
      <c r="J294" s="390">
        <f t="shared" ref="J294:O294" si="29">J293*J292</f>
        <v>147410</v>
      </c>
      <c r="K294" s="390">
        <f t="shared" si="29"/>
        <v>139490</v>
      </c>
      <c r="L294" s="390">
        <f t="shared" si="29"/>
        <v>145480</v>
      </c>
      <c r="M294" s="390">
        <f t="shared" si="29"/>
        <v>160750</v>
      </c>
      <c r="N294" s="390">
        <f t="shared" si="29"/>
        <v>152740</v>
      </c>
      <c r="O294" s="390">
        <f t="shared" si="29"/>
        <v>151920</v>
      </c>
    </row>
    <row r="295" spans="1:15" s="110" customFormat="1">
      <c r="A295" s="260" t="s">
        <v>271</v>
      </c>
      <c r="B295" s="393">
        <f t="shared" ref="B295:G295" si="30">B294-B290</f>
        <v>36600</v>
      </c>
      <c r="C295" s="393">
        <f t="shared" si="30"/>
        <v>27000</v>
      </c>
      <c r="D295" s="393">
        <f t="shared" si="30"/>
        <v>27360</v>
      </c>
      <c r="E295" s="393">
        <f t="shared" si="30"/>
        <v>42300</v>
      </c>
      <c r="F295" s="393">
        <f t="shared" si="30"/>
        <v>49500</v>
      </c>
      <c r="G295" s="393">
        <f t="shared" si="30"/>
        <v>31800</v>
      </c>
      <c r="H295" s="276"/>
      <c r="I295" s="260" t="s">
        <v>271</v>
      </c>
      <c r="J295" s="393">
        <f t="shared" ref="J295:O295" si="31">J294-J290</f>
        <v>47410</v>
      </c>
      <c r="K295" s="393">
        <f t="shared" si="31"/>
        <v>39490</v>
      </c>
      <c r="L295" s="393">
        <f t="shared" si="31"/>
        <v>45480</v>
      </c>
      <c r="M295" s="393">
        <f t="shared" si="31"/>
        <v>60750</v>
      </c>
      <c r="N295" s="393">
        <f t="shared" si="31"/>
        <v>52740</v>
      </c>
      <c r="O295" s="393">
        <f t="shared" si="31"/>
        <v>51920</v>
      </c>
    </row>
    <row r="296" spans="1:15" s="110" customFormat="1">
      <c r="A296" s="260"/>
      <c r="B296" s="393"/>
      <c r="C296" s="393"/>
      <c r="D296" s="393"/>
      <c r="E296" s="393"/>
      <c r="F296" s="393"/>
      <c r="G296" s="260"/>
      <c r="H296" s="260"/>
      <c r="I296" s="158"/>
      <c r="J296" s="158"/>
      <c r="K296" s="287"/>
    </row>
    <row r="297" spans="1:15" s="110" customFormat="1">
      <c r="A297" s="260"/>
      <c r="B297" s="276"/>
      <c r="C297" s="287"/>
      <c r="D297" s="287"/>
      <c r="E297" s="282"/>
      <c r="F297" s="282"/>
      <c r="G297" s="282"/>
      <c r="H297" s="260"/>
      <c r="I297" s="158"/>
      <c r="J297" s="158"/>
      <c r="K297" s="287"/>
    </row>
    <row r="298" spans="1:15">
      <c r="A298" s="73" t="s">
        <v>272</v>
      </c>
      <c r="B298" s="260"/>
      <c r="C298" s="260"/>
      <c r="D298" s="260"/>
      <c r="E298" s="260"/>
      <c r="F298" s="260"/>
      <c r="G298" s="260"/>
      <c r="H298" s="260"/>
      <c r="I298" s="158"/>
      <c r="J298" s="158"/>
      <c r="K298" s="287"/>
    </row>
    <row r="299" spans="1:15" s="110" customFormat="1">
      <c r="A299" s="260"/>
      <c r="B299" s="71" t="str">
        <f>'Loan 1'!D2</f>
        <v>5000 - 9999</v>
      </c>
      <c r="C299" s="71" t="str">
        <f>'Loan 1'!E2</f>
        <v>10k - 20k</v>
      </c>
      <c r="D299" s="71" t="str">
        <f>'Loan 1'!F2</f>
        <v>200k-319k</v>
      </c>
      <c r="E299" s="71" t="str">
        <f>'Loan 1'!G2</f>
        <v>320k-679k</v>
      </c>
      <c r="F299" s="71" t="str">
        <f>'Loan 1'!H2</f>
        <v>680k-1.999m</v>
      </c>
      <c r="G299" s="71" t="str">
        <f>'Loan 1'!I2</f>
        <v>Above 2m</v>
      </c>
      <c r="H299" s="260"/>
      <c r="I299" s="158"/>
      <c r="J299" s="158"/>
      <c r="K299" s="287"/>
    </row>
    <row r="300" spans="1:15" s="110" customFormat="1">
      <c r="A300" s="260" t="s">
        <v>261</v>
      </c>
      <c r="B300" s="387">
        <f t="shared" ref="B300:G300" si="32">RATE(B309,-B310,B308)</f>
        <v>0.29999999999999971</v>
      </c>
      <c r="C300" s="387">
        <f t="shared" si="32"/>
        <v>0.29999999999999971</v>
      </c>
      <c r="D300" s="387">
        <f t="shared" si="32"/>
        <v>8.8123555729852698E-2</v>
      </c>
      <c r="E300" s="387">
        <f t="shared" si="32"/>
        <v>8.5259380039840502E-2</v>
      </c>
      <c r="F300" s="387">
        <f t="shared" si="32"/>
        <v>6.6153226409019689E-2</v>
      </c>
      <c r="G300" s="387">
        <f t="shared" si="32"/>
        <v>6.3131644929473762E-2</v>
      </c>
      <c r="H300" s="260"/>
      <c r="I300" s="158"/>
      <c r="J300" s="158"/>
      <c r="K300" s="287"/>
    </row>
    <row r="301" spans="1:15" s="110" customFormat="1">
      <c r="A301" s="260" t="s">
        <v>262</v>
      </c>
      <c r="B301" s="282">
        <f>'Loan 1'!D17</f>
        <v>0</v>
      </c>
      <c r="C301" s="282">
        <f>'Loan 1'!E17</f>
        <v>0</v>
      </c>
      <c r="D301" s="282">
        <f>'Loan 1'!F17</f>
        <v>0</v>
      </c>
      <c r="E301" s="282">
        <f>'Loan 1'!G17</f>
        <v>0</v>
      </c>
      <c r="F301" s="282">
        <f>'Loan 1'!H17</f>
        <v>0</v>
      </c>
      <c r="G301" s="282">
        <f>'Loan 1'!I17</f>
        <v>0</v>
      </c>
      <c r="H301" s="260"/>
      <c r="I301" s="158"/>
      <c r="J301" s="158"/>
      <c r="K301" s="287"/>
    </row>
    <row r="302" spans="1:15" s="110" customFormat="1">
      <c r="A302" s="260" t="s">
        <v>263</v>
      </c>
      <c r="B302" s="388">
        <f t="shared" ref="B302:G302" si="33">B300*12</f>
        <v>3.5999999999999965</v>
      </c>
      <c r="C302" s="388">
        <f t="shared" si="33"/>
        <v>3.5999999999999965</v>
      </c>
      <c r="D302" s="388">
        <f t="shared" si="33"/>
        <v>1.0574826687582324</v>
      </c>
      <c r="E302" s="388">
        <f t="shared" si="33"/>
        <v>1.023112560478086</v>
      </c>
      <c r="F302" s="388">
        <f t="shared" si="33"/>
        <v>0.79383871690823626</v>
      </c>
      <c r="G302" s="388">
        <f t="shared" si="33"/>
        <v>0.75757973915368515</v>
      </c>
      <c r="H302" s="260"/>
      <c r="I302" s="158"/>
      <c r="J302" s="276"/>
      <c r="K302" s="287"/>
    </row>
    <row r="303" spans="1:15" s="110" customFormat="1">
      <c r="A303" s="260" t="s">
        <v>264</v>
      </c>
      <c r="B303" s="297">
        <f t="shared" ref="B303:G303" si="34">RATE(B309,B310,-B307,0)*12</f>
        <v>3.6000000000000005</v>
      </c>
      <c r="C303" s="297">
        <f t="shared" si="34"/>
        <v>3.6000000000000005</v>
      </c>
      <c r="D303" s="297">
        <f t="shared" si="34"/>
        <v>1.0574826687582459</v>
      </c>
      <c r="E303" s="297">
        <f t="shared" si="34"/>
        <v>1.0231125604782527</v>
      </c>
      <c r="F303" s="297">
        <f t="shared" si="34"/>
        <v>0.79383871690824659</v>
      </c>
      <c r="G303" s="297">
        <f t="shared" si="34"/>
        <v>0.75757973915373022</v>
      </c>
      <c r="H303" s="260"/>
      <c r="I303" s="158"/>
      <c r="J303" s="276"/>
      <c r="K303" s="287"/>
    </row>
    <row r="304" spans="1:15" s="110" customFormat="1" ht="4.5" customHeight="1">
      <c r="A304" s="260"/>
      <c r="B304" s="260"/>
      <c r="C304" s="260"/>
      <c r="D304" s="260"/>
      <c r="E304" s="260"/>
      <c r="F304" s="260"/>
      <c r="G304" s="260"/>
      <c r="H304" s="260"/>
      <c r="I304" s="158"/>
      <c r="J304" s="276"/>
      <c r="K304" s="287"/>
    </row>
    <row r="305" spans="1:11" s="110" customFormat="1">
      <c r="A305" s="260" t="s">
        <v>265</v>
      </c>
      <c r="B305" s="224">
        <f>Model_Summary!F$86</f>
        <v>0.3</v>
      </c>
      <c r="C305" s="224">
        <f>Model_Summary!G$86</f>
        <v>0.3</v>
      </c>
      <c r="D305" s="224">
        <f>Model_Summary!H$86</f>
        <v>5.5E-2</v>
      </c>
      <c r="E305" s="224">
        <f>Model_Summary!I$86</f>
        <v>5.2999999999999999E-2</v>
      </c>
      <c r="F305" s="224">
        <f>Model_Summary!J$86</f>
        <v>0.04</v>
      </c>
      <c r="G305" s="224">
        <f>Model_Summary!K$86</f>
        <v>3.7999999999999999E-2</v>
      </c>
      <c r="H305" s="260"/>
      <c r="I305" s="158"/>
      <c r="J305" s="276"/>
      <c r="K305" s="287"/>
    </row>
    <row r="306" spans="1:11" s="110" customFormat="1">
      <c r="A306" s="260"/>
      <c r="B306" s="389"/>
      <c r="C306" s="389"/>
      <c r="D306" s="389"/>
      <c r="E306" s="389"/>
      <c r="F306" s="389"/>
      <c r="G306" s="389"/>
      <c r="H306" s="260"/>
      <c r="I306" s="119"/>
      <c r="J306" s="260"/>
      <c r="K306" s="260"/>
    </row>
    <row r="307" spans="1:11" s="110" customFormat="1">
      <c r="A307" s="260" t="s">
        <v>266</v>
      </c>
      <c r="B307" s="390">
        <v>100000</v>
      </c>
      <c r="C307" s="390">
        <v>100000</v>
      </c>
      <c r="D307" s="390">
        <v>100000</v>
      </c>
      <c r="E307" s="390">
        <v>100000</v>
      </c>
      <c r="F307" s="390">
        <v>100000</v>
      </c>
      <c r="G307" s="390">
        <v>100001</v>
      </c>
      <c r="H307" s="260"/>
      <c r="I307" s="119"/>
    </row>
    <row r="308" spans="1:11" s="110" customFormat="1">
      <c r="A308" s="260" t="s">
        <v>267</v>
      </c>
      <c r="B308" s="390">
        <f t="shared" ref="B308:G308" si="35">B307*(1+B301)</f>
        <v>100000</v>
      </c>
      <c r="C308" s="390">
        <f t="shared" si="35"/>
        <v>100000</v>
      </c>
      <c r="D308" s="390">
        <f t="shared" si="35"/>
        <v>100000</v>
      </c>
      <c r="E308" s="390">
        <f t="shared" si="35"/>
        <v>100000</v>
      </c>
      <c r="F308" s="390">
        <f t="shared" si="35"/>
        <v>100000</v>
      </c>
      <c r="G308" s="390">
        <f t="shared" si="35"/>
        <v>100001</v>
      </c>
      <c r="H308" s="260"/>
      <c r="I308" s="119"/>
    </row>
    <row r="309" spans="1:11" s="110" customFormat="1">
      <c r="A309" s="260" t="s">
        <v>268</v>
      </c>
      <c r="B309" s="392">
        <f>Model_Summary!F89</f>
        <v>1</v>
      </c>
      <c r="C309" s="392">
        <f>Model_Summary!G89</f>
        <v>1</v>
      </c>
      <c r="D309" s="392">
        <f>Model_Summary!H89</f>
        <v>12</v>
      </c>
      <c r="E309" s="392">
        <f>Model_Summary!I89</f>
        <v>12</v>
      </c>
      <c r="F309" s="392">
        <f>Model_Summary!J89</f>
        <v>12</v>
      </c>
      <c r="G309" s="392">
        <f>Model_Summary!K89</f>
        <v>12</v>
      </c>
      <c r="H309" s="260"/>
      <c r="I309" s="119"/>
    </row>
    <row r="310" spans="1:11" s="110" customFormat="1">
      <c r="A310" s="260" t="s">
        <v>269</v>
      </c>
      <c r="B310" s="390">
        <f t="shared" ref="B310:G310" si="36">(B308/B309)+(B308*B305)</f>
        <v>130000</v>
      </c>
      <c r="C310" s="390">
        <f t="shared" si="36"/>
        <v>130000</v>
      </c>
      <c r="D310" s="390">
        <f t="shared" si="36"/>
        <v>13833.333333333334</v>
      </c>
      <c r="E310" s="390">
        <f t="shared" si="36"/>
        <v>13633.333333333334</v>
      </c>
      <c r="F310" s="390">
        <f t="shared" si="36"/>
        <v>12333.333333333334</v>
      </c>
      <c r="G310" s="390">
        <f t="shared" si="36"/>
        <v>12133.454666666667</v>
      </c>
      <c r="H310" s="260"/>
      <c r="I310" s="119"/>
    </row>
    <row r="311" spans="1:11" s="110" customFormat="1">
      <c r="A311" s="260" t="s">
        <v>270</v>
      </c>
      <c r="B311" s="390">
        <f t="shared" ref="B311:G311" si="37">B310*B309</f>
        <v>130000</v>
      </c>
      <c r="C311" s="390">
        <f t="shared" si="37"/>
        <v>130000</v>
      </c>
      <c r="D311" s="390">
        <f t="shared" si="37"/>
        <v>166000</v>
      </c>
      <c r="E311" s="390">
        <f t="shared" si="37"/>
        <v>163600</v>
      </c>
      <c r="F311" s="390">
        <f t="shared" si="37"/>
        <v>148000</v>
      </c>
      <c r="G311" s="390">
        <f t="shared" si="37"/>
        <v>145601.45600000001</v>
      </c>
      <c r="H311" s="260"/>
      <c r="I311" s="119"/>
    </row>
    <row r="312" spans="1:11" s="110" customFormat="1">
      <c r="A312" s="260" t="s">
        <v>271</v>
      </c>
      <c r="B312" s="393">
        <f t="shared" ref="B312:G312" si="38">B311-B307</f>
        <v>30000</v>
      </c>
      <c r="C312" s="393">
        <f t="shared" si="38"/>
        <v>30000</v>
      </c>
      <c r="D312" s="393">
        <f t="shared" si="38"/>
        <v>66000</v>
      </c>
      <c r="E312" s="393">
        <f t="shared" si="38"/>
        <v>63600</v>
      </c>
      <c r="F312" s="393">
        <f t="shared" si="38"/>
        <v>48000</v>
      </c>
      <c r="G312" s="393">
        <f t="shared" si="38"/>
        <v>45600.456000000006</v>
      </c>
      <c r="H312" s="260"/>
      <c r="I312" s="119"/>
    </row>
    <row r="313" spans="1:11" s="110" customFormat="1">
      <c r="A313" s="260"/>
      <c r="B313" s="393"/>
      <c r="C313" s="393"/>
      <c r="D313" s="393"/>
      <c r="E313" s="393"/>
      <c r="F313" s="393"/>
      <c r="G313" s="260"/>
      <c r="H313" s="260"/>
      <c r="I313" s="119"/>
    </row>
    <row r="314" spans="1:11" s="110" customFormat="1">
      <c r="A314" s="260"/>
      <c r="B314" s="393"/>
      <c r="C314" s="393"/>
      <c r="D314" s="393"/>
      <c r="E314" s="393"/>
      <c r="F314" s="393"/>
      <c r="G314" s="260"/>
      <c r="H314" s="260"/>
      <c r="I314" s="119"/>
    </row>
    <row r="315" spans="1:11" s="110" customFormat="1">
      <c r="A315" s="73" t="s">
        <v>273</v>
      </c>
      <c r="B315" s="393"/>
      <c r="C315" s="393"/>
      <c r="D315" s="393"/>
      <c r="E315" s="393"/>
      <c r="F315" s="393"/>
      <c r="G315" s="260"/>
      <c r="H315" s="260"/>
      <c r="I315" s="119"/>
    </row>
    <row r="316" spans="1:11" s="110" customFormat="1">
      <c r="A316" s="260"/>
      <c r="B316" s="71" t="str">
        <f>'Loan 2'!D2</f>
        <v>5k - 19,999</v>
      </c>
      <c r="C316" s="71" t="str">
        <f>'Loan 2'!E2</f>
        <v>20k - 50k</v>
      </c>
      <c r="D316" s="71" t="str">
        <f>'Loan 2'!F2</f>
        <v>200k-319k</v>
      </c>
      <c r="E316" s="71" t="str">
        <f>'Loan 2'!G2</f>
        <v>320k-679k</v>
      </c>
      <c r="F316" s="71" t="str">
        <f>'Loan 2'!H2</f>
        <v>680k-1.999m</v>
      </c>
      <c r="G316" s="71" t="str">
        <f>'Loan 2'!I2</f>
        <v>Above 2m</v>
      </c>
      <c r="H316" s="260"/>
      <c r="I316" s="119"/>
    </row>
    <row r="317" spans="1:11" s="110" customFormat="1">
      <c r="A317" s="260" t="s">
        <v>261</v>
      </c>
      <c r="B317" s="387">
        <f t="shared" ref="B317:G317" si="39">RATE(B326,-B327,B325)</f>
        <v>0.22500000000000028</v>
      </c>
      <c r="C317" s="387">
        <f t="shared" si="39"/>
        <v>0.22500000000000028</v>
      </c>
      <c r="D317" s="387">
        <f t="shared" si="39"/>
        <v>7.6550827397645904E-2</v>
      </c>
      <c r="E317" s="387">
        <f t="shared" si="39"/>
        <v>7.3607288877850674E-2</v>
      </c>
      <c r="F317" s="387">
        <f t="shared" si="39"/>
        <v>5.7015761698186812E-2</v>
      </c>
      <c r="G317" s="387">
        <f t="shared" si="39"/>
        <v>5.391980220160545E-2</v>
      </c>
      <c r="H317" s="260"/>
      <c r="I317" s="119"/>
    </row>
    <row r="318" spans="1:11" s="110" customFormat="1">
      <c r="A318" s="260" t="s">
        <v>262</v>
      </c>
      <c r="B318" s="282">
        <f>'Loan 2'!D16</f>
        <v>0</v>
      </c>
      <c r="C318" s="282">
        <f>'Loan 2'!E16</f>
        <v>0</v>
      </c>
      <c r="D318" s="282">
        <f>'Loan 2'!F16</f>
        <v>0</v>
      </c>
      <c r="E318" s="282">
        <f>'Loan 2'!G16</f>
        <v>0</v>
      </c>
      <c r="F318" s="282">
        <f>'Loan 2'!H16</f>
        <v>0</v>
      </c>
      <c r="G318" s="282">
        <f>'Loan 2'!I16</f>
        <v>0</v>
      </c>
      <c r="H318" s="260"/>
      <c r="I318" s="119"/>
    </row>
    <row r="319" spans="1:11" s="110" customFormat="1">
      <c r="A319" s="260" t="s">
        <v>263</v>
      </c>
      <c r="B319" s="388">
        <f t="shared" ref="B319:G319" si="40">B317*12</f>
        <v>2.7000000000000033</v>
      </c>
      <c r="C319" s="388">
        <f t="shared" si="40"/>
        <v>2.7000000000000033</v>
      </c>
      <c r="D319" s="388">
        <f t="shared" si="40"/>
        <v>0.91860992877175085</v>
      </c>
      <c r="E319" s="388">
        <f t="shared" si="40"/>
        <v>0.88328746653420809</v>
      </c>
      <c r="F319" s="388">
        <f t="shared" si="40"/>
        <v>0.68418914037824174</v>
      </c>
      <c r="G319" s="388">
        <f t="shared" si="40"/>
        <v>0.64703762641926543</v>
      </c>
      <c r="H319" s="260"/>
      <c r="I319" s="119"/>
    </row>
    <row r="320" spans="1:11" s="110" customFormat="1">
      <c r="A320" s="260" t="s">
        <v>264</v>
      </c>
      <c r="B320" s="297">
        <f t="shared" ref="B320:G320" si="41">RATE(B326,B327,-B324,0)*12</f>
        <v>2.6999999999999966</v>
      </c>
      <c r="C320" s="297">
        <f t="shared" si="41"/>
        <v>2.6999999999999966</v>
      </c>
      <c r="D320" s="297">
        <f t="shared" si="41"/>
        <v>0.91860992877175263</v>
      </c>
      <c r="E320" s="297">
        <f t="shared" si="41"/>
        <v>0.88328746653421175</v>
      </c>
      <c r="F320" s="297">
        <f t="shared" si="41"/>
        <v>0.68418914037725964</v>
      </c>
      <c r="G320" s="297">
        <f t="shared" si="41"/>
        <v>0.64703762641926621</v>
      </c>
      <c r="H320" s="260"/>
      <c r="I320" s="119"/>
    </row>
    <row r="321" spans="1:9" s="110" customFormat="1">
      <c r="A321" s="260"/>
      <c r="B321" s="260"/>
      <c r="C321" s="260"/>
      <c r="D321" s="260"/>
      <c r="E321" s="260"/>
      <c r="F321" s="260"/>
      <c r="G321" s="260"/>
      <c r="H321" s="260"/>
      <c r="I321" s="119"/>
    </row>
    <row r="322" spans="1:9" s="110" customFormat="1">
      <c r="A322" s="260" t="s">
        <v>265</v>
      </c>
      <c r="B322" s="224">
        <f>Model_Summary!F$150</f>
        <v>0.22499999999999998</v>
      </c>
      <c r="C322" s="224">
        <f>Model_Summary!G$150</f>
        <v>0.22499999999999998</v>
      </c>
      <c r="D322" s="224">
        <f>Model_Summary!H$150</f>
        <v>4.7E-2</v>
      </c>
      <c r="E322" s="224">
        <f>Model_Summary!I$150</f>
        <v>4.4999999999999998E-2</v>
      </c>
      <c r="F322" s="224">
        <f>Model_Summary!J$150</f>
        <v>3.4000000000000002E-2</v>
      </c>
      <c r="G322" s="224">
        <f>Model_Summary!K$150</f>
        <v>3.2000000000000001E-2</v>
      </c>
      <c r="H322" s="260"/>
      <c r="I322" s="119"/>
    </row>
    <row r="323" spans="1:9" s="110" customFormat="1">
      <c r="A323" s="260"/>
      <c r="B323" s="389"/>
      <c r="C323" s="389"/>
      <c r="D323" s="389"/>
      <c r="E323" s="389"/>
      <c r="F323" s="389"/>
      <c r="G323" s="389"/>
      <c r="H323" s="260"/>
      <c r="I323" s="119"/>
    </row>
    <row r="324" spans="1:9" s="110" customFormat="1">
      <c r="A324" s="260" t="s">
        <v>266</v>
      </c>
      <c r="B324" s="390">
        <v>100000</v>
      </c>
      <c r="C324" s="390">
        <v>100000</v>
      </c>
      <c r="D324" s="390">
        <v>100000</v>
      </c>
      <c r="E324" s="390">
        <v>100000</v>
      </c>
      <c r="F324" s="390">
        <v>100000</v>
      </c>
      <c r="G324" s="390">
        <v>100001</v>
      </c>
      <c r="H324" s="260"/>
      <c r="I324" s="119"/>
    </row>
    <row r="325" spans="1:9" s="110" customFormat="1">
      <c r="A325" s="260" t="s">
        <v>267</v>
      </c>
      <c r="B325" s="390">
        <f t="shared" ref="B325:G325" si="42">B324*(1+B318)</f>
        <v>100000</v>
      </c>
      <c r="C325" s="390">
        <f t="shared" si="42"/>
        <v>100000</v>
      </c>
      <c r="D325" s="390">
        <f t="shared" si="42"/>
        <v>100000</v>
      </c>
      <c r="E325" s="390">
        <f t="shared" si="42"/>
        <v>100000</v>
      </c>
      <c r="F325" s="390">
        <f t="shared" si="42"/>
        <v>100000</v>
      </c>
      <c r="G325" s="390">
        <f t="shared" si="42"/>
        <v>100001</v>
      </c>
      <c r="H325" s="260"/>
      <c r="I325" s="119"/>
    </row>
    <row r="326" spans="1:9" s="110" customFormat="1">
      <c r="A326" s="260" t="s">
        <v>268</v>
      </c>
      <c r="B326" s="392">
        <f>Model_Summary!F153</f>
        <v>1</v>
      </c>
      <c r="C326" s="392">
        <f>Model_Summary!G153</f>
        <v>1</v>
      </c>
      <c r="D326" s="392">
        <f>Model_Summary!H153</f>
        <v>12</v>
      </c>
      <c r="E326" s="392">
        <f>Model_Summary!I153</f>
        <v>12</v>
      </c>
      <c r="F326" s="392">
        <f>Model_Summary!J153</f>
        <v>12</v>
      </c>
      <c r="G326" s="392">
        <f>Model_Summary!K153</f>
        <v>12</v>
      </c>
      <c r="H326" s="260"/>
      <c r="I326" s="119"/>
    </row>
    <row r="327" spans="1:9" s="110" customFormat="1">
      <c r="A327" s="260" t="s">
        <v>269</v>
      </c>
      <c r="B327" s="390">
        <f t="shared" ref="B327:G327" si="43">(B325/B326)+(B325*B322)</f>
        <v>122500</v>
      </c>
      <c r="C327" s="390">
        <f t="shared" si="43"/>
        <v>122500</v>
      </c>
      <c r="D327" s="390">
        <f t="shared" si="43"/>
        <v>13033.333333333334</v>
      </c>
      <c r="E327" s="390">
        <f t="shared" si="43"/>
        <v>12833.333333333334</v>
      </c>
      <c r="F327" s="390">
        <f t="shared" si="43"/>
        <v>11733.333333333334</v>
      </c>
      <c r="G327" s="390">
        <f t="shared" si="43"/>
        <v>11533.448666666667</v>
      </c>
      <c r="H327" s="260"/>
      <c r="I327" s="119"/>
    </row>
    <row r="328" spans="1:9" s="110" customFormat="1">
      <c r="A328" s="260" t="s">
        <v>270</v>
      </c>
      <c r="B328" s="390">
        <f t="shared" ref="B328:G328" si="44">B327*B326</f>
        <v>122500</v>
      </c>
      <c r="C328" s="390">
        <f t="shared" si="44"/>
        <v>122500</v>
      </c>
      <c r="D328" s="390">
        <f t="shared" si="44"/>
        <v>156400</v>
      </c>
      <c r="E328" s="390">
        <f t="shared" si="44"/>
        <v>154000</v>
      </c>
      <c r="F328" s="390">
        <f t="shared" si="44"/>
        <v>140800</v>
      </c>
      <c r="G328" s="390">
        <f t="shared" si="44"/>
        <v>138401.38400000002</v>
      </c>
      <c r="H328" s="260"/>
      <c r="I328" s="119"/>
    </row>
    <row r="329" spans="1:9" s="110" customFormat="1">
      <c r="A329" s="260" t="s">
        <v>271</v>
      </c>
      <c r="B329" s="393">
        <f t="shared" ref="B329:G329" si="45">B328-B324</f>
        <v>22500</v>
      </c>
      <c r="C329" s="393">
        <f t="shared" si="45"/>
        <v>22500</v>
      </c>
      <c r="D329" s="393">
        <f t="shared" si="45"/>
        <v>56400</v>
      </c>
      <c r="E329" s="393">
        <f t="shared" si="45"/>
        <v>54000</v>
      </c>
      <c r="F329" s="393">
        <f t="shared" si="45"/>
        <v>40800</v>
      </c>
      <c r="G329" s="393">
        <f t="shared" si="45"/>
        <v>38400.38400000002</v>
      </c>
      <c r="H329" s="260"/>
      <c r="I329" s="119"/>
    </row>
    <row r="330" spans="1:9" s="110" customFormat="1">
      <c r="A330" s="260"/>
      <c r="B330" s="393"/>
      <c r="C330" s="393"/>
      <c r="D330" s="393"/>
      <c r="E330" s="393"/>
      <c r="F330" s="393"/>
      <c r="G330" s="260"/>
      <c r="H330" s="260"/>
      <c r="I330" s="119"/>
    </row>
    <row r="331" spans="1:9" s="110" customFormat="1">
      <c r="A331" s="260"/>
      <c r="B331" s="393"/>
      <c r="C331" s="393"/>
      <c r="D331" s="393"/>
      <c r="E331" s="393"/>
      <c r="F331" s="393"/>
      <c r="G331" s="260"/>
      <c r="H331" s="260"/>
      <c r="I331" s="119"/>
    </row>
    <row r="332" spans="1:9" s="110" customFormat="1">
      <c r="A332" s="73" t="s">
        <v>274</v>
      </c>
      <c r="B332" s="393"/>
      <c r="C332" s="393"/>
      <c r="D332" s="393"/>
      <c r="E332" s="393"/>
      <c r="F332" s="393"/>
      <c r="G332" s="260"/>
      <c r="H332" s="260"/>
      <c r="I332" s="119"/>
    </row>
    <row r="333" spans="1:9" s="110" customFormat="1">
      <c r="A333" s="260"/>
      <c r="B333" s="71" t="str">
        <f>'Loan 3'!D2</f>
        <v>5k - 29,999</v>
      </c>
      <c r="C333" s="71" t="str">
        <f>'Loan 3'!E2</f>
        <v>30k-100k</v>
      </c>
      <c r="D333" s="71" t="str">
        <f>'Loan 3'!F2</f>
        <v>200k-319k</v>
      </c>
      <c r="E333" s="71" t="str">
        <f>'Loan 3'!G2</f>
        <v>320k-679k</v>
      </c>
      <c r="F333" s="71" t="str">
        <f>'Loan 3'!H2</f>
        <v>680k-1.999m</v>
      </c>
      <c r="G333" s="71" t="str">
        <f>'Loan 3'!I2</f>
        <v>Above 2m</v>
      </c>
      <c r="H333" s="260"/>
      <c r="I333" s="119"/>
    </row>
    <row r="334" spans="1:9" s="110" customFormat="1">
      <c r="A334" s="260" t="s">
        <v>261</v>
      </c>
      <c r="B334" s="387">
        <f t="shared" ref="B334:G334" si="46">RATE(B343,-B344,B342)</f>
        <v>0.17999999999999994</v>
      </c>
      <c r="C334" s="387">
        <f t="shared" si="46"/>
        <v>0.17999999999999994</v>
      </c>
      <c r="D334" s="387">
        <f t="shared" si="46"/>
        <v>8.8123555729852698E-2</v>
      </c>
      <c r="E334" s="387">
        <f t="shared" si="46"/>
        <v>8.5259380039840502E-2</v>
      </c>
      <c r="F334" s="387">
        <f t="shared" si="46"/>
        <v>6.6153226409019689E-2</v>
      </c>
      <c r="G334" s="387">
        <f t="shared" si="46"/>
        <v>6.3131644929473762E-2</v>
      </c>
      <c r="H334" s="260"/>
      <c r="I334" s="119"/>
    </row>
    <row r="335" spans="1:9" s="110" customFormat="1">
      <c r="A335" s="260" t="s">
        <v>262</v>
      </c>
      <c r="B335" s="282">
        <f>'Loan 3'!D16</f>
        <v>0</v>
      </c>
      <c r="C335" s="282">
        <f>'Loan 3'!E16</f>
        <v>0</v>
      </c>
      <c r="D335" s="282">
        <f>'Loan 3'!F16</f>
        <v>0</v>
      </c>
      <c r="E335" s="282">
        <f>'Loan 3'!G16</f>
        <v>0</v>
      </c>
      <c r="F335" s="282">
        <f>'Loan 3'!H16</f>
        <v>0</v>
      </c>
      <c r="G335" s="282">
        <f>'Loan 3'!I16</f>
        <v>0</v>
      </c>
      <c r="H335" s="260"/>
      <c r="I335" s="119"/>
    </row>
    <row r="336" spans="1:9" s="110" customFormat="1">
      <c r="A336" s="260" t="s">
        <v>263</v>
      </c>
      <c r="B336" s="388">
        <f t="shared" ref="B336:G336" si="47">B334*12</f>
        <v>2.1599999999999993</v>
      </c>
      <c r="C336" s="388">
        <f t="shared" si="47"/>
        <v>2.1599999999999993</v>
      </c>
      <c r="D336" s="388">
        <f t="shared" si="47"/>
        <v>1.0574826687582324</v>
      </c>
      <c r="E336" s="388">
        <f t="shared" si="47"/>
        <v>1.023112560478086</v>
      </c>
      <c r="F336" s="388">
        <f t="shared" si="47"/>
        <v>0.79383871690823626</v>
      </c>
      <c r="G336" s="388">
        <f t="shared" si="47"/>
        <v>0.75757973915368515</v>
      </c>
      <c r="H336" s="260"/>
      <c r="I336" s="119"/>
    </row>
    <row r="337" spans="1:9" s="110" customFormat="1">
      <c r="A337" s="260" t="s">
        <v>264</v>
      </c>
      <c r="B337" s="297">
        <f t="shared" ref="B337:G337" si="48">RATE(B343,B344,-B341,0)*12</f>
        <v>2.1600000000000081</v>
      </c>
      <c r="C337" s="297">
        <f t="shared" si="48"/>
        <v>2.1600000000000081</v>
      </c>
      <c r="D337" s="297">
        <f t="shared" si="48"/>
        <v>1.0574826687582459</v>
      </c>
      <c r="E337" s="297">
        <f t="shared" si="48"/>
        <v>1.0231125604782527</v>
      </c>
      <c r="F337" s="297">
        <f t="shared" si="48"/>
        <v>0.79383871690824659</v>
      </c>
      <c r="G337" s="297">
        <f t="shared" si="48"/>
        <v>0.75757973915373022</v>
      </c>
      <c r="H337" s="260"/>
      <c r="I337" s="119"/>
    </row>
    <row r="338" spans="1:9" s="110" customFormat="1">
      <c r="A338" s="260"/>
      <c r="B338" s="260"/>
      <c r="C338" s="260"/>
      <c r="D338" s="260"/>
      <c r="E338" s="260"/>
      <c r="F338" s="260"/>
      <c r="G338" s="260"/>
      <c r="H338" s="260"/>
      <c r="I338" s="119"/>
    </row>
    <row r="339" spans="1:9" s="110" customFormat="1">
      <c r="A339" s="260" t="s">
        <v>265</v>
      </c>
      <c r="B339" s="224">
        <f>Model_Summary!F$215</f>
        <v>0.18</v>
      </c>
      <c r="C339" s="224">
        <f>Model_Summary!G$215</f>
        <v>0.18</v>
      </c>
      <c r="D339" s="224">
        <f>Model_Summary!H$215</f>
        <v>5.5E-2</v>
      </c>
      <c r="E339" s="224">
        <f>Model_Summary!I$215</f>
        <v>5.2999999999999999E-2</v>
      </c>
      <c r="F339" s="224">
        <f>Model_Summary!J$215</f>
        <v>0.04</v>
      </c>
      <c r="G339" s="224">
        <f>Model_Summary!K$215</f>
        <v>3.7999999999999999E-2</v>
      </c>
      <c r="H339" s="260"/>
      <c r="I339" s="119"/>
    </row>
    <row r="340" spans="1:9" s="110" customFormat="1">
      <c r="A340" s="260"/>
      <c r="B340" s="389"/>
      <c r="C340" s="389"/>
      <c r="D340" s="389"/>
      <c r="E340" s="389"/>
      <c r="F340" s="389"/>
      <c r="G340" s="389"/>
      <c r="H340" s="260"/>
      <c r="I340" s="119"/>
    </row>
    <row r="341" spans="1:9" s="110" customFormat="1">
      <c r="A341" s="260" t="s">
        <v>266</v>
      </c>
      <c r="B341" s="390">
        <v>100000</v>
      </c>
      <c r="C341" s="390">
        <v>100000</v>
      </c>
      <c r="D341" s="390">
        <v>100000</v>
      </c>
      <c r="E341" s="390">
        <v>100000</v>
      </c>
      <c r="F341" s="390">
        <v>100000</v>
      </c>
      <c r="G341" s="390">
        <v>100001</v>
      </c>
      <c r="H341" s="260"/>
      <c r="I341" s="119"/>
    </row>
    <row r="342" spans="1:9" s="110" customFormat="1">
      <c r="A342" s="260" t="s">
        <v>267</v>
      </c>
      <c r="B342" s="390">
        <f t="shared" ref="B342:G342" si="49">B341*(1+B335)</f>
        <v>100000</v>
      </c>
      <c r="C342" s="390">
        <f t="shared" si="49"/>
        <v>100000</v>
      </c>
      <c r="D342" s="390">
        <f t="shared" si="49"/>
        <v>100000</v>
      </c>
      <c r="E342" s="390">
        <f t="shared" si="49"/>
        <v>100000</v>
      </c>
      <c r="F342" s="390">
        <f t="shared" si="49"/>
        <v>100000</v>
      </c>
      <c r="G342" s="390">
        <f t="shared" si="49"/>
        <v>100001</v>
      </c>
      <c r="H342" s="260"/>
      <c r="I342" s="119"/>
    </row>
    <row r="343" spans="1:9" s="110" customFormat="1">
      <c r="A343" s="260" t="s">
        <v>268</v>
      </c>
      <c r="B343" s="392">
        <f>Model_Summary!F218</f>
        <v>1</v>
      </c>
      <c r="C343" s="392">
        <f>Model_Summary!G218</f>
        <v>1</v>
      </c>
      <c r="D343" s="392">
        <f>Model_Summary!H218</f>
        <v>12</v>
      </c>
      <c r="E343" s="392">
        <f>Model_Summary!I218</f>
        <v>12</v>
      </c>
      <c r="F343" s="392">
        <f>Model_Summary!J218</f>
        <v>12</v>
      </c>
      <c r="G343" s="392">
        <f>Model_Summary!K218</f>
        <v>12</v>
      </c>
      <c r="H343" s="260"/>
      <c r="I343" s="119"/>
    </row>
    <row r="344" spans="1:9" s="110" customFormat="1">
      <c r="A344" s="260" t="s">
        <v>269</v>
      </c>
      <c r="B344" s="390">
        <f t="shared" ref="B344:G344" si="50">(B342/B343)+(B342*B339)</f>
        <v>118000</v>
      </c>
      <c r="C344" s="390">
        <f t="shared" si="50"/>
        <v>118000</v>
      </c>
      <c r="D344" s="390">
        <f t="shared" si="50"/>
        <v>13833.333333333334</v>
      </c>
      <c r="E344" s="390">
        <f t="shared" si="50"/>
        <v>13633.333333333334</v>
      </c>
      <c r="F344" s="390">
        <f t="shared" si="50"/>
        <v>12333.333333333334</v>
      </c>
      <c r="G344" s="390">
        <f t="shared" si="50"/>
        <v>12133.454666666667</v>
      </c>
      <c r="H344" s="260"/>
      <c r="I344" s="119"/>
    </row>
    <row r="345" spans="1:9" s="110" customFormat="1">
      <c r="A345" s="260" t="s">
        <v>270</v>
      </c>
      <c r="B345" s="390">
        <f t="shared" ref="B345:G345" si="51">B344*B343</f>
        <v>118000</v>
      </c>
      <c r="C345" s="390">
        <f t="shared" si="51"/>
        <v>118000</v>
      </c>
      <c r="D345" s="390">
        <f t="shared" si="51"/>
        <v>166000</v>
      </c>
      <c r="E345" s="390">
        <f t="shared" si="51"/>
        <v>163600</v>
      </c>
      <c r="F345" s="390">
        <f t="shared" si="51"/>
        <v>148000</v>
      </c>
      <c r="G345" s="390">
        <f t="shared" si="51"/>
        <v>145601.45600000001</v>
      </c>
      <c r="H345" s="260"/>
      <c r="I345" s="119"/>
    </row>
    <row r="346" spans="1:9" s="110" customFormat="1">
      <c r="A346" s="260" t="s">
        <v>271</v>
      </c>
      <c r="B346" s="393">
        <f t="shared" ref="B346:G346" si="52">B345-B341</f>
        <v>18000</v>
      </c>
      <c r="C346" s="393">
        <f t="shared" si="52"/>
        <v>18000</v>
      </c>
      <c r="D346" s="393">
        <f t="shared" si="52"/>
        <v>66000</v>
      </c>
      <c r="E346" s="393">
        <f t="shared" si="52"/>
        <v>63600</v>
      </c>
      <c r="F346" s="393">
        <f t="shared" si="52"/>
        <v>48000</v>
      </c>
      <c r="G346" s="393">
        <f t="shared" si="52"/>
        <v>45600.456000000006</v>
      </c>
      <c r="H346" s="260"/>
      <c r="I346" s="119"/>
    </row>
    <row r="347" spans="1:9" s="110" customFormat="1">
      <c r="A347" s="260"/>
      <c r="B347" s="393"/>
      <c r="C347" s="393"/>
      <c r="D347" s="393"/>
      <c r="E347" s="393"/>
      <c r="F347" s="393"/>
      <c r="G347" s="260"/>
      <c r="H347" s="260"/>
      <c r="I347" s="119"/>
    </row>
    <row r="348" spans="1:9" s="110" customFormat="1">
      <c r="A348" s="260"/>
      <c r="B348" s="393"/>
      <c r="C348" s="393"/>
      <c r="D348" s="393"/>
      <c r="E348" s="393"/>
      <c r="F348" s="393"/>
      <c r="G348" s="260"/>
      <c r="H348" s="260"/>
      <c r="I348" s="119"/>
    </row>
    <row r="349" spans="1:9" s="110" customFormat="1">
      <c r="A349" s="73" t="s">
        <v>275</v>
      </c>
      <c r="B349" s="393"/>
      <c r="C349" s="393"/>
      <c r="D349" s="393"/>
      <c r="E349" s="393"/>
      <c r="F349" s="393"/>
      <c r="G349" s="260"/>
      <c r="H349" s="260"/>
      <c r="I349" s="119"/>
    </row>
    <row r="350" spans="1:9" s="110" customFormat="1">
      <c r="A350" s="260"/>
      <c r="B350" s="71" t="str">
        <f>'MBL NTB By Band'!D2</f>
        <v>100k - 199k</v>
      </c>
      <c r="C350" s="71" t="str">
        <f>'MBL NTB By Band'!E2</f>
        <v>200k - 499k</v>
      </c>
      <c r="D350" s="71" t="str">
        <f>'MBL NTB By Band'!F2</f>
        <v>500k - 799k</v>
      </c>
      <c r="E350" s="71" t="str">
        <f>'MBL NTB By Band'!G2</f>
        <v>800k and above</v>
      </c>
      <c r="F350" s="393"/>
      <c r="G350" s="260"/>
      <c r="H350" s="260"/>
      <c r="I350" s="119"/>
    </row>
    <row r="351" spans="1:9" s="110" customFormat="1">
      <c r="A351" s="260" t="s">
        <v>261</v>
      </c>
      <c r="B351" s="387">
        <f>RATE(B360,-B361,B359)</f>
        <v>0.15340829730399994</v>
      </c>
      <c r="C351" s="387">
        <f>RATE(C360,-C361,C359)</f>
        <v>0.11925891596425461</v>
      </c>
      <c r="D351" s="387">
        <f>RATE(D360,-D361,D359)</f>
        <v>0.11384400795104616</v>
      </c>
      <c r="E351" s="387">
        <f>RATE(E360,-E361,E359)</f>
        <v>9.8510687294957003E-2</v>
      </c>
      <c r="F351" s="393"/>
      <c r="G351" s="260"/>
      <c r="H351" s="260"/>
      <c r="I351" s="119"/>
    </row>
    <row r="352" spans="1:9" s="110" customFormat="1">
      <c r="A352" s="260" t="s">
        <v>262</v>
      </c>
      <c r="B352" s="282">
        <f>'MBL NTB By Band'!D16</f>
        <v>0</v>
      </c>
      <c r="C352" s="282">
        <f>'MBL NTB By Band'!E16</f>
        <v>0</v>
      </c>
      <c r="D352" s="282">
        <f>'MBL NTB By Band'!F16</f>
        <v>0</v>
      </c>
      <c r="E352" s="282">
        <f>'MBL NTB By Band'!G16</f>
        <v>0</v>
      </c>
      <c r="F352" s="393"/>
      <c r="G352" s="260"/>
      <c r="H352" s="260"/>
      <c r="I352" s="119"/>
    </row>
    <row r="353" spans="1:9" s="110" customFormat="1">
      <c r="A353" s="260" t="s">
        <v>263</v>
      </c>
      <c r="B353" s="388">
        <f>B351*12</f>
        <v>1.8408995676479991</v>
      </c>
      <c r="C353" s="388">
        <f>C351*12</f>
        <v>1.4311069915710553</v>
      </c>
      <c r="D353" s="388">
        <f>D351*12</f>
        <v>1.3661280954125539</v>
      </c>
      <c r="E353" s="388">
        <f>E351*12</f>
        <v>1.1821282475394841</v>
      </c>
      <c r="F353" s="393"/>
      <c r="G353" s="260"/>
      <c r="H353" s="260"/>
      <c r="I353" s="119"/>
    </row>
    <row r="354" spans="1:9" s="110" customFormat="1">
      <c r="A354" s="260" t="s">
        <v>264</v>
      </c>
      <c r="B354" s="297">
        <f>RATE(B360,B361,-B358,0)*12</f>
        <v>1.8408995676480022</v>
      </c>
      <c r="C354" s="297">
        <f>RATE(C360,C361,-C358,0)*12</f>
        <v>1.4311069915710573</v>
      </c>
      <c r="D354" s="297">
        <f>RATE(D360,D361,-D358,0)*12</f>
        <v>1.3661280954124715</v>
      </c>
      <c r="E354" s="297">
        <f>RATE(E360,E361,-E358,0)*12</f>
        <v>1.1821282475394852</v>
      </c>
      <c r="F354" s="393"/>
      <c r="G354" s="260"/>
      <c r="H354" s="260"/>
      <c r="I354" s="119"/>
    </row>
    <row r="355" spans="1:9" s="110" customFormat="1">
      <c r="A355" s="260"/>
      <c r="B355" s="260"/>
      <c r="C355" s="260"/>
      <c r="D355" s="260"/>
      <c r="E355" s="260"/>
      <c r="F355" s="393"/>
      <c r="G355" s="260"/>
      <c r="H355" s="260"/>
      <c r="I355" s="119"/>
    </row>
    <row r="356" spans="1:9" s="110" customFormat="1">
      <c r="A356" s="260" t="s">
        <v>265</v>
      </c>
      <c r="B356" s="224">
        <f>Model_Summary!H$283</f>
        <v>0.1</v>
      </c>
      <c r="C356" s="224">
        <f>Model_Summary!I$283</f>
        <v>7.6961160451769858E-2</v>
      </c>
      <c r="D356" s="224">
        <f>Model_Summary!J$283</f>
        <v>7.2999999999999995E-2</v>
      </c>
      <c r="E356" s="224">
        <f>Model_Summary!K$283</f>
        <v>6.2E-2</v>
      </c>
      <c r="F356" s="393"/>
      <c r="G356" s="260"/>
      <c r="H356" s="260"/>
      <c r="I356" s="119"/>
    </row>
    <row r="357" spans="1:9" s="110" customFormat="1">
      <c r="A357" s="260"/>
      <c r="B357" s="389"/>
      <c r="C357" s="389"/>
      <c r="D357" s="389"/>
      <c r="E357" s="389"/>
      <c r="F357" s="393"/>
      <c r="G357" s="260"/>
      <c r="H357" s="260"/>
      <c r="I357" s="119"/>
    </row>
    <row r="358" spans="1:9" s="110" customFormat="1">
      <c r="A358" s="260" t="s">
        <v>266</v>
      </c>
      <c r="B358" s="390">
        <v>100000</v>
      </c>
      <c r="C358" s="390">
        <v>100000</v>
      </c>
      <c r="D358" s="390">
        <v>100000</v>
      </c>
      <c r="E358" s="390">
        <v>100001</v>
      </c>
      <c r="F358" s="393"/>
      <c r="G358" s="260"/>
      <c r="H358" s="260"/>
      <c r="I358" s="119"/>
    </row>
    <row r="359" spans="1:9" s="110" customFormat="1">
      <c r="A359" s="260" t="s">
        <v>267</v>
      </c>
      <c r="B359" s="390">
        <f>B358*(1+B352)</f>
        <v>100000</v>
      </c>
      <c r="C359" s="390">
        <f>C358*(1+C352)</f>
        <v>100000</v>
      </c>
      <c r="D359" s="390">
        <f>D358*(1+D352)</f>
        <v>100000</v>
      </c>
      <c r="E359" s="390">
        <f>E358*(1+E352)</f>
        <v>100001</v>
      </c>
      <c r="F359" s="393"/>
      <c r="G359" s="260"/>
      <c r="H359" s="260"/>
      <c r="I359" s="119"/>
    </row>
    <row r="360" spans="1:9" s="110" customFormat="1">
      <c r="A360" s="260" t="s">
        <v>268</v>
      </c>
      <c r="B360" s="392">
        <f>Model_Summary!H286</f>
        <v>6</v>
      </c>
      <c r="C360" s="392">
        <f>Model_Summary!I286</f>
        <v>11</v>
      </c>
      <c r="D360" s="392">
        <f>Model_Summary!J286</f>
        <v>11</v>
      </c>
      <c r="E360" s="392">
        <f>Model_Summary!K286</f>
        <v>11</v>
      </c>
      <c r="F360" s="393"/>
      <c r="G360" s="260"/>
      <c r="H360" s="260"/>
      <c r="I360" s="119"/>
    </row>
    <row r="361" spans="1:9" s="110" customFormat="1">
      <c r="A361" s="260" t="s">
        <v>269</v>
      </c>
      <c r="B361" s="390">
        <f>(B359/B360)+(B359*B356)</f>
        <v>26666.666666666668</v>
      </c>
      <c r="C361" s="390">
        <f>(C359/C360)+(C359*C356)</f>
        <v>16787.025136086075</v>
      </c>
      <c r="D361" s="390">
        <f>(D359/D360)+(D359*D356)</f>
        <v>16390.909090909088</v>
      </c>
      <c r="E361" s="390">
        <f>(E359/E360)+(E359*E356)</f>
        <v>15291.062</v>
      </c>
      <c r="F361" s="393"/>
      <c r="G361" s="260"/>
      <c r="H361" s="260"/>
      <c r="I361" s="119"/>
    </row>
    <row r="362" spans="1:9" s="110" customFormat="1">
      <c r="A362" s="260" t="s">
        <v>270</v>
      </c>
      <c r="B362" s="390">
        <f>B361*B360</f>
        <v>160000</v>
      </c>
      <c r="C362" s="390">
        <f>C361*C360</f>
        <v>184657.27649694681</v>
      </c>
      <c r="D362" s="390">
        <f>D361*D360</f>
        <v>180299.99999999997</v>
      </c>
      <c r="E362" s="390">
        <f>E361*E360</f>
        <v>168201.682</v>
      </c>
      <c r="F362" s="393"/>
      <c r="G362" s="260"/>
      <c r="H362" s="260"/>
      <c r="I362" s="119"/>
    </row>
    <row r="363" spans="1:9" s="110" customFormat="1">
      <c r="A363" s="260" t="s">
        <v>271</v>
      </c>
      <c r="B363" s="393">
        <f>B362-B358</f>
        <v>60000</v>
      </c>
      <c r="C363" s="393">
        <f>C362-C358</f>
        <v>84657.276496946812</v>
      </c>
      <c r="D363" s="393">
        <f>D362-D358</f>
        <v>80299.999999999971</v>
      </c>
      <c r="E363" s="393">
        <f>E362-E358</f>
        <v>68200.682000000001</v>
      </c>
      <c r="F363" s="393"/>
      <c r="G363" s="260"/>
      <c r="H363" s="260"/>
      <c r="I363" s="119"/>
    </row>
    <row r="364" spans="1:9" s="110" customFormat="1">
      <c r="A364" s="260"/>
      <c r="B364" s="393"/>
      <c r="C364" s="393"/>
      <c r="D364" s="393"/>
      <c r="E364" s="393"/>
      <c r="F364" s="393"/>
      <c r="G364" s="260"/>
      <c r="H364" s="260"/>
      <c r="I364" s="119"/>
    </row>
    <row r="365" spans="1:9" s="110" customFormat="1">
      <c r="A365" s="73" t="s">
        <v>466</v>
      </c>
      <c r="B365" s="393"/>
      <c r="C365" s="393"/>
      <c r="D365" s="393"/>
      <c r="E365" s="393"/>
      <c r="F365" s="393"/>
      <c r="G365" s="260"/>
      <c r="H365" s="260"/>
      <c r="I365" s="119"/>
    </row>
    <row r="366" spans="1:9" s="110" customFormat="1">
      <c r="A366" s="260"/>
      <c r="B366" s="71" t="str">
        <f>B$350</f>
        <v>100k - 199k</v>
      </c>
      <c r="C366" s="71" t="str">
        <f>C$350</f>
        <v>200k - 499k</v>
      </c>
      <c r="D366" s="71" t="str">
        <f>D$350</f>
        <v>500k - 799k</v>
      </c>
      <c r="E366" s="71" t="str">
        <f>E$350</f>
        <v>800k and above</v>
      </c>
      <c r="F366" s="393"/>
      <c r="G366" s="260"/>
      <c r="H366" s="260"/>
      <c r="I366" s="119"/>
    </row>
    <row r="367" spans="1:9" s="110" customFormat="1">
      <c r="A367" s="260" t="s">
        <v>261</v>
      </c>
      <c r="B367" s="387">
        <f>RATE(B376,-B377,B375)</f>
        <v>0.13216996334258749</v>
      </c>
      <c r="C367" s="387">
        <f>RATE(C376,-C377,C375)</f>
        <v>0.10273796790282951</v>
      </c>
      <c r="D367" s="387">
        <f>RATE(D376,-D377,D375)</f>
        <v>9.8510687294957031E-2</v>
      </c>
      <c r="E367" s="387">
        <f>RATE(E376,-E377,E375)</f>
        <v>8.5605322245991752E-2</v>
      </c>
      <c r="F367" s="393"/>
      <c r="G367" s="260"/>
      <c r="H367" s="260"/>
      <c r="I367" s="119"/>
    </row>
    <row r="368" spans="1:9" s="110" customFormat="1">
      <c r="A368" s="260" t="s">
        <v>262</v>
      </c>
      <c r="B368" s="282">
        <f>B$318</f>
        <v>0</v>
      </c>
      <c r="C368" s="282">
        <f>C$318</f>
        <v>0</v>
      </c>
      <c r="D368" s="282">
        <f>D$318</f>
        <v>0</v>
      </c>
      <c r="E368" s="282">
        <f>E$318</f>
        <v>0</v>
      </c>
      <c r="F368" s="393"/>
      <c r="G368" s="260"/>
      <c r="H368" s="260"/>
      <c r="I368" s="119"/>
    </row>
    <row r="369" spans="1:10" s="110" customFormat="1">
      <c r="A369" s="260" t="s">
        <v>263</v>
      </c>
      <c r="B369" s="388">
        <f>B367*12</f>
        <v>1.58603956011105</v>
      </c>
      <c r="C369" s="388">
        <f>C367*12</f>
        <v>1.232855614833954</v>
      </c>
      <c r="D369" s="388">
        <f>D367*12</f>
        <v>1.1821282475394843</v>
      </c>
      <c r="E369" s="388">
        <f>E367*12</f>
        <v>1.027263866951901</v>
      </c>
      <c r="F369" s="393"/>
      <c r="G369" s="260"/>
      <c r="H369" s="260"/>
      <c r="I369" s="119"/>
    </row>
    <row r="370" spans="1:10" s="110" customFormat="1">
      <c r="A370" s="260" t="s">
        <v>264</v>
      </c>
      <c r="B370" s="297">
        <f>RATE(B376,B377,-B374,0)*12</f>
        <v>1.586039560110688</v>
      </c>
      <c r="C370" s="297">
        <f>RATE(C376,C377,-C374,0)*12</f>
        <v>1.2328556148340364</v>
      </c>
      <c r="D370" s="297">
        <f>RATE(D376,D377,-D374,0)*12</f>
        <v>1.1821282475394854</v>
      </c>
      <c r="E370" s="297">
        <f>RATE(E376,E377,-E374,0)*12</f>
        <v>1.0272638669519387</v>
      </c>
      <c r="F370" s="393"/>
      <c r="G370" s="260"/>
      <c r="H370" s="260"/>
      <c r="I370" s="119"/>
    </row>
    <row r="371" spans="1:10" s="110" customFormat="1">
      <c r="A371" s="260"/>
      <c r="B371" s="260"/>
      <c r="C371" s="260"/>
      <c r="D371" s="260"/>
      <c r="E371" s="260"/>
      <c r="F371" s="393"/>
      <c r="G371" s="260"/>
      <c r="H371" s="260"/>
      <c r="I371" s="119"/>
      <c r="J371" s="260"/>
    </row>
    <row r="372" spans="1:10" s="110" customFormat="1">
      <c r="A372" s="260" t="s">
        <v>265</v>
      </c>
      <c r="B372" s="224">
        <f>Model_Summary!H$349</f>
        <v>8.5000000000000006E-2</v>
      </c>
      <c r="C372" s="224">
        <f>Model_Summary!I$349</f>
        <v>6.5000000000000002E-2</v>
      </c>
      <c r="D372" s="224">
        <f>Model_Summary!J$349</f>
        <v>6.2E-2</v>
      </c>
      <c r="E372" s="224">
        <f>Model_Summary!K$349</f>
        <v>5.2999999999999999E-2</v>
      </c>
      <c r="F372" s="393"/>
      <c r="G372" s="260"/>
      <c r="H372" s="260"/>
      <c r="I372" s="119"/>
      <c r="J372" s="260"/>
    </row>
    <row r="373" spans="1:10" s="110" customFormat="1">
      <c r="A373" s="260"/>
      <c r="B373" s="389"/>
      <c r="C373" s="389"/>
      <c r="D373" s="389"/>
      <c r="E373" s="389"/>
      <c r="F373" s="393"/>
      <c r="G373" s="260"/>
      <c r="H373" s="260"/>
      <c r="I373" s="119"/>
      <c r="J373" s="260"/>
    </row>
    <row r="374" spans="1:10" s="110" customFormat="1">
      <c r="A374" s="260" t="s">
        <v>266</v>
      </c>
      <c r="B374" s="390">
        <v>100000</v>
      </c>
      <c r="C374" s="390">
        <v>100000</v>
      </c>
      <c r="D374" s="390">
        <v>100000</v>
      </c>
      <c r="E374" s="390">
        <v>100001</v>
      </c>
      <c r="F374" s="393"/>
      <c r="G374" s="260"/>
      <c r="H374" s="260"/>
      <c r="I374" s="119"/>
      <c r="J374" s="260"/>
    </row>
    <row r="375" spans="1:10" s="110" customFormat="1">
      <c r="A375" s="260" t="s">
        <v>267</v>
      </c>
      <c r="B375" s="390">
        <f>B374*(1+B368)</f>
        <v>100000</v>
      </c>
      <c r="C375" s="390">
        <f>C374*(1+C368)</f>
        <v>100000</v>
      </c>
      <c r="D375" s="390">
        <f>D374*(1+D368)</f>
        <v>100000</v>
      </c>
      <c r="E375" s="390">
        <f>E374*(1+E368)</f>
        <v>100001</v>
      </c>
      <c r="F375" s="393"/>
      <c r="G375" s="260"/>
      <c r="H375" s="260"/>
      <c r="I375" s="119"/>
      <c r="J375" s="260"/>
    </row>
    <row r="376" spans="1:10" s="110" customFormat="1">
      <c r="A376" s="260" t="s">
        <v>268</v>
      </c>
      <c r="B376" s="392">
        <f>Model_Summary!H$352</f>
        <v>6</v>
      </c>
      <c r="C376" s="392">
        <f>Model_Summary!I$352</f>
        <v>11</v>
      </c>
      <c r="D376" s="392">
        <f>Model_Summary!J$352</f>
        <v>11</v>
      </c>
      <c r="E376" s="392">
        <f>Model_Summary!K$352</f>
        <v>11</v>
      </c>
      <c r="F376" s="393"/>
      <c r="G376" s="260"/>
      <c r="H376" s="260"/>
      <c r="I376" s="119"/>
      <c r="J376" s="260"/>
    </row>
    <row r="377" spans="1:10" s="110" customFormat="1">
      <c r="A377" s="260" t="s">
        <v>269</v>
      </c>
      <c r="B377" s="390">
        <f>(B375/B376)+(B375*B372)</f>
        <v>25166.666666666668</v>
      </c>
      <c r="C377" s="390">
        <f>(C375/C376)+(C375*C372)</f>
        <v>15590.90909090909</v>
      </c>
      <c r="D377" s="390">
        <f>(D375/D376)+(D375*D372)</f>
        <v>15290.90909090909</v>
      </c>
      <c r="E377" s="390">
        <f>(E375/E376)+(E375*E372)</f>
        <v>14391.053</v>
      </c>
      <c r="F377" s="393"/>
      <c r="G377" s="260"/>
      <c r="H377" s="260"/>
      <c r="I377" s="119"/>
      <c r="J377" s="260"/>
    </row>
    <row r="378" spans="1:10" s="110" customFormat="1">
      <c r="A378" s="260" t="s">
        <v>270</v>
      </c>
      <c r="B378" s="390">
        <f>B377*B376</f>
        <v>151000</v>
      </c>
      <c r="C378" s="390">
        <f>C377*C376</f>
        <v>171500</v>
      </c>
      <c r="D378" s="390">
        <f>D377*D376</f>
        <v>168200</v>
      </c>
      <c r="E378" s="390">
        <f>E377*E376</f>
        <v>158301.58299999998</v>
      </c>
      <c r="F378" s="393"/>
      <c r="G378" s="260"/>
      <c r="H378" s="260"/>
      <c r="I378" s="119"/>
      <c r="J378" s="260"/>
    </row>
    <row r="379" spans="1:10" s="110" customFormat="1">
      <c r="A379" s="260" t="s">
        <v>271</v>
      </c>
      <c r="B379" s="393">
        <f>B378-B374</f>
        <v>51000</v>
      </c>
      <c r="C379" s="393">
        <f>C378-C374</f>
        <v>71500</v>
      </c>
      <c r="D379" s="393">
        <f>D378-D374</f>
        <v>68200</v>
      </c>
      <c r="E379" s="393">
        <f>E378-E374</f>
        <v>58300.582999999984</v>
      </c>
      <c r="F379" s="393"/>
      <c r="G379" s="260"/>
      <c r="H379" s="260"/>
      <c r="I379" s="119"/>
      <c r="J379" s="260"/>
    </row>
    <row r="380" spans="1:10" s="110" customFormat="1">
      <c r="A380" s="260"/>
      <c r="B380" s="393"/>
      <c r="C380" s="393"/>
      <c r="D380" s="393"/>
      <c r="E380" s="393"/>
      <c r="F380" s="393"/>
      <c r="G380" s="260"/>
      <c r="H380" s="260"/>
      <c r="I380" s="119"/>
      <c r="J380" s="260"/>
    </row>
    <row r="381" spans="1:10" s="110" customFormat="1">
      <c r="A381" s="598" t="s">
        <v>467</v>
      </c>
      <c r="B381" s="393"/>
      <c r="C381" s="393"/>
      <c r="D381" s="393"/>
      <c r="E381" s="393"/>
      <c r="F381" s="393"/>
      <c r="G381" s="260"/>
      <c r="H381" s="260"/>
      <c r="I381" s="599"/>
    </row>
    <row r="382" spans="1:10" s="110" customFormat="1">
      <c r="A382" s="260"/>
      <c r="B382" s="597" t="str">
        <f>B$350</f>
        <v>100k - 199k</v>
      </c>
      <c r="C382" s="597" t="str">
        <f>C$350</f>
        <v>200k - 499k</v>
      </c>
      <c r="D382" s="597" t="str">
        <f>D$350</f>
        <v>500k - 799k</v>
      </c>
      <c r="E382" s="597" t="str">
        <f>E$350</f>
        <v>800k and above</v>
      </c>
      <c r="F382" s="393"/>
      <c r="G382" s="260"/>
      <c r="H382" s="260"/>
      <c r="I382" s="599"/>
    </row>
    <row r="383" spans="1:10" s="110" customFormat="1">
      <c r="A383" s="260" t="s">
        <v>261</v>
      </c>
      <c r="B383" s="387">
        <f>RATE(B392,-B393,B391)</f>
        <v>0.15340829730399994</v>
      </c>
      <c r="C383" s="387">
        <f>RATE(C392,-C393,C391)</f>
        <v>0.11925891596425461</v>
      </c>
      <c r="D383" s="387">
        <f>RATE(D392,-D393,D391)</f>
        <v>0.11384400795104616</v>
      </c>
      <c r="E383" s="387">
        <f>RATE(E392,-E393,E391)</f>
        <v>9.8510687294957003E-2</v>
      </c>
      <c r="F383" s="393"/>
      <c r="G383" s="260"/>
      <c r="H383" s="260"/>
      <c r="I383" s="599"/>
    </row>
    <row r="384" spans="1:10" s="110" customFormat="1">
      <c r="A384" s="260" t="s">
        <v>262</v>
      </c>
      <c r="B384" s="282">
        <f>B$318</f>
        <v>0</v>
      </c>
      <c r="C384" s="282">
        <f>C$318</f>
        <v>0</v>
      </c>
      <c r="D384" s="282">
        <f>D$318</f>
        <v>0</v>
      </c>
      <c r="E384" s="282">
        <f>E$318</f>
        <v>0</v>
      </c>
      <c r="F384" s="393"/>
      <c r="G384" s="260"/>
      <c r="H384" s="260"/>
      <c r="I384" s="599"/>
    </row>
    <row r="385" spans="1:10" s="110" customFormat="1">
      <c r="A385" s="260" t="s">
        <v>263</v>
      </c>
      <c r="B385" s="388">
        <f>B383*12</f>
        <v>1.8408995676479991</v>
      </c>
      <c r="C385" s="388">
        <f>C383*12</f>
        <v>1.4311069915710553</v>
      </c>
      <c r="D385" s="388">
        <f>D383*12</f>
        <v>1.3661280954125539</v>
      </c>
      <c r="E385" s="388">
        <f>E383*12</f>
        <v>1.1821282475394841</v>
      </c>
      <c r="F385" s="393"/>
      <c r="G385" s="260"/>
      <c r="H385" s="260"/>
      <c r="I385" s="599"/>
    </row>
    <row r="386" spans="1:10" s="110" customFormat="1">
      <c r="A386" s="260" t="s">
        <v>264</v>
      </c>
      <c r="B386" s="297">
        <f>RATE(B392,B393,-B390,0)*12</f>
        <v>1.8408995676480022</v>
      </c>
      <c r="C386" s="297">
        <f>RATE(C392,C393,-C390,0)*12</f>
        <v>1.4311069915710573</v>
      </c>
      <c r="D386" s="297">
        <f>RATE(D392,D393,-D390,0)*12</f>
        <v>1.3661280954124715</v>
      </c>
      <c r="E386" s="297">
        <f>RATE(E392,E393,-E390,0)*12</f>
        <v>1.1821282475394852</v>
      </c>
      <c r="F386" s="393"/>
      <c r="G386" s="260"/>
      <c r="H386" s="260"/>
      <c r="I386" s="599"/>
    </row>
    <row r="387" spans="1:10" s="110" customFormat="1">
      <c r="A387" s="260"/>
      <c r="B387" s="260"/>
      <c r="C387" s="260"/>
      <c r="D387" s="260"/>
      <c r="E387" s="260"/>
      <c r="F387" s="393"/>
      <c r="G387" s="260"/>
      <c r="H387" s="260"/>
      <c r="I387" s="599"/>
      <c r="J387" s="260"/>
    </row>
    <row r="388" spans="1:10" s="110" customFormat="1">
      <c r="A388" s="260" t="s">
        <v>265</v>
      </c>
      <c r="B388" s="224">
        <f>Model_Summary!H414</f>
        <v>0.1</v>
      </c>
      <c r="C388" s="224">
        <f>Model_Summary!I414</f>
        <v>7.6961160451769858E-2</v>
      </c>
      <c r="D388" s="224">
        <f>Model_Summary!J414</f>
        <v>7.2999999999999995E-2</v>
      </c>
      <c r="E388" s="224">
        <f>Model_Summary!K414</f>
        <v>6.2E-2</v>
      </c>
      <c r="F388" s="393"/>
      <c r="G388" s="260"/>
      <c r="H388" s="260"/>
      <c r="I388" s="599"/>
      <c r="J388" s="260"/>
    </row>
    <row r="389" spans="1:10" s="110" customFormat="1">
      <c r="A389" s="260"/>
      <c r="B389" s="389"/>
      <c r="C389" s="389"/>
      <c r="D389" s="389"/>
      <c r="E389" s="389"/>
      <c r="F389" s="393"/>
      <c r="G389" s="260"/>
      <c r="H389" s="260"/>
      <c r="I389" s="599"/>
      <c r="J389" s="260"/>
    </row>
    <row r="390" spans="1:10" s="110" customFormat="1">
      <c r="A390" s="260" t="s">
        <v>266</v>
      </c>
      <c r="B390" s="390">
        <v>100000</v>
      </c>
      <c r="C390" s="390">
        <v>100000</v>
      </c>
      <c r="D390" s="390">
        <v>100000</v>
      </c>
      <c r="E390" s="390">
        <v>100001</v>
      </c>
      <c r="F390" s="393"/>
      <c r="G390" s="260"/>
      <c r="H390" s="260"/>
      <c r="I390" s="599"/>
      <c r="J390" s="260"/>
    </row>
    <row r="391" spans="1:10" s="110" customFormat="1">
      <c r="A391" s="260" t="s">
        <v>267</v>
      </c>
      <c r="B391" s="390">
        <f>B390*(1+B384)</f>
        <v>100000</v>
      </c>
      <c r="C391" s="390">
        <f>C390*(1+C384)</f>
        <v>100000</v>
      </c>
      <c r="D391" s="390">
        <f>D390*(1+D384)</f>
        <v>100000</v>
      </c>
      <c r="E391" s="390">
        <f>E390*(1+E384)</f>
        <v>100001</v>
      </c>
      <c r="F391" s="393"/>
      <c r="G391" s="260"/>
      <c r="H391" s="260"/>
      <c r="I391" s="599"/>
      <c r="J391" s="260"/>
    </row>
    <row r="392" spans="1:10" s="110" customFormat="1">
      <c r="A392" s="260" t="s">
        <v>268</v>
      </c>
      <c r="B392" s="392">
        <f>Model_Summary!H417</f>
        <v>6</v>
      </c>
      <c r="C392" s="392">
        <f>Model_Summary!I417</f>
        <v>11</v>
      </c>
      <c r="D392" s="392">
        <f>Model_Summary!J417</f>
        <v>11</v>
      </c>
      <c r="E392" s="392">
        <f>Model_Summary!K417</f>
        <v>11</v>
      </c>
      <c r="F392" s="393"/>
      <c r="G392" s="260"/>
      <c r="H392" s="260"/>
      <c r="I392" s="599"/>
      <c r="J392" s="260"/>
    </row>
    <row r="393" spans="1:10" s="110" customFormat="1">
      <c r="A393" s="260" t="s">
        <v>269</v>
      </c>
      <c r="B393" s="390">
        <f>(B391/B392)+(B391*B388)</f>
        <v>26666.666666666668</v>
      </c>
      <c r="C393" s="390">
        <f>(C391/C392)+(C391*C388)</f>
        <v>16787.025136086075</v>
      </c>
      <c r="D393" s="390">
        <f>(D391/D392)+(D391*D388)</f>
        <v>16390.909090909088</v>
      </c>
      <c r="E393" s="390">
        <f>(E391/E392)+(E391*E388)</f>
        <v>15291.062</v>
      </c>
      <c r="F393" s="393"/>
      <c r="G393" s="260"/>
      <c r="H393" s="260"/>
      <c r="I393" s="599"/>
      <c r="J393" s="260"/>
    </row>
    <row r="394" spans="1:10" s="110" customFormat="1">
      <c r="A394" s="260" t="s">
        <v>270</v>
      </c>
      <c r="B394" s="390">
        <f>B393*B392</f>
        <v>160000</v>
      </c>
      <c r="C394" s="390">
        <f>C393*C392</f>
        <v>184657.27649694681</v>
      </c>
      <c r="D394" s="390">
        <f>D393*D392</f>
        <v>180299.99999999997</v>
      </c>
      <c r="E394" s="390">
        <f>E393*E392</f>
        <v>168201.682</v>
      </c>
      <c r="F394" s="393"/>
      <c r="G394" s="260"/>
      <c r="H394" s="260"/>
      <c r="I394" s="599"/>
      <c r="J394" s="260"/>
    </row>
    <row r="395" spans="1:10" s="110" customFormat="1">
      <c r="A395" s="260" t="s">
        <v>271</v>
      </c>
      <c r="B395" s="393">
        <f>B394-B390</f>
        <v>60000</v>
      </c>
      <c r="C395" s="393">
        <f>C394-C390</f>
        <v>84657.276496946812</v>
      </c>
      <c r="D395" s="393">
        <f>D394-D390</f>
        <v>80299.999999999971</v>
      </c>
      <c r="E395" s="393">
        <f>E394-E390</f>
        <v>68200.682000000001</v>
      </c>
      <c r="F395" s="393"/>
      <c r="G395" s="260"/>
      <c r="H395" s="260"/>
      <c r="I395" s="599"/>
      <c r="J395" s="260"/>
    </row>
    <row r="396" spans="1:10" s="110" customFormat="1">
      <c r="A396" s="260"/>
      <c r="B396" s="393"/>
      <c r="C396" s="393"/>
      <c r="D396" s="393"/>
      <c r="E396" s="393"/>
      <c r="F396" s="393"/>
      <c r="G396" s="260"/>
      <c r="H396" s="260"/>
      <c r="I396" s="119"/>
      <c r="J396" s="260"/>
    </row>
    <row r="397" spans="1:10" s="110" customFormat="1">
      <c r="A397" s="260"/>
      <c r="B397" s="393"/>
      <c r="C397" s="393"/>
      <c r="D397" s="393"/>
      <c r="E397" s="393"/>
      <c r="F397" s="393"/>
      <c r="G397" s="260"/>
      <c r="H397" s="260"/>
      <c r="I397" s="119"/>
      <c r="J397" s="260"/>
    </row>
    <row r="398" spans="1:10" ht="15" hidden="1" thickBot="1">
      <c r="A398" s="86" t="s">
        <v>276</v>
      </c>
      <c r="B398" s="334"/>
      <c r="C398" s="334"/>
      <c r="D398" s="334"/>
      <c r="E398" s="334"/>
      <c r="F398" s="334"/>
      <c r="G398" s="334"/>
      <c r="H398" s="334"/>
      <c r="I398" s="120"/>
      <c r="J398" s="334"/>
    </row>
    <row r="399" spans="1:10" hidden="1">
      <c r="A399" s="87" t="s">
        <v>190</v>
      </c>
      <c r="B399" s="98" t="s">
        <v>277</v>
      </c>
      <c r="C399" s="260"/>
      <c r="D399" s="260"/>
      <c r="E399" s="260"/>
      <c r="F399" s="260"/>
      <c r="G399" s="260"/>
      <c r="H399" s="260"/>
      <c r="J399" s="260"/>
    </row>
    <row r="400" spans="1:10" hidden="1">
      <c r="A400" s="260" t="s">
        <v>241</v>
      </c>
      <c r="B400" s="276">
        <f t="array" ref="B400:B404">TRANSPOSE(Model_Summary!$F$18:$J$18)</f>
        <v>6</v>
      </c>
      <c r="C400" s="260"/>
      <c r="D400" s="260"/>
      <c r="E400" s="260"/>
      <c r="F400" s="260"/>
      <c r="G400" s="260"/>
      <c r="H400" s="260"/>
      <c r="I400" s="122"/>
      <c r="J400" s="78"/>
    </row>
    <row r="401" spans="1:10" hidden="1">
      <c r="A401" s="260" t="s">
        <v>278</v>
      </c>
      <c r="B401" s="276">
        <v>6</v>
      </c>
      <c r="C401" s="260"/>
      <c r="D401" s="260"/>
      <c r="E401" s="260"/>
      <c r="F401" s="260"/>
      <c r="G401" s="260"/>
      <c r="H401" s="260"/>
      <c r="I401" s="122"/>
      <c r="J401" s="78"/>
    </row>
    <row r="402" spans="1:10" hidden="1">
      <c r="A402" s="260" t="s">
        <v>279</v>
      </c>
      <c r="B402" s="276">
        <v>6</v>
      </c>
      <c r="C402" s="260"/>
      <c r="D402" s="260"/>
      <c r="E402" s="260"/>
      <c r="F402" s="260"/>
      <c r="G402" s="260"/>
      <c r="H402" s="260"/>
      <c r="I402" s="122"/>
      <c r="J402" s="78"/>
    </row>
    <row r="403" spans="1:10" hidden="1">
      <c r="A403" s="260" t="s">
        <v>280</v>
      </c>
      <c r="B403" s="276">
        <v>6</v>
      </c>
      <c r="C403" s="260"/>
      <c r="D403" s="260"/>
      <c r="E403" s="260"/>
      <c r="F403" s="260"/>
      <c r="G403" s="260"/>
      <c r="H403" s="260"/>
      <c r="I403" s="122"/>
      <c r="J403" s="78"/>
    </row>
    <row r="404" spans="1:10" hidden="1">
      <c r="A404" s="260" t="s">
        <v>7</v>
      </c>
      <c r="B404" s="276">
        <v>6</v>
      </c>
      <c r="C404" s="260"/>
      <c r="D404" s="260"/>
      <c r="E404" s="260"/>
      <c r="F404" s="260"/>
      <c r="G404" s="260"/>
      <c r="H404" s="260"/>
      <c r="I404" s="122"/>
      <c r="J404" s="78"/>
    </row>
    <row r="405" spans="1:10" hidden="1"/>
    <row r="406" spans="1:10" hidden="1">
      <c r="A406" s="258" t="s">
        <v>174</v>
      </c>
      <c r="B406" s="258"/>
      <c r="C406" s="258"/>
      <c r="D406" s="259"/>
      <c r="E406" s="756" t="s">
        <v>187</v>
      </c>
      <c r="F406" s="757"/>
      <c r="G406" s="303"/>
      <c r="H406" s="303"/>
      <c r="I406" s="123"/>
      <c r="J406" s="303"/>
    </row>
    <row r="407" spans="1:10" hidden="1">
      <c r="A407" s="272" t="s">
        <v>281</v>
      </c>
      <c r="B407" s="71" t="s">
        <v>95</v>
      </c>
      <c r="C407" s="71" t="s">
        <v>184</v>
      </c>
      <c r="D407" s="81" t="s">
        <v>282</v>
      </c>
      <c r="E407" s="270" t="s">
        <v>281</v>
      </c>
      <c r="F407" s="81" t="s">
        <v>277</v>
      </c>
      <c r="G407" s="260"/>
      <c r="H407" s="260"/>
      <c r="J407" s="260"/>
    </row>
    <row r="408" spans="1:10" hidden="1">
      <c r="A408" s="369" t="s">
        <v>283</v>
      </c>
      <c r="B408" s="394">
        <f t="array" ref="B408:B412">TRANSPOSE(Model_Summary!$F$89:$J$89)</f>
        <v>1</v>
      </c>
      <c r="C408" s="304">
        <f t="array" ref="C408:C412">TRANSPOSE(Model_Summary!$F$153:$J$153)</f>
        <v>1</v>
      </c>
      <c r="D408" s="358">
        <f t="array" ref="D408:D412">TRANSPOSE(Model_Summary!$F$218:$J$218)</f>
        <v>1</v>
      </c>
      <c r="E408" s="395" t="s">
        <v>284</v>
      </c>
      <c r="F408" s="358">
        <f t="array" ref="F408:F410">TRANSPOSE(Model_Summary!$H$286:$J$286)</f>
        <v>6</v>
      </c>
      <c r="G408" s="260"/>
      <c r="H408" s="260"/>
      <c r="J408" s="260"/>
    </row>
    <row r="409" spans="1:10" hidden="1">
      <c r="A409" s="369" t="s">
        <v>285</v>
      </c>
      <c r="B409" s="304">
        <v>1</v>
      </c>
      <c r="C409" s="304">
        <v>1</v>
      </c>
      <c r="D409" s="358">
        <v>1</v>
      </c>
      <c r="E409" s="395" t="s">
        <v>286</v>
      </c>
      <c r="F409" s="358">
        <v>11</v>
      </c>
      <c r="G409" s="260"/>
      <c r="H409" s="260"/>
      <c r="J409" s="260"/>
    </row>
    <row r="410" spans="1:10" hidden="1">
      <c r="A410" s="369" t="s">
        <v>130</v>
      </c>
      <c r="B410" s="304">
        <v>12</v>
      </c>
      <c r="C410" s="304">
        <v>12</v>
      </c>
      <c r="D410" s="358">
        <v>12</v>
      </c>
      <c r="E410" s="395" t="s">
        <v>287</v>
      </c>
      <c r="F410" s="358">
        <v>11</v>
      </c>
      <c r="G410" s="260"/>
      <c r="H410" s="260"/>
      <c r="J410" s="260"/>
    </row>
    <row r="411" spans="1:10" hidden="1">
      <c r="A411" s="369" t="s">
        <v>131</v>
      </c>
      <c r="B411" s="304">
        <v>12</v>
      </c>
      <c r="C411" s="304">
        <v>12</v>
      </c>
      <c r="D411" s="358">
        <v>12</v>
      </c>
      <c r="E411" s="395"/>
      <c r="F411" s="358"/>
      <c r="G411" s="260"/>
      <c r="H411" s="260"/>
      <c r="J411" s="260"/>
    </row>
    <row r="412" spans="1:10" hidden="1">
      <c r="A412" s="369" t="s">
        <v>288</v>
      </c>
      <c r="B412" s="304">
        <v>12</v>
      </c>
      <c r="C412" s="304">
        <v>12</v>
      </c>
      <c r="D412" s="358">
        <v>12</v>
      </c>
      <c r="E412" s="396"/>
      <c r="F412" s="358"/>
      <c r="G412" s="260"/>
      <c r="H412" s="260"/>
      <c r="J412" s="260"/>
    </row>
    <row r="413" spans="1:10" hidden="1">
      <c r="A413" s="395"/>
      <c r="B413" s="260"/>
      <c r="C413" s="260"/>
      <c r="D413" s="260"/>
      <c r="E413" s="260"/>
      <c r="F413" s="260"/>
      <c r="G413" s="260"/>
      <c r="H413" s="260"/>
      <c r="J413" s="260"/>
    </row>
    <row r="414" spans="1:10" hidden="1"/>
    <row r="415" spans="1:10" ht="15" hidden="1" thickBot="1">
      <c r="A415" s="86" t="s">
        <v>289</v>
      </c>
      <c r="B415" s="334"/>
      <c r="C415" s="334"/>
      <c r="D415" s="334"/>
      <c r="E415" s="334"/>
      <c r="F415" s="334"/>
      <c r="G415" s="334"/>
      <c r="H415" s="334"/>
      <c r="I415" s="120"/>
      <c r="J415" s="334"/>
    </row>
    <row r="416" spans="1:10" hidden="1">
      <c r="A416" s="87" t="s">
        <v>190</v>
      </c>
      <c r="B416" s="99" t="s">
        <v>290</v>
      </c>
      <c r="C416" s="260"/>
      <c r="D416" s="260"/>
      <c r="E416" s="260"/>
      <c r="F416" s="260"/>
      <c r="G416" s="260"/>
      <c r="H416" s="260"/>
      <c r="J416" s="260"/>
    </row>
    <row r="417" spans="1:10" hidden="1">
      <c r="A417" s="260" t="s">
        <v>241</v>
      </c>
      <c r="B417" s="397">
        <f t="array" ref="B417:B422">TRANSPOSE(Model_Summary!F13:K13)</f>
        <v>273000</v>
      </c>
      <c r="C417" s="260"/>
      <c r="D417" s="260"/>
      <c r="E417" s="260"/>
      <c r="F417" s="260"/>
      <c r="G417" s="260"/>
      <c r="H417" s="260"/>
      <c r="J417" s="260"/>
    </row>
    <row r="418" spans="1:10" hidden="1">
      <c r="A418" s="260" t="s">
        <v>278</v>
      </c>
      <c r="B418" s="397">
        <v>450908</v>
      </c>
      <c r="C418" s="260"/>
      <c r="D418" s="260"/>
      <c r="E418" s="260"/>
      <c r="F418" s="260"/>
      <c r="G418" s="260"/>
      <c r="H418" s="260"/>
    </row>
    <row r="419" spans="1:10" hidden="1">
      <c r="A419" s="260" t="s">
        <v>279</v>
      </c>
      <c r="B419" s="397">
        <v>562728</v>
      </c>
      <c r="C419" s="260"/>
      <c r="D419" s="260"/>
      <c r="E419" s="260"/>
      <c r="F419" s="260"/>
      <c r="G419" s="260"/>
      <c r="H419" s="260"/>
    </row>
    <row r="420" spans="1:10" hidden="1">
      <c r="A420" s="260" t="s">
        <v>291</v>
      </c>
      <c r="B420" s="397">
        <v>625000</v>
      </c>
      <c r="C420" s="260"/>
      <c r="D420" s="260"/>
      <c r="E420" s="260"/>
      <c r="F420" s="260"/>
      <c r="G420" s="260"/>
      <c r="H420" s="260"/>
    </row>
    <row r="421" spans="1:10" hidden="1">
      <c r="A421" s="260" t="s">
        <v>292</v>
      </c>
      <c r="B421" s="397">
        <v>280000</v>
      </c>
      <c r="C421" s="260"/>
      <c r="D421" s="260"/>
      <c r="E421" s="260"/>
      <c r="F421" s="260"/>
      <c r="G421" s="260"/>
      <c r="H421" s="260"/>
    </row>
    <row r="422" spans="1:10" hidden="1">
      <c r="A422" s="260" t="s">
        <v>7</v>
      </c>
      <c r="B422" s="397">
        <v>460202</v>
      </c>
      <c r="C422" s="260"/>
      <c r="D422" s="260"/>
      <c r="E422" s="260"/>
      <c r="F422" s="260"/>
      <c r="G422" s="260"/>
      <c r="H422" s="260"/>
    </row>
    <row r="423" spans="1:10" hidden="1">
      <c r="A423" s="260"/>
      <c r="B423" s="276"/>
      <c r="C423" s="260"/>
      <c r="D423" s="260"/>
      <c r="E423" s="260"/>
      <c r="F423" s="260"/>
      <c r="G423" s="260"/>
      <c r="H423" s="260"/>
    </row>
    <row r="424" spans="1:10" hidden="1">
      <c r="A424" s="258" t="s">
        <v>174</v>
      </c>
      <c r="B424" s="258"/>
      <c r="C424" s="258"/>
      <c r="D424" s="259"/>
      <c r="E424" s="757" t="s">
        <v>293</v>
      </c>
      <c r="F424" s="757"/>
      <c r="G424" s="757" t="s">
        <v>294</v>
      </c>
      <c r="H424" s="757"/>
    </row>
    <row r="425" spans="1:10" hidden="1">
      <c r="A425" s="100" t="s">
        <v>281</v>
      </c>
      <c r="B425" s="71" t="s">
        <v>95</v>
      </c>
      <c r="C425" s="71" t="s">
        <v>184</v>
      </c>
      <c r="D425" s="81" t="s">
        <v>193</v>
      </c>
      <c r="E425" s="271" t="s">
        <v>281</v>
      </c>
      <c r="F425" s="271" t="s">
        <v>290</v>
      </c>
      <c r="G425" s="271" t="s">
        <v>281</v>
      </c>
      <c r="H425" s="271" t="s">
        <v>290</v>
      </c>
    </row>
    <row r="426" spans="1:10" hidden="1">
      <c r="A426" s="369" t="s">
        <v>115</v>
      </c>
      <c r="B426" s="276">
        <f t="array" ref="B426:B431">TRANSPOSE(Model_Summary!F81:K81)</f>
        <v>6000</v>
      </c>
      <c r="C426" s="276">
        <f t="array" ref="C426:C431">TRANSPOSE(Model_Summary!F146:K146)</f>
        <v>6000</v>
      </c>
      <c r="D426" s="358">
        <f t="array" ref="D426:D431">TRANSPOSE(Model_Summary!F211:K211)</f>
        <v>6000</v>
      </c>
      <c r="E426" s="395" t="s">
        <v>129</v>
      </c>
      <c r="F426" s="276">
        <f t="array" ref="F426:F429">TRANSPOSE(Model_Summary!H278:K278)</f>
        <v>130000</v>
      </c>
      <c r="G426" s="395" t="s">
        <v>129</v>
      </c>
      <c r="H426" s="276">
        <f t="array" ref="H426:H429">TRANSPOSE(Model_Summary!H345:K345)</f>
        <v>130000</v>
      </c>
    </row>
    <row r="427" spans="1:10" hidden="1">
      <c r="A427" s="369" t="s">
        <v>116</v>
      </c>
      <c r="B427" s="276">
        <v>20000</v>
      </c>
      <c r="C427" s="276">
        <v>30000</v>
      </c>
      <c r="D427" s="358">
        <v>50000</v>
      </c>
      <c r="E427" s="395" t="s">
        <v>130</v>
      </c>
      <c r="F427" s="276">
        <v>300000</v>
      </c>
      <c r="G427" s="395" t="s">
        <v>130</v>
      </c>
      <c r="H427" s="276">
        <v>300000</v>
      </c>
    </row>
    <row r="428" spans="1:10" hidden="1">
      <c r="A428" s="369" t="s">
        <v>117</v>
      </c>
      <c r="B428" s="276">
        <v>273000</v>
      </c>
      <c r="C428" s="276">
        <v>240983.1716983215</v>
      </c>
      <c r="D428" s="358">
        <v>246142.17346831577</v>
      </c>
      <c r="E428" s="395" t="s">
        <v>131</v>
      </c>
      <c r="F428" s="276">
        <v>570000</v>
      </c>
      <c r="G428" s="395" t="s">
        <v>131</v>
      </c>
      <c r="H428" s="276">
        <v>570000</v>
      </c>
    </row>
    <row r="429" spans="1:10" hidden="1">
      <c r="A429" s="369" t="s">
        <v>118</v>
      </c>
      <c r="B429" s="276">
        <v>463269.23958276917</v>
      </c>
      <c r="C429" s="276">
        <v>450900</v>
      </c>
      <c r="D429" s="358">
        <v>466508.40336322115</v>
      </c>
      <c r="E429" s="276" t="s">
        <v>132</v>
      </c>
      <c r="F429" s="276">
        <v>2000000</v>
      </c>
      <c r="G429" s="260" t="s">
        <v>132</v>
      </c>
      <c r="H429" s="276">
        <v>2000000</v>
      </c>
    </row>
    <row r="430" spans="1:10" hidden="1">
      <c r="A430" s="369" t="s">
        <v>119</v>
      </c>
      <c r="B430" s="276">
        <v>1500000</v>
      </c>
      <c r="C430" s="276">
        <v>1500000</v>
      </c>
      <c r="D430" s="358">
        <v>1500000</v>
      </c>
      <c r="E430" s="260"/>
      <c r="F430" s="260"/>
      <c r="G430" s="260"/>
      <c r="H430" s="260"/>
    </row>
    <row r="431" spans="1:10" hidden="1">
      <c r="A431" s="395" t="s">
        <v>120</v>
      </c>
      <c r="B431" s="276">
        <v>3000000</v>
      </c>
      <c r="C431" s="276">
        <v>3000000</v>
      </c>
      <c r="D431" s="276">
        <v>3000000</v>
      </c>
      <c r="E431" s="260"/>
      <c r="F431" s="260"/>
      <c r="G431" s="260"/>
      <c r="H431" s="260"/>
    </row>
    <row r="432" spans="1:10" hidden="1">
      <c r="A432" s="395"/>
      <c r="B432" s="260"/>
      <c r="C432" s="260"/>
      <c r="D432" s="260"/>
      <c r="E432" s="260"/>
      <c r="F432" s="260"/>
      <c r="G432" s="260"/>
      <c r="H432" s="260"/>
    </row>
    <row r="433" spans="1:14" hidden="1">
      <c r="A433" s="395"/>
      <c r="B433" s="260"/>
      <c r="C433" s="260"/>
      <c r="D433" s="260"/>
      <c r="E433" s="260"/>
      <c r="F433" s="260"/>
      <c r="G433" s="260"/>
      <c r="H433" s="260"/>
    </row>
    <row r="434" spans="1:14" ht="15" hidden="1" thickBot="1">
      <c r="A434" s="86" t="s">
        <v>295</v>
      </c>
      <c r="B434" s="334"/>
      <c r="C434" s="334"/>
      <c r="D434" s="334"/>
      <c r="E434" s="334"/>
      <c r="F434" s="334"/>
      <c r="G434" s="334"/>
      <c r="H434" s="334"/>
      <c r="I434" s="120"/>
      <c r="J434" s="334"/>
      <c r="K434" s="260"/>
      <c r="L434" s="260"/>
      <c r="M434" s="260"/>
      <c r="N434" s="260"/>
    </row>
    <row r="435" spans="1:14" hidden="1">
      <c r="A435" s="36" t="s">
        <v>296</v>
      </c>
      <c r="B435" s="260"/>
      <c r="C435" s="260"/>
      <c r="D435" s="395"/>
      <c r="E435" s="276"/>
      <c r="F435" s="260"/>
      <c r="G435" s="260"/>
      <c r="H435" s="260"/>
      <c r="J435" s="260"/>
      <c r="K435" s="260"/>
      <c r="L435" s="260"/>
      <c r="M435" s="260"/>
      <c r="N435" s="260"/>
    </row>
    <row r="436" spans="1:14" s="35" customFormat="1" hidden="1">
      <c r="A436" s="38" t="s">
        <v>297</v>
      </c>
      <c r="B436" s="38" t="s">
        <v>298</v>
      </c>
      <c r="C436" s="38" t="s">
        <v>299</v>
      </c>
      <c r="D436" s="39" t="s">
        <v>300</v>
      </c>
      <c r="E436" s="39" t="s">
        <v>301</v>
      </c>
      <c r="F436" s="39" t="s">
        <v>302</v>
      </c>
      <c r="G436" s="39" t="s">
        <v>303</v>
      </c>
      <c r="H436" s="39" t="s">
        <v>24</v>
      </c>
      <c r="I436" s="39" t="s">
        <v>160</v>
      </c>
      <c r="J436" s="39" t="s">
        <v>161</v>
      </c>
      <c r="K436" s="39" t="s">
        <v>162</v>
      </c>
      <c r="L436" s="39" t="s">
        <v>304</v>
      </c>
      <c r="M436" s="39" t="s">
        <v>305</v>
      </c>
      <c r="N436" s="39" t="s">
        <v>306</v>
      </c>
    </row>
    <row r="437" spans="1:14" s="35" customFormat="1" hidden="1">
      <c r="A437" s="275" t="s">
        <v>307</v>
      </c>
      <c r="B437" s="275" t="s">
        <v>308</v>
      </c>
      <c r="C437" s="275" t="s">
        <v>284</v>
      </c>
      <c r="D437" s="311">
        <f t="shared" ref="D437:N437" si="53">D471/D504</f>
        <v>191101.69491525425</v>
      </c>
      <c r="E437" s="311">
        <f t="shared" si="53"/>
        <v>193710.20408163266</v>
      </c>
      <c r="F437" s="311">
        <f t="shared" si="53"/>
        <v>188443.68780487805</v>
      </c>
      <c r="G437" s="311">
        <f t="shared" si="53"/>
        <v>182564.06030769233</v>
      </c>
      <c r="H437" s="311">
        <f t="shared" si="53"/>
        <v>179113.77245508981</v>
      </c>
      <c r="I437" s="311">
        <f t="shared" si="53"/>
        <v>187377.84230769231</v>
      </c>
      <c r="J437" s="311">
        <f t="shared" si="53"/>
        <v>200845.86000000002</v>
      </c>
      <c r="K437" s="311">
        <f t="shared" si="53"/>
        <v>190148.93617021278</v>
      </c>
      <c r="L437" s="311">
        <f t="shared" si="53"/>
        <v>195589.74358974359</v>
      </c>
      <c r="M437" s="311">
        <f t="shared" si="53"/>
        <v>187644.44444444444</v>
      </c>
      <c r="N437" s="311">
        <f t="shared" si="53"/>
        <v>189126.55263674611</v>
      </c>
    </row>
    <row r="438" spans="1:14" s="35" customFormat="1" hidden="1">
      <c r="A438" s="275"/>
      <c r="B438" s="275"/>
      <c r="C438" s="275" t="s">
        <v>286</v>
      </c>
      <c r="D438" s="311">
        <f t="shared" ref="D438:N438" si="54">D472/D505</f>
        <v>584637.03703703708</v>
      </c>
      <c r="E438" s="311">
        <f t="shared" si="54"/>
        <v>616011.62775888725</v>
      </c>
      <c r="F438" s="311">
        <f t="shared" si="54"/>
        <v>621086.55793834291</v>
      </c>
      <c r="G438" s="311">
        <f t="shared" si="54"/>
        <v>607608.56275167794</v>
      </c>
      <c r="H438" s="311">
        <f t="shared" si="54"/>
        <v>627557.66669590643</v>
      </c>
      <c r="I438" s="311">
        <f t="shared" si="54"/>
        <v>666464.45060606056</v>
      </c>
      <c r="J438" s="311">
        <f t="shared" si="54"/>
        <v>626764.63380664645</v>
      </c>
      <c r="K438" s="311">
        <f t="shared" si="54"/>
        <v>659555.32374999998</v>
      </c>
      <c r="L438" s="311">
        <f t="shared" si="54"/>
        <v>667578.94736842101</v>
      </c>
      <c r="M438" s="311">
        <f t="shared" si="54"/>
        <v>674740.30326086958</v>
      </c>
      <c r="N438" s="311">
        <f t="shared" si="54"/>
        <v>622841.9325300561</v>
      </c>
    </row>
    <row r="439" spans="1:14" s="35" customFormat="1" hidden="1">
      <c r="A439" s="275"/>
      <c r="B439" s="275"/>
      <c r="C439" s="275" t="s">
        <v>287</v>
      </c>
      <c r="D439" s="311">
        <f t="shared" ref="D439:N439" si="55">D470/D503</f>
        <v>1656631.4741035856</v>
      </c>
      <c r="E439" s="311">
        <f t="shared" si="55"/>
        <v>1670464.28474</v>
      </c>
      <c r="F439" s="311">
        <f t="shared" si="55"/>
        <v>1561669.907925532</v>
      </c>
      <c r="G439" s="311">
        <f t="shared" si="55"/>
        <v>1563958.9450882354</v>
      </c>
      <c r="H439" s="311">
        <f t="shared" si="55"/>
        <v>1602370.7865168538</v>
      </c>
      <c r="I439" s="311">
        <f t="shared" si="55"/>
        <v>1869078.6425095059</v>
      </c>
      <c r="J439" s="311">
        <f t="shared" si="55"/>
        <v>1844345.744680851</v>
      </c>
      <c r="K439" s="311">
        <f t="shared" si="55"/>
        <v>1854356.7581944445</v>
      </c>
      <c r="L439" s="311">
        <f t="shared" si="55"/>
        <v>1831468.0851063831</v>
      </c>
      <c r="M439" s="311">
        <f t="shared" si="55"/>
        <v>1887812.5</v>
      </c>
      <c r="N439" s="311">
        <f t="shared" si="55"/>
        <v>1702303.7781878307</v>
      </c>
    </row>
    <row r="440" spans="1:14" s="35" customFormat="1" hidden="1">
      <c r="A440" s="275"/>
      <c r="B440" s="275"/>
      <c r="C440" s="275"/>
      <c r="D440" s="311"/>
      <c r="E440" s="311"/>
      <c r="F440" s="311"/>
      <c r="G440" s="311"/>
      <c r="H440" s="311"/>
      <c r="I440" s="126"/>
      <c r="J440" s="311"/>
      <c r="K440" s="311"/>
      <c r="L440" s="311"/>
      <c r="M440" s="311"/>
      <c r="N440" s="311"/>
    </row>
    <row r="441" spans="1:14" s="35" customFormat="1" hidden="1">
      <c r="A441" s="37" t="s">
        <v>309</v>
      </c>
      <c r="B441" s="37"/>
      <c r="C441" s="37"/>
      <c r="D441" s="41">
        <f>D474/D506</f>
        <v>871354.61956521741</v>
      </c>
      <c r="E441" s="41">
        <f>E474/E506</f>
        <v>920438.69650143676</v>
      </c>
      <c r="F441" s="41">
        <f t="shared" ref="F441:N441" si="56">F474/F506</f>
        <v>861966.14995454554</v>
      </c>
      <c r="G441" s="41">
        <f t="shared" si="56"/>
        <v>854324.90900203679</v>
      </c>
      <c r="H441" s="41">
        <f t="shared" si="56"/>
        <v>866455.82733247417</v>
      </c>
      <c r="I441" s="41">
        <f t="shared" si="56"/>
        <v>1103641.2171003134</v>
      </c>
      <c r="J441" s="41">
        <f t="shared" si="56"/>
        <v>1036870.8691424619</v>
      </c>
      <c r="K441" s="41">
        <f t="shared" si="56"/>
        <v>1086875.2848433049</v>
      </c>
      <c r="L441" s="41">
        <f t="shared" si="56"/>
        <v>1066692.9824561405</v>
      </c>
      <c r="M441" s="41">
        <f t="shared" si="56"/>
        <v>1218294.2933145009</v>
      </c>
      <c r="N441" s="41">
        <f t="shared" si="56"/>
        <v>945777.9131893079</v>
      </c>
    </row>
    <row r="442" spans="1:14" s="35" customFormat="1" hidden="1">
      <c r="A442" s="275"/>
      <c r="B442" s="275"/>
      <c r="C442" s="275"/>
      <c r="D442" s="311"/>
      <c r="E442" s="311"/>
      <c r="F442" s="311"/>
      <c r="G442" s="311"/>
      <c r="H442" s="311"/>
      <c r="I442" s="311"/>
      <c r="J442" s="311"/>
      <c r="K442" s="311"/>
      <c r="L442" s="311"/>
      <c r="M442" s="311"/>
      <c r="N442" s="311"/>
    </row>
    <row r="443" spans="1:14" s="35" customFormat="1" hidden="1">
      <c r="A443" s="275" t="s">
        <v>174</v>
      </c>
      <c r="B443" s="275" t="s">
        <v>310</v>
      </c>
      <c r="C443" s="275" t="s">
        <v>288</v>
      </c>
      <c r="D443" s="311">
        <f t="shared" ref="D443:N443" si="57">D476/D508</f>
        <v>1558887.2727272727</v>
      </c>
      <c r="E443" s="311">
        <f t="shared" si="57"/>
        <v>1398060.6230612244</v>
      </c>
      <c r="F443" s="311">
        <f t="shared" si="57"/>
        <v>1441762.9710927152</v>
      </c>
      <c r="G443" s="311">
        <f t="shared" si="57"/>
        <v>1449260.3878116345</v>
      </c>
      <c r="H443" s="311">
        <f t="shared" si="57"/>
        <v>1427921.3449759616</v>
      </c>
      <c r="I443" s="126">
        <f t="shared" si="57"/>
        <v>1514779.3296089387</v>
      </c>
      <c r="J443" s="311">
        <f t="shared" si="57"/>
        <v>1408990.7192575405</v>
      </c>
      <c r="K443" s="311">
        <f t="shared" si="57"/>
        <v>1385378.2608695652</v>
      </c>
      <c r="L443" s="311">
        <f t="shared" si="57"/>
        <v>1452790.9407665506</v>
      </c>
      <c r="M443" s="311">
        <f t="shared" si="57"/>
        <v>1476103.8961038962</v>
      </c>
      <c r="N443" s="311">
        <f t="shared" si="57"/>
        <v>1447069.575785652</v>
      </c>
    </row>
    <row r="444" spans="1:14" s="35" customFormat="1" hidden="1">
      <c r="A444" s="275"/>
      <c r="B444" s="275"/>
      <c r="C444" s="275" t="s">
        <v>200</v>
      </c>
      <c r="D444" s="311">
        <f t="shared" ref="D444:N444" si="58">D477/D509</f>
        <v>569259.25925925921</v>
      </c>
      <c r="E444" s="311">
        <f t="shared" si="58"/>
        <v>561703.91061452508</v>
      </c>
      <c r="F444" s="311">
        <f t="shared" si="58"/>
        <v>565271.18644067796</v>
      </c>
      <c r="G444" s="311">
        <f t="shared" si="58"/>
        <v>560229.88505747123</v>
      </c>
      <c r="H444" s="311">
        <f t="shared" si="58"/>
        <v>554737.32718894014</v>
      </c>
      <c r="I444" s="126">
        <f t="shared" si="58"/>
        <v>566439.39393939392</v>
      </c>
      <c r="J444" s="311">
        <f t="shared" si="58"/>
        <v>569855.93220338982</v>
      </c>
      <c r="K444" s="311">
        <f t="shared" si="58"/>
        <v>568781.65938864625</v>
      </c>
      <c r="L444" s="311">
        <f t="shared" si="58"/>
        <v>575903.22580645164</v>
      </c>
      <c r="M444" s="311">
        <f t="shared" si="58"/>
        <v>578128.65497076022</v>
      </c>
      <c r="N444" s="311">
        <f t="shared" si="58"/>
        <v>566750.79030558479</v>
      </c>
    </row>
    <row r="445" spans="1:14" s="35" customFormat="1" hidden="1">
      <c r="A445" s="275"/>
      <c r="B445" s="275"/>
      <c r="C445" s="275" t="s">
        <v>199</v>
      </c>
      <c r="D445" s="311">
        <f t="shared" ref="D445:N445" si="59">D478/D510</f>
        <v>274106.16438356164</v>
      </c>
      <c r="E445" s="311">
        <f t="shared" si="59"/>
        <v>269136.6459627329</v>
      </c>
      <c r="F445" s="311">
        <f t="shared" si="59"/>
        <v>269772.29080932785</v>
      </c>
      <c r="G445" s="311">
        <f t="shared" si="59"/>
        <v>277456.60978823528</v>
      </c>
      <c r="H445" s="311">
        <f t="shared" si="59"/>
        <v>280740.14778325125</v>
      </c>
      <c r="I445" s="126">
        <f t="shared" si="59"/>
        <v>280426.03550295858</v>
      </c>
      <c r="J445" s="311">
        <f t="shared" si="59"/>
        <v>286746.12129760225</v>
      </c>
      <c r="K445" s="311">
        <f t="shared" si="59"/>
        <v>297042.42424242425</v>
      </c>
      <c r="L445" s="311">
        <f t="shared" si="59"/>
        <v>296251.52219321148</v>
      </c>
      <c r="M445" s="311">
        <f t="shared" si="59"/>
        <v>292577.6997319035</v>
      </c>
      <c r="N445" s="311">
        <f t="shared" si="59"/>
        <v>280622.25693268958</v>
      </c>
    </row>
    <row r="446" spans="1:14" s="35" customFormat="1" hidden="1">
      <c r="A446" s="275"/>
      <c r="B446" s="275"/>
      <c r="C446" s="275" t="s">
        <v>311</v>
      </c>
      <c r="D446" s="311">
        <f t="shared" ref="D446:N446" si="60">D479/D511</f>
        <v>149851.85185185185</v>
      </c>
      <c r="E446" s="311">
        <f t="shared" si="60"/>
        <v>150675.81475128644</v>
      </c>
      <c r="F446" s="311">
        <f t="shared" si="60"/>
        <v>147995.63318777294</v>
      </c>
      <c r="G446" s="311">
        <f t="shared" si="60"/>
        <v>148232.55813953487</v>
      </c>
      <c r="H446" s="311">
        <f t="shared" si="60"/>
        <v>146739.56262425447</v>
      </c>
      <c r="I446" s="126">
        <f t="shared" si="60"/>
        <v>145738.53211009174</v>
      </c>
      <c r="J446" s="311">
        <f t="shared" si="60"/>
        <v>144139.89637305698</v>
      </c>
      <c r="K446" s="311">
        <f t="shared" si="60"/>
        <v>151550.72463768115</v>
      </c>
      <c r="L446" s="311">
        <f t="shared" si="60"/>
        <v>151500</v>
      </c>
      <c r="M446" s="311">
        <f t="shared" si="60"/>
        <v>144087.71929824562</v>
      </c>
      <c r="N446" s="311">
        <f t="shared" si="60"/>
        <v>148203.98293029872</v>
      </c>
    </row>
    <row r="447" spans="1:14" s="35" customFormat="1" hidden="1">
      <c r="A447" s="275"/>
      <c r="B447" s="275"/>
      <c r="C447" s="275" t="s">
        <v>312</v>
      </c>
      <c r="D447" s="311">
        <f t="shared" ref="D447:N447" si="61">D480/D512</f>
        <v>62862.67605633803</v>
      </c>
      <c r="E447" s="311">
        <f t="shared" si="61"/>
        <v>63109.540636042402</v>
      </c>
      <c r="F447" s="311">
        <f t="shared" si="61"/>
        <v>67291.176470588238</v>
      </c>
      <c r="G447" s="311">
        <f t="shared" si="61"/>
        <v>68165.41353383458</v>
      </c>
      <c r="H447" s="311">
        <f t="shared" si="61"/>
        <v>68730.964467005077</v>
      </c>
      <c r="I447" s="126">
        <f t="shared" si="61"/>
        <v>72415.28239202658</v>
      </c>
      <c r="J447" s="311">
        <f t="shared" si="61"/>
        <v>73976.744186046519</v>
      </c>
      <c r="K447" s="311">
        <f t="shared" si="61"/>
        <v>80617.02127659574</v>
      </c>
      <c r="L447" s="311">
        <f t="shared" si="61"/>
        <v>83043.478260869568</v>
      </c>
      <c r="M447" s="311">
        <f t="shared" si="61"/>
        <v>75535.71428571429</v>
      </c>
      <c r="N447" s="311">
        <f t="shared" si="61"/>
        <v>68233.393177737875</v>
      </c>
    </row>
    <row r="448" spans="1:14" s="35" customFormat="1" hidden="1">
      <c r="A448" s="275"/>
      <c r="B448" s="40" t="s">
        <v>313</v>
      </c>
      <c r="C448" s="40"/>
      <c r="D448" s="42">
        <f>D481/D513</f>
        <v>390195.10022271716</v>
      </c>
      <c r="E448" s="42">
        <f t="shared" ref="E448:N448" si="62">E481/E513</f>
        <v>365359.83420047734</v>
      </c>
      <c r="F448" s="42">
        <f t="shared" si="62"/>
        <v>410164.71449152543</v>
      </c>
      <c r="G448" s="42">
        <f t="shared" si="62"/>
        <v>417472.66013913043</v>
      </c>
      <c r="H448" s="42">
        <f t="shared" si="62"/>
        <v>445450.16204526048</v>
      </c>
      <c r="I448" s="42">
        <f t="shared" si="62"/>
        <v>456849.85968194576</v>
      </c>
      <c r="J448" s="42">
        <f t="shared" si="62"/>
        <v>578578.32744405186</v>
      </c>
      <c r="K448" s="42">
        <f t="shared" si="62"/>
        <v>667453.24232081906</v>
      </c>
      <c r="L448" s="42">
        <f t="shared" si="62"/>
        <v>699409.25888888887</v>
      </c>
      <c r="M448" s="42">
        <f t="shared" si="62"/>
        <v>718206.49092849519</v>
      </c>
      <c r="N448" s="42">
        <f t="shared" si="62"/>
        <v>480362.82040990843</v>
      </c>
    </row>
    <row r="449" spans="1:14" s="35" customFormat="1" hidden="1">
      <c r="A449" s="275"/>
      <c r="B449" s="275"/>
      <c r="C449" s="275"/>
      <c r="D449" s="311"/>
      <c r="E449" s="311"/>
      <c r="F449" s="311"/>
      <c r="G449" s="311"/>
      <c r="H449" s="311"/>
      <c r="I449" s="126"/>
      <c r="J449" s="311"/>
      <c r="K449" s="311"/>
      <c r="L449" s="311"/>
      <c r="M449" s="311"/>
      <c r="N449" s="311"/>
    </row>
    <row r="450" spans="1:14" s="35" customFormat="1" hidden="1">
      <c r="A450" s="275"/>
      <c r="B450" s="275" t="s">
        <v>184</v>
      </c>
      <c r="C450" s="275" t="s">
        <v>288</v>
      </c>
      <c r="D450" s="311">
        <f t="shared" ref="D450:N450" si="63">D483/D515</f>
        <v>1580153.8461538462</v>
      </c>
      <c r="E450" s="311">
        <f t="shared" si="63"/>
        <v>1561294.6742708336</v>
      </c>
      <c r="F450" s="311">
        <f t="shared" si="63"/>
        <v>1704285.7142857143</v>
      </c>
      <c r="G450" s="311">
        <f t="shared" si="63"/>
        <v>1577189.7810218979</v>
      </c>
      <c r="H450" s="311">
        <f t="shared" si="63"/>
        <v>1558839.9472222223</v>
      </c>
      <c r="I450" s="126">
        <f t="shared" si="63"/>
        <v>1630681.8181818181</v>
      </c>
      <c r="J450" s="311">
        <f t="shared" si="63"/>
        <v>1704322.3256950674</v>
      </c>
      <c r="K450" s="311">
        <f t="shared" si="63"/>
        <v>1662232.0103603604</v>
      </c>
      <c r="L450" s="311">
        <f t="shared" si="63"/>
        <v>1574781.25</v>
      </c>
      <c r="M450" s="311">
        <f t="shared" si="63"/>
        <v>1787674.0385024156</v>
      </c>
      <c r="N450" s="311">
        <f t="shared" si="63"/>
        <v>1646603.061222289</v>
      </c>
    </row>
    <row r="451" spans="1:14" s="35" customFormat="1" hidden="1">
      <c r="A451" s="275"/>
      <c r="B451" s="275"/>
      <c r="C451" s="275" t="s">
        <v>200</v>
      </c>
      <c r="D451" s="311">
        <f t="shared" ref="D451:N451" si="64">D484/D516</f>
        <v>563173.07692307688</v>
      </c>
      <c r="E451" s="311">
        <f t="shared" si="64"/>
        <v>569560.04134328349</v>
      </c>
      <c r="F451" s="311">
        <f t="shared" si="64"/>
        <v>551797.75280898879</v>
      </c>
      <c r="G451" s="311">
        <f t="shared" si="64"/>
        <v>573702.26082191779</v>
      </c>
      <c r="H451" s="311">
        <f t="shared" si="64"/>
        <v>583793.10344827583</v>
      </c>
      <c r="I451" s="126">
        <f t="shared" si="64"/>
        <v>565460.52631578944</v>
      </c>
      <c r="J451" s="311">
        <f t="shared" si="64"/>
        <v>581682.69230769225</v>
      </c>
      <c r="K451" s="311">
        <f t="shared" si="64"/>
        <v>572514.01869158878</v>
      </c>
      <c r="L451" s="311">
        <f t="shared" si="64"/>
        <v>562741.37931034481</v>
      </c>
      <c r="M451" s="311">
        <f t="shared" si="64"/>
        <v>572295.45454545459</v>
      </c>
      <c r="N451" s="311">
        <f t="shared" si="64"/>
        <v>569959.007927823</v>
      </c>
    </row>
    <row r="452" spans="1:14" s="35" customFormat="1" hidden="1">
      <c r="A452" s="275"/>
      <c r="B452" s="275"/>
      <c r="C452" s="275" t="s">
        <v>199</v>
      </c>
      <c r="D452" s="311">
        <f t="shared" ref="D452:N452" si="65">D485/D517</f>
        <v>289776.43279220781</v>
      </c>
      <c r="E452" s="311">
        <f t="shared" si="65"/>
        <v>285588.23529411765</v>
      </c>
      <c r="F452" s="311">
        <f t="shared" si="65"/>
        <v>271898.73895953759</v>
      </c>
      <c r="G452" s="311">
        <f t="shared" si="65"/>
        <v>282842.35721052636</v>
      </c>
      <c r="H452" s="311">
        <f t="shared" si="65"/>
        <v>285341.23222748813</v>
      </c>
      <c r="I452" s="126">
        <f t="shared" si="65"/>
        <v>284556.05381165922</v>
      </c>
      <c r="J452" s="311">
        <f t="shared" si="65"/>
        <v>283060.49822064058</v>
      </c>
      <c r="K452" s="311">
        <f t="shared" si="65"/>
        <v>279418.66883116885</v>
      </c>
      <c r="L452" s="311">
        <f t="shared" si="65"/>
        <v>286923.92895306856</v>
      </c>
      <c r="M452" s="311">
        <f t="shared" si="65"/>
        <v>288057.97101449274</v>
      </c>
      <c r="N452" s="311">
        <f t="shared" si="65"/>
        <v>283782.58006186481</v>
      </c>
    </row>
    <row r="453" spans="1:14" s="35" customFormat="1" hidden="1">
      <c r="A453" s="275"/>
      <c r="B453" s="275"/>
      <c r="C453" s="275" t="s">
        <v>311</v>
      </c>
      <c r="D453" s="311">
        <f t="shared" ref="D453:N453" si="66">D486/D518</f>
        <v>152975.60975609755</v>
      </c>
      <c r="E453" s="311">
        <f t="shared" si="66"/>
        <v>149595.9595959596</v>
      </c>
      <c r="F453" s="311">
        <f t="shared" si="66"/>
        <v>150550.55555555556</v>
      </c>
      <c r="G453" s="311">
        <f t="shared" si="66"/>
        <v>150921.56862745099</v>
      </c>
      <c r="H453" s="311">
        <f t="shared" si="66"/>
        <v>150333.33333333334</v>
      </c>
      <c r="I453" s="126">
        <f t="shared" si="66"/>
        <v>150863.37837837837</v>
      </c>
      <c r="J453" s="311">
        <f t="shared" si="66"/>
        <v>150118.11413533834</v>
      </c>
      <c r="K453" s="311">
        <f t="shared" si="66"/>
        <v>152128.20512820513</v>
      </c>
      <c r="L453" s="311">
        <f t="shared" si="66"/>
        <v>152120.37037037036</v>
      </c>
      <c r="M453" s="311">
        <f t="shared" si="66"/>
        <v>152940.29850746269</v>
      </c>
      <c r="N453" s="311">
        <f t="shared" si="66"/>
        <v>151246.00197822141</v>
      </c>
    </row>
    <row r="454" spans="1:14" s="35" customFormat="1" hidden="1">
      <c r="A454" s="275"/>
      <c r="B454" s="275"/>
      <c r="C454" s="275" t="s">
        <v>312</v>
      </c>
      <c r="D454" s="311">
        <f t="shared" ref="D454:N454" si="67">D487/D519</f>
        <v>82356.99472727273</v>
      </c>
      <c r="E454" s="311">
        <f t="shared" si="67"/>
        <v>84489.655172413797</v>
      </c>
      <c r="F454" s="311">
        <f t="shared" si="67"/>
        <v>78057.851239669428</v>
      </c>
      <c r="G454" s="311">
        <f t="shared" si="67"/>
        <v>76449.612403100778</v>
      </c>
      <c r="H454" s="311">
        <f t="shared" si="67"/>
        <v>74225.352112676061</v>
      </c>
      <c r="I454" s="126">
        <f t="shared" si="67"/>
        <v>76384.61538461539</v>
      </c>
      <c r="J454" s="311">
        <f t="shared" si="67"/>
        <v>77473.282442748095</v>
      </c>
      <c r="K454" s="311">
        <f t="shared" si="67"/>
        <v>79137.931034482754</v>
      </c>
      <c r="L454" s="311">
        <f t="shared" si="67"/>
        <v>75872.483221476505</v>
      </c>
      <c r="M454" s="311">
        <f>M487/M519</f>
        <v>76427.097209302316</v>
      </c>
      <c r="N454" s="311">
        <f t="shared" si="67"/>
        <v>77899.512258064526</v>
      </c>
    </row>
    <row r="455" spans="1:14" s="35" customFormat="1" hidden="1">
      <c r="A455" s="275"/>
      <c r="B455" s="40" t="s">
        <v>314</v>
      </c>
      <c r="C455" s="40"/>
      <c r="D455" s="42">
        <f>D488/D520</f>
        <v>428129.24421166303</v>
      </c>
      <c r="E455" s="42">
        <f t="shared" ref="E455:N455" si="68">E488/E520</f>
        <v>476652.57572992699</v>
      </c>
      <c r="F455" s="42">
        <f t="shared" si="68"/>
        <v>644125.04913580255</v>
      </c>
      <c r="G455" s="42">
        <f t="shared" si="68"/>
        <v>533995.74153724243</v>
      </c>
      <c r="H455" s="42">
        <f t="shared" si="68"/>
        <v>587865.5884162304</v>
      </c>
      <c r="I455" s="42">
        <f t="shared" si="68"/>
        <v>553648.17723342939</v>
      </c>
      <c r="J455" s="42">
        <f t="shared" si="68"/>
        <v>630978.88510321104</v>
      </c>
      <c r="K455" s="42">
        <f t="shared" si="68"/>
        <v>606907.07041156839</v>
      </c>
      <c r="L455" s="42">
        <f t="shared" si="68"/>
        <v>563952.40893111634</v>
      </c>
      <c r="M455" s="42">
        <f t="shared" si="68"/>
        <v>635812.49581534776</v>
      </c>
      <c r="N455" s="42">
        <f t="shared" si="68"/>
        <v>576521.68656150112</v>
      </c>
    </row>
    <row r="456" spans="1:14" s="35" customFormat="1" hidden="1">
      <c r="A456" s="275"/>
      <c r="B456" s="275"/>
      <c r="C456" s="275"/>
      <c r="D456" s="311"/>
      <c r="E456" s="311"/>
      <c r="F456" s="311"/>
      <c r="G456" s="311"/>
      <c r="H456" s="311"/>
      <c r="I456" s="311"/>
      <c r="J456" s="311"/>
      <c r="K456" s="311"/>
      <c r="L456" s="311"/>
      <c r="M456" s="311"/>
      <c r="N456" s="311"/>
    </row>
    <row r="457" spans="1:14" s="35" customFormat="1" hidden="1">
      <c r="A457" s="275"/>
      <c r="B457" s="275" t="s">
        <v>315</v>
      </c>
      <c r="C457" s="275" t="s">
        <v>288</v>
      </c>
      <c r="D457" s="311">
        <f t="shared" ref="D457:M457" si="69">D490/D522</f>
        <v>1782903.3075562699</v>
      </c>
      <c r="E457" s="311">
        <f t="shared" si="69"/>
        <v>1742587.4601953125</v>
      </c>
      <c r="F457" s="311">
        <f t="shared" si="69"/>
        <v>1882358.6980385853</v>
      </c>
      <c r="G457" s="311">
        <f t="shared" si="69"/>
        <v>1806020.9828999999</v>
      </c>
      <c r="H457" s="311">
        <f t="shared" si="69"/>
        <v>1785099.932008032</v>
      </c>
      <c r="I457" s="126">
        <f t="shared" si="69"/>
        <v>1993777.7869458131</v>
      </c>
      <c r="J457" s="311">
        <f t="shared" si="69"/>
        <v>1861069.7323102313</v>
      </c>
      <c r="K457" s="311">
        <f t="shared" si="69"/>
        <v>1759231.9833974356</v>
      </c>
      <c r="L457" s="311">
        <f t="shared" si="69"/>
        <v>1836200.186706587</v>
      </c>
      <c r="M457" s="311">
        <f t="shared" si="69"/>
        <v>1842218.4770951157</v>
      </c>
      <c r="N457" s="311">
        <f>N490/N522</f>
        <v>1826054.6832547169</v>
      </c>
    </row>
    <row r="458" spans="1:14" s="35" customFormat="1" hidden="1">
      <c r="A458" s="275"/>
      <c r="B458" s="275"/>
      <c r="C458" s="275" t="s">
        <v>200</v>
      </c>
      <c r="D458" s="311">
        <f t="shared" ref="D458:N458" si="70">D491/D523</f>
        <v>617218.61495798326</v>
      </c>
      <c r="E458" s="311">
        <f t="shared" si="70"/>
        <v>608885.45347457635</v>
      </c>
      <c r="F458" s="311">
        <f t="shared" si="70"/>
        <v>607270.45559322042</v>
      </c>
      <c r="G458" s="311">
        <f t="shared" si="70"/>
        <v>605013.3722881357</v>
      </c>
      <c r="H458" s="311">
        <f t="shared" si="70"/>
        <v>601578.77500000002</v>
      </c>
      <c r="I458" s="126">
        <f t="shared" si="70"/>
        <v>603080.96682352945</v>
      </c>
      <c r="J458" s="311">
        <f t="shared" si="70"/>
        <v>592261.90912280697</v>
      </c>
      <c r="K458" s="311">
        <f t="shared" si="70"/>
        <v>605944.27504273516</v>
      </c>
      <c r="L458" s="311">
        <f t="shared" si="70"/>
        <v>606880.82164062501</v>
      </c>
      <c r="M458" s="311">
        <f t="shared" si="70"/>
        <v>596639.37806722696</v>
      </c>
      <c r="N458" s="311">
        <f t="shared" si="70"/>
        <v>604631.09070422535</v>
      </c>
    </row>
    <row r="459" spans="1:14" s="35" customFormat="1" hidden="1">
      <c r="A459" s="275"/>
      <c r="B459" s="275"/>
      <c r="C459" s="275" t="s">
        <v>199</v>
      </c>
      <c r="D459" s="311">
        <f t="shared" ref="D459:N459" si="71">D492/D524</f>
        <v>313453.02605042019</v>
      </c>
      <c r="E459" s="311">
        <f t="shared" si="71"/>
        <v>314068.57445783133</v>
      </c>
      <c r="F459" s="311">
        <f t="shared" si="71"/>
        <v>301169.18416666664</v>
      </c>
      <c r="G459" s="311">
        <f t="shared" si="71"/>
        <v>300472.26457564579</v>
      </c>
      <c r="H459" s="311">
        <f t="shared" si="71"/>
        <v>299118.56937743188</v>
      </c>
      <c r="I459" s="126">
        <f t="shared" si="71"/>
        <v>304934.50112149533</v>
      </c>
      <c r="J459" s="311">
        <f t="shared" si="71"/>
        <v>310295.61679442512</v>
      </c>
      <c r="K459" s="311">
        <f t="shared" si="71"/>
        <v>301459.25547368423</v>
      </c>
      <c r="L459" s="311">
        <f t="shared" si="71"/>
        <v>303376.835738255</v>
      </c>
      <c r="M459" s="311">
        <f t="shared" si="71"/>
        <v>306081.45527950313</v>
      </c>
      <c r="N459" s="311">
        <f t="shared" si="71"/>
        <v>305291.36767441867</v>
      </c>
    </row>
    <row r="460" spans="1:14" s="35" customFormat="1" hidden="1">
      <c r="A460" s="275"/>
      <c r="B460" s="275"/>
      <c r="C460" s="275" t="s">
        <v>311</v>
      </c>
      <c r="D460" s="311">
        <f t="shared" ref="D460:N460" si="72">D493/D525</f>
        <v>156819.21732142856</v>
      </c>
      <c r="E460" s="311">
        <f t="shared" si="72"/>
        <v>155018.18181818182</v>
      </c>
      <c r="F460" s="311">
        <f t="shared" si="72"/>
        <v>159996.28798245615</v>
      </c>
      <c r="G460" s="311">
        <f t="shared" si="72"/>
        <v>157646.63647540982</v>
      </c>
      <c r="H460" s="311">
        <f t="shared" si="72"/>
        <v>161101.19896907217</v>
      </c>
      <c r="I460" s="126">
        <f t="shared" si="72"/>
        <v>158796.81864197532</v>
      </c>
      <c r="J460" s="311">
        <f t="shared" si="72"/>
        <v>156699.1150442478</v>
      </c>
      <c r="K460" s="311">
        <f t="shared" si="72"/>
        <v>159305.30132653064</v>
      </c>
      <c r="L460" s="311">
        <f t="shared" si="72"/>
        <v>157006.10412844038</v>
      </c>
      <c r="M460" s="311">
        <f t="shared" si="72"/>
        <v>154909.91472868217</v>
      </c>
      <c r="N460" s="311">
        <f t="shared" si="72"/>
        <v>157597.73392626728</v>
      </c>
    </row>
    <row r="461" spans="1:14" s="35" customFormat="1" hidden="1">
      <c r="A461" s="275"/>
      <c r="B461" s="275"/>
      <c r="C461" s="275" t="s">
        <v>312</v>
      </c>
      <c r="D461" s="311">
        <f t="shared" ref="D461:N461" si="73">D494/D526</f>
        <v>89595.238095238092</v>
      </c>
      <c r="E461" s="311">
        <f t="shared" si="73"/>
        <v>84239.791702127652</v>
      </c>
      <c r="F461" s="311">
        <f t="shared" si="73"/>
        <v>91088.23529411765</v>
      </c>
      <c r="G461" s="311">
        <f t="shared" si="73"/>
        <v>86102.564102564109</v>
      </c>
      <c r="H461" s="311">
        <f t="shared" si="73"/>
        <v>81928.571428571435</v>
      </c>
      <c r="I461" s="126">
        <f t="shared" si="73"/>
        <v>87944.444444444438</v>
      </c>
      <c r="J461" s="311">
        <f t="shared" si="73"/>
        <v>84780.487804878052</v>
      </c>
      <c r="K461" s="311">
        <f t="shared" si="73"/>
        <v>80352.941176470587</v>
      </c>
      <c r="L461" s="311">
        <f t="shared" si="73"/>
        <v>89892.495135135148</v>
      </c>
      <c r="M461" s="311">
        <f t="shared" si="73"/>
        <v>87282.608695652176</v>
      </c>
      <c r="N461" s="311">
        <f t="shared" si="73"/>
        <v>86264.55409547739</v>
      </c>
    </row>
    <row r="462" spans="1:14" s="35" customFormat="1" hidden="1">
      <c r="A462" s="275"/>
      <c r="B462" s="40" t="s">
        <v>316</v>
      </c>
      <c r="C462" s="40"/>
      <c r="D462" s="42">
        <f>D495/D527</f>
        <v>880608.90069343068</v>
      </c>
      <c r="E462" s="42">
        <f t="shared" ref="E462:N462" si="74">E495/E527</f>
        <v>791237.45970512822</v>
      </c>
      <c r="F462" s="42">
        <f t="shared" si="74"/>
        <v>884560.42857803474</v>
      </c>
      <c r="G462" s="42">
        <f t="shared" si="74"/>
        <v>843784.40723529411</v>
      </c>
      <c r="H462" s="42">
        <f t="shared" si="74"/>
        <v>806159.79758389248</v>
      </c>
      <c r="I462" s="42">
        <f t="shared" si="74"/>
        <v>867985.94261712441</v>
      </c>
      <c r="J462" s="42">
        <f t="shared" si="74"/>
        <v>864405.39458041964</v>
      </c>
      <c r="K462" s="42">
        <f t="shared" si="74"/>
        <v>855834.12096926698</v>
      </c>
      <c r="L462" s="42">
        <f t="shared" si="74"/>
        <v>885008.37996688741</v>
      </c>
      <c r="M462" s="42">
        <f t="shared" si="74"/>
        <v>905651.4240597015</v>
      </c>
      <c r="N462" s="42">
        <f t="shared" si="74"/>
        <v>860529.45610053046</v>
      </c>
    </row>
    <row r="463" spans="1:14" s="35" customFormat="1" hidden="1">
      <c r="A463" s="275"/>
      <c r="B463" s="275"/>
      <c r="C463" s="275"/>
      <c r="D463" s="311"/>
      <c r="E463" s="311"/>
      <c r="F463" s="311"/>
      <c r="G463" s="311"/>
      <c r="H463" s="311"/>
      <c r="I463" s="126"/>
      <c r="J463" s="311"/>
      <c r="K463" s="311"/>
      <c r="L463" s="311"/>
      <c r="M463" s="311"/>
      <c r="N463" s="311"/>
    </row>
    <row r="464" spans="1:14" s="35" customFormat="1" hidden="1">
      <c r="A464" s="37" t="s">
        <v>317</v>
      </c>
      <c r="B464" s="37"/>
      <c r="C464" s="37"/>
      <c r="D464" s="41">
        <f>D497/D529</f>
        <v>509368.93950141646</v>
      </c>
      <c r="E464" s="41">
        <f t="shared" ref="E464:N464" si="75">E497/E529</f>
        <v>480221.93477066903</v>
      </c>
      <c r="F464" s="41">
        <f t="shared" si="75"/>
        <v>569857.40830633708</v>
      </c>
      <c r="G464" s="41">
        <f t="shared" si="75"/>
        <v>532757.25400158693</v>
      </c>
      <c r="H464" s="41">
        <f t="shared" si="75"/>
        <v>543485.49422487663</v>
      </c>
      <c r="I464" s="41">
        <f t="shared" si="75"/>
        <v>550060.89060562162</v>
      </c>
      <c r="J464" s="41">
        <f t="shared" si="75"/>
        <v>663061.05433236156</v>
      </c>
      <c r="K464" s="41">
        <f t="shared" si="75"/>
        <v>699273.21799626632</v>
      </c>
      <c r="L464" s="41">
        <f t="shared" si="75"/>
        <v>593072.13863410079</v>
      </c>
      <c r="M464" s="41">
        <f t="shared" si="75"/>
        <v>657562.78303982574</v>
      </c>
      <c r="N464" s="41">
        <f t="shared" si="75"/>
        <v>577413.07030265394</v>
      </c>
    </row>
    <row r="465" spans="1:14" s="35" customFormat="1" hidden="1">
      <c r="A465" s="45"/>
      <c r="B465" s="45"/>
      <c r="C465" s="45"/>
      <c r="D465" s="46"/>
      <c r="E465" s="46"/>
      <c r="F465" s="46"/>
      <c r="G465" s="46"/>
      <c r="H465" s="46"/>
      <c r="I465" s="128"/>
      <c r="J465" s="46"/>
      <c r="K465" s="46"/>
      <c r="L465" s="46"/>
      <c r="M465" s="46"/>
      <c r="N465" s="46"/>
    </row>
    <row r="466" spans="1:14" s="35" customFormat="1" ht="15" hidden="1" thickBot="1">
      <c r="A466" s="43" t="s">
        <v>318</v>
      </c>
      <c r="B466" s="43"/>
      <c r="C466" s="43"/>
      <c r="D466" s="44">
        <f>D499/D531</f>
        <v>615894.91332267097</v>
      </c>
      <c r="E466" s="44">
        <f t="shared" ref="E466:N466" si="76">E499/E531</f>
        <v>607487.09205607476</v>
      </c>
      <c r="F466" s="44">
        <f t="shared" si="76"/>
        <v>639422.166005629</v>
      </c>
      <c r="G466" s="44">
        <f t="shared" si="76"/>
        <v>599055.68717614957</v>
      </c>
      <c r="H466" s="44">
        <f t="shared" si="76"/>
        <v>597651.25573157542</v>
      </c>
      <c r="I466" s="44">
        <f t="shared" si="76"/>
        <v>636435.12594521884</v>
      </c>
      <c r="J466" s="44">
        <f t="shared" si="76"/>
        <v>728137.98573320487</v>
      </c>
      <c r="K466" s="44">
        <f t="shared" si="76"/>
        <v>737435.44112762972</v>
      </c>
      <c r="L466" s="44">
        <f t="shared" si="76"/>
        <v>624445.04752178956</v>
      </c>
      <c r="M466" s="44">
        <f t="shared" si="76"/>
        <v>737068.37234712951</v>
      </c>
      <c r="N466" s="44">
        <f t="shared" si="76"/>
        <v>647894.46118939738</v>
      </c>
    </row>
    <row r="467" spans="1:14" s="35" customFormat="1" ht="15" hidden="1" thickTop="1">
      <c r="A467" s="275"/>
      <c r="B467" s="275"/>
      <c r="C467" s="275"/>
      <c r="D467" s="398"/>
      <c r="E467" s="398"/>
      <c r="F467" s="398"/>
      <c r="G467" s="398"/>
      <c r="H467" s="398"/>
      <c r="I467" s="129"/>
      <c r="J467" s="398"/>
      <c r="K467" s="398"/>
      <c r="L467" s="398"/>
      <c r="M467" s="398"/>
      <c r="N467" s="398"/>
    </row>
    <row r="468" spans="1:14" s="35" customFormat="1" hidden="1">
      <c r="A468" s="36" t="s">
        <v>319</v>
      </c>
      <c r="B468" s="275"/>
      <c r="C468" s="275"/>
      <c r="D468" s="398"/>
      <c r="E468" s="398"/>
      <c r="F468" s="398"/>
      <c r="G468" s="398"/>
      <c r="H468" s="398"/>
      <c r="I468" s="129"/>
      <c r="J468" s="398"/>
      <c r="K468" s="398"/>
      <c r="L468" s="398"/>
      <c r="M468" s="398"/>
      <c r="N468" s="398"/>
    </row>
    <row r="469" spans="1:14" s="35" customFormat="1" hidden="1">
      <c r="A469" s="38" t="s">
        <v>297</v>
      </c>
      <c r="B469" s="38" t="s">
        <v>298</v>
      </c>
      <c r="C469" s="38" t="s">
        <v>299</v>
      </c>
      <c r="D469" s="39" t="s">
        <v>300</v>
      </c>
      <c r="E469" s="39" t="s">
        <v>301</v>
      </c>
      <c r="F469" s="39" t="s">
        <v>302</v>
      </c>
      <c r="G469" s="39" t="s">
        <v>303</v>
      </c>
      <c r="H469" s="39" t="s">
        <v>24</v>
      </c>
      <c r="I469" s="125" t="s">
        <v>160</v>
      </c>
      <c r="J469" s="39" t="s">
        <v>161</v>
      </c>
      <c r="K469" s="39" t="s">
        <v>162</v>
      </c>
      <c r="L469" s="39"/>
      <c r="M469" s="39"/>
      <c r="N469" s="39" t="s">
        <v>157</v>
      </c>
    </row>
    <row r="470" spans="1:14" s="35" customFormat="1" hidden="1">
      <c r="A470" s="275" t="s">
        <v>307</v>
      </c>
      <c r="B470" s="275" t="s">
        <v>308</v>
      </c>
      <c r="C470" s="275" t="s">
        <v>287</v>
      </c>
      <c r="D470" s="311">
        <v>831629000</v>
      </c>
      <c r="E470" s="311">
        <v>835232142.37</v>
      </c>
      <c r="F470" s="311">
        <v>587187885.38</v>
      </c>
      <c r="G470" s="311">
        <v>531746041.33000004</v>
      </c>
      <c r="H470" s="311">
        <v>427833000</v>
      </c>
      <c r="I470" s="126">
        <v>491567682.98000002</v>
      </c>
      <c r="J470" s="311">
        <v>520105500</v>
      </c>
      <c r="K470" s="311">
        <v>267027373.18000001</v>
      </c>
      <c r="L470" s="311">
        <v>172158000</v>
      </c>
      <c r="M470" s="311">
        <v>483280000</v>
      </c>
      <c r="N470" s="311">
        <f>SUM(D470:M470)</f>
        <v>5147766625.2399998</v>
      </c>
    </row>
    <row r="471" spans="1:14" s="35" customFormat="1" hidden="1">
      <c r="A471" s="275"/>
      <c r="B471" s="275"/>
      <c r="C471" s="275" t="s">
        <v>284</v>
      </c>
      <c r="D471" s="311">
        <v>56375000</v>
      </c>
      <c r="E471" s="311">
        <v>47459000</v>
      </c>
      <c r="F471" s="311">
        <v>38630956</v>
      </c>
      <c r="G471" s="311">
        <v>35599991.760000005</v>
      </c>
      <c r="H471" s="311">
        <v>29912000</v>
      </c>
      <c r="I471" s="126">
        <v>14615471.699999999</v>
      </c>
      <c r="J471" s="311">
        <v>22093044.600000001</v>
      </c>
      <c r="K471" s="311">
        <v>8937000</v>
      </c>
      <c r="L471" s="311">
        <v>7628000</v>
      </c>
      <c r="M471" s="311">
        <v>8444000</v>
      </c>
      <c r="N471" s="311">
        <f>SUM(D471:M471)</f>
        <v>269694464.05999994</v>
      </c>
    </row>
    <row r="472" spans="1:14" s="35" customFormat="1" hidden="1">
      <c r="A472" s="275"/>
      <c r="B472" s="275"/>
      <c r="C472" s="275" t="s">
        <v>286</v>
      </c>
      <c r="D472" s="311">
        <v>394630000</v>
      </c>
      <c r="E472" s="311">
        <v>398559523.16000003</v>
      </c>
      <c r="F472" s="311">
        <v>322343923.56999999</v>
      </c>
      <c r="G472" s="311">
        <v>271601027.55000001</v>
      </c>
      <c r="H472" s="311">
        <v>214624722.00999999</v>
      </c>
      <c r="I472" s="126">
        <v>197939941.82999998</v>
      </c>
      <c r="J472" s="311">
        <v>207459093.78999999</v>
      </c>
      <c r="K472" s="311">
        <v>105528851.8</v>
      </c>
      <c r="L472" s="311">
        <v>63420000</v>
      </c>
      <c r="M472" s="311">
        <v>155190269.75</v>
      </c>
      <c r="N472" s="311">
        <f>SUM(D472:M472)</f>
        <v>2331297353.46</v>
      </c>
    </row>
    <row r="473" spans="1:14" s="35" customFormat="1" hidden="1">
      <c r="A473" s="275"/>
      <c r="B473" s="275"/>
      <c r="C473" s="275"/>
      <c r="D473" s="311"/>
      <c r="E473" s="311"/>
      <c r="F473" s="311"/>
      <c r="G473" s="311"/>
      <c r="H473" s="311"/>
      <c r="I473" s="126"/>
      <c r="J473" s="311"/>
      <c r="K473" s="311"/>
      <c r="L473" s="311"/>
      <c r="M473" s="311"/>
      <c r="N473" s="311"/>
    </row>
    <row r="474" spans="1:14" s="35" customFormat="1" hidden="1">
      <c r="A474" s="37" t="s">
        <v>309</v>
      </c>
      <c r="B474" s="37"/>
      <c r="C474" s="37"/>
      <c r="D474" s="41">
        <f>SUM(D470:D472)</f>
        <v>1282634000</v>
      </c>
      <c r="E474" s="41">
        <f t="shared" ref="E474:M474" si="77">SUM(E470:E472)</f>
        <v>1281250665.53</v>
      </c>
      <c r="F474" s="41">
        <f t="shared" si="77"/>
        <v>948162764.95000005</v>
      </c>
      <c r="G474" s="41">
        <f t="shared" si="77"/>
        <v>838947060.6400001</v>
      </c>
      <c r="H474" s="41">
        <f t="shared" si="77"/>
        <v>672369722.00999999</v>
      </c>
      <c r="I474" s="41">
        <f t="shared" si="77"/>
        <v>704123096.50999999</v>
      </c>
      <c r="J474" s="41">
        <f t="shared" si="77"/>
        <v>749657638.38999999</v>
      </c>
      <c r="K474" s="41">
        <f t="shared" si="77"/>
        <v>381493224.98000002</v>
      </c>
      <c r="L474" s="41">
        <f t="shared" si="77"/>
        <v>243206000</v>
      </c>
      <c r="M474" s="41">
        <f t="shared" si="77"/>
        <v>646914269.75</v>
      </c>
      <c r="N474" s="118">
        <f>SUM(N470:N472)</f>
        <v>7748758442.7599993</v>
      </c>
    </row>
    <row r="475" spans="1:14" s="35" customFormat="1" hidden="1">
      <c r="A475" s="275"/>
      <c r="B475" s="275"/>
      <c r="C475" s="275"/>
      <c r="D475" s="311"/>
      <c r="E475" s="311"/>
      <c r="F475" s="311"/>
      <c r="G475" s="311"/>
      <c r="H475" s="311"/>
      <c r="I475" s="126"/>
      <c r="J475" s="311"/>
      <c r="K475" s="311"/>
      <c r="L475" s="311"/>
      <c r="M475" s="311"/>
      <c r="N475" s="311"/>
    </row>
    <row r="476" spans="1:14" s="35" customFormat="1" hidden="1">
      <c r="A476" s="275" t="s">
        <v>174</v>
      </c>
      <c r="B476" s="275" t="s">
        <v>310</v>
      </c>
      <c r="C476" s="275" t="s">
        <v>288</v>
      </c>
      <c r="D476" s="311">
        <v>428694000</v>
      </c>
      <c r="E476" s="311">
        <v>342524852.64999998</v>
      </c>
      <c r="F476" s="311">
        <v>435412417.26999998</v>
      </c>
      <c r="G476" s="311">
        <v>523183000</v>
      </c>
      <c r="H476" s="311">
        <v>594015279.50999999</v>
      </c>
      <c r="I476" s="126">
        <v>542291000</v>
      </c>
      <c r="J476" s="311">
        <v>607275000</v>
      </c>
      <c r="K476" s="311">
        <v>637274000</v>
      </c>
      <c r="L476" s="311">
        <v>416951000</v>
      </c>
      <c r="M476" s="311">
        <v>454640000</v>
      </c>
      <c r="N476" s="311">
        <f t="shared" ref="N476:N481" si="78">SUM(D476:M476)</f>
        <v>4982260549.4300003</v>
      </c>
    </row>
    <row r="477" spans="1:14" s="35" customFormat="1" hidden="1">
      <c r="A477" s="275"/>
      <c r="B477" s="275"/>
      <c r="C477" s="275" t="s">
        <v>200</v>
      </c>
      <c r="D477" s="311">
        <v>92220000</v>
      </c>
      <c r="E477" s="311">
        <v>100545000</v>
      </c>
      <c r="F477" s="311">
        <v>100053000</v>
      </c>
      <c r="G477" s="311">
        <v>97480000</v>
      </c>
      <c r="H477" s="311">
        <v>120378000</v>
      </c>
      <c r="I477" s="126">
        <v>112155000</v>
      </c>
      <c r="J477" s="311">
        <v>134486000</v>
      </c>
      <c r="K477" s="311">
        <v>130251000</v>
      </c>
      <c r="L477" s="311">
        <v>89265000</v>
      </c>
      <c r="M477" s="311">
        <v>98860000</v>
      </c>
      <c r="N477" s="311">
        <f t="shared" si="78"/>
        <v>1075693000</v>
      </c>
    </row>
    <row r="478" spans="1:14" s="35" customFormat="1" hidden="1">
      <c r="A478" s="275"/>
      <c r="B478" s="275"/>
      <c r="C478" s="275" t="s">
        <v>199</v>
      </c>
      <c r="D478" s="311">
        <v>240117000</v>
      </c>
      <c r="E478" s="311">
        <v>216655000</v>
      </c>
      <c r="F478" s="311">
        <v>196664000</v>
      </c>
      <c r="G478" s="311">
        <v>235838118.31999999</v>
      </c>
      <c r="H478" s="311">
        <v>227961000</v>
      </c>
      <c r="I478" s="126">
        <v>236960000</v>
      </c>
      <c r="J478" s="311">
        <v>203303000</v>
      </c>
      <c r="K478" s="311">
        <v>196048000</v>
      </c>
      <c r="L478" s="311">
        <v>113464333</v>
      </c>
      <c r="M478" s="311">
        <v>109131482</v>
      </c>
      <c r="N478" s="311">
        <f t="shared" si="78"/>
        <v>1976141933.3199999</v>
      </c>
    </row>
    <row r="479" spans="1:14" s="35" customFormat="1" hidden="1">
      <c r="A479" s="275"/>
      <c r="B479" s="275"/>
      <c r="C479" s="275" t="s">
        <v>311</v>
      </c>
      <c r="D479" s="311">
        <v>97104000</v>
      </c>
      <c r="E479" s="311">
        <v>87844000</v>
      </c>
      <c r="F479" s="311">
        <v>67782000</v>
      </c>
      <c r="G479" s="311">
        <v>76488000</v>
      </c>
      <c r="H479" s="311">
        <v>73810000</v>
      </c>
      <c r="I479" s="126">
        <v>63542000</v>
      </c>
      <c r="J479" s="311">
        <v>27819000</v>
      </c>
      <c r="K479" s="311">
        <v>10457000</v>
      </c>
      <c r="L479" s="311">
        <v>7878000</v>
      </c>
      <c r="M479" s="311">
        <v>8213000</v>
      </c>
      <c r="N479" s="311">
        <f t="shared" si="78"/>
        <v>520937000</v>
      </c>
    </row>
    <row r="480" spans="1:14" s="35" customFormat="1" hidden="1">
      <c r="A480" s="275"/>
      <c r="B480" s="275"/>
      <c r="C480" s="275" t="s">
        <v>312</v>
      </c>
      <c r="D480" s="311">
        <v>17853000</v>
      </c>
      <c r="E480" s="311">
        <v>17860000</v>
      </c>
      <c r="F480" s="311">
        <v>22879000</v>
      </c>
      <c r="G480" s="311">
        <v>27198000</v>
      </c>
      <c r="H480" s="311">
        <v>27080000</v>
      </c>
      <c r="I480" s="126">
        <v>21797000</v>
      </c>
      <c r="J480" s="311">
        <v>9543000</v>
      </c>
      <c r="K480" s="311">
        <v>3789000</v>
      </c>
      <c r="L480" s="311">
        <v>1910000</v>
      </c>
      <c r="M480" s="311">
        <v>2115000</v>
      </c>
      <c r="N480" s="311">
        <f t="shared" si="78"/>
        <v>152024000</v>
      </c>
    </row>
    <row r="481" spans="1:14" s="35" customFormat="1" hidden="1">
      <c r="A481" s="275"/>
      <c r="B481" s="40" t="s">
        <v>313</v>
      </c>
      <c r="C481" s="40"/>
      <c r="D481" s="42">
        <f t="shared" ref="D481:M481" si="79">SUM(D476:D480)</f>
        <v>875988000</v>
      </c>
      <c r="E481" s="42">
        <f t="shared" si="79"/>
        <v>765428852.64999998</v>
      </c>
      <c r="F481" s="42">
        <f t="shared" si="79"/>
        <v>822790417.26999998</v>
      </c>
      <c r="G481" s="42">
        <f t="shared" si="79"/>
        <v>960187118.31999993</v>
      </c>
      <c r="H481" s="42">
        <f t="shared" si="79"/>
        <v>1043244279.51</v>
      </c>
      <c r="I481" s="42">
        <f t="shared" si="79"/>
        <v>976745000</v>
      </c>
      <c r="J481" s="42">
        <f t="shared" si="79"/>
        <v>982426000</v>
      </c>
      <c r="K481" s="42">
        <f t="shared" si="79"/>
        <v>977819000</v>
      </c>
      <c r="L481" s="42">
        <f t="shared" si="79"/>
        <v>629468333</v>
      </c>
      <c r="M481" s="42">
        <f t="shared" si="79"/>
        <v>672959482</v>
      </c>
      <c r="N481" s="42">
        <f t="shared" si="78"/>
        <v>8707056482.75</v>
      </c>
    </row>
    <row r="482" spans="1:14" s="35" customFormat="1" hidden="1">
      <c r="A482" s="275"/>
      <c r="B482" s="275"/>
      <c r="C482" s="275"/>
      <c r="D482" s="311"/>
      <c r="E482" s="311"/>
      <c r="F482" s="311"/>
      <c r="G482" s="311"/>
      <c r="H482" s="311"/>
      <c r="I482" s="126"/>
      <c r="J482" s="311"/>
      <c r="K482" s="311"/>
      <c r="L482" s="311"/>
      <c r="M482" s="311"/>
      <c r="N482" s="311"/>
    </row>
    <row r="483" spans="1:14" s="35" customFormat="1" hidden="1">
      <c r="A483" s="275"/>
      <c r="B483" s="275" t="s">
        <v>184</v>
      </c>
      <c r="C483" s="275" t="s">
        <v>288</v>
      </c>
      <c r="D483" s="311">
        <v>102710000</v>
      </c>
      <c r="E483" s="311">
        <v>149884288.73000002</v>
      </c>
      <c r="F483" s="311">
        <v>298250000</v>
      </c>
      <c r="G483" s="311">
        <v>216075000</v>
      </c>
      <c r="H483" s="311">
        <v>308650309.55000001</v>
      </c>
      <c r="I483" s="126">
        <v>251125000</v>
      </c>
      <c r="J483" s="311">
        <v>380063878.63000005</v>
      </c>
      <c r="K483" s="311">
        <v>369015506.30000001</v>
      </c>
      <c r="L483" s="311">
        <v>302358000</v>
      </c>
      <c r="M483" s="311">
        <v>370048525.97000003</v>
      </c>
      <c r="N483" s="311">
        <f t="shared" ref="N483:N488" si="80">SUM(D483:M483)</f>
        <v>2748180509.1800003</v>
      </c>
    </row>
    <row r="484" spans="1:14" s="35" customFormat="1" hidden="1">
      <c r="A484" s="275"/>
      <c r="B484" s="275"/>
      <c r="C484" s="275" t="s">
        <v>200</v>
      </c>
      <c r="D484" s="311">
        <v>29285000</v>
      </c>
      <c r="E484" s="311">
        <v>38160522.769999996</v>
      </c>
      <c r="F484" s="311">
        <v>49110000</v>
      </c>
      <c r="G484" s="311">
        <v>41880265.039999999</v>
      </c>
      <c r="H484" s="311">
        <v>50790000</v>
      </c>
      <c r="I484" s="126">
        <v>42975000</v>
      </c>
      <c r="J484" s="311">
        <v>60495000</v>
      </c>
      <c r="K484" s="311">
        <v>61259000</v>
      </c>
      <c r="L484" s="311">
        <v>65278000</v>
      </c>
      <c r="M484" s="311">
        <v>50362000</v>
      </c>
      <c r="N484" s="311">
        <f t="shared" si="80"/>
        <v>489594787.81</v>
      </c>
    </row>
    <row r="485" spans="1:14" s="35" customFormat="1" hidden="1">
      <c r="A485" s="275"/>
      <c r="B485" s="275"/>
      <c r="C485" s="275" t="s">
        <v>199</v>
      </c>
      <c r="D485" s="311">
        <v>44625570.649999999</v>
      </c>
      <c r="E485" s="311">
        <v>48550000</v>
      </c>
      <c r="F485" s="311">
        <v>47038481.840000004</v>
      </c>
      <c r="G485" s="311">
        <v>53740047.870000005</v>
      </c>
      <c r="H485" s="311">
        <v>60207000</v>
      </c>
      <c r="I485" s="126">
        <v>63456000</v>
      </c>
      <c r="J485" s="311">
        <v>79540000</v>
      </c>
      <c r="K485" s="311">
        <v>86060950</v>
      </c>
      <c r="L485" s="311">
        <v>79477928.319999993</v>
      </c>
      <c r="M485" s="311">
        <v>79504000</v>
      </c>
      <c r="N485" s="311">
        <f t="shared" si="80"/>
        <v>642199978.68000007</v>
      </c>
    </row>
    <row r="486" spans="1:14" s="35" customFormat="1" hidden="1">
      <c r="A486" s="275"/>
      <c r="B486" s="275"/>
      <c r="C486" s="275" t="s">
        <v>311</v>
      </c>
      <c r="D486" s="311">
        <v>12544000</v>
      </c>
      <c r="E486" s="311">
        <v>14810000</v>
      </c>
      <c r="F486" s="311">
        <v>13549550</v>
      </c>
      <c r="G486" s="311">
        <v>15394000</v>
      </c>
      <c r="H486" s="311">
        <v>18942000</v>
      </c>
      <c r="I486" s="126">
        <v>16745835</v>
      </c>
      <c r="J486" s="311">
        <v>19965709.18</v>
      </c>
      <c r="K486" s="311">
        <v>17799000</v>
      </c>
      <c r="L486" s="311">
        <v>16429000</v>
      </c>
      <c r="M486" s="311">
        <v>20494000</v>
      </c>
      <c r="N486" s="311">
        <f t="shared" si="80"/>
        <v>166673094.18000001</v>
      </c>
    </row>
    <row r="487" spans="1:14" s="35" customFormat="1" hidden="1">
      <c r="A487" s="275"/>
      <c r="B487" s="275"/>
      <c r="C487" s="275" t="s">
        <v>312</v>
      </c>
      <c r="D487" s="311">
        <v>9059269.4199999999</v>
      </c>
      <c r="E487" s="311">
        <v>9800800</v>
      </c>
      <c r="F487" s="311">
        <v>9445000</v>
      </c>
      <c r="G487" s="311">
        <v>9862000</v>
      </c>
      <c r="H487" s="311">
        <v>10540000</v>
      </c>
      <c r="I487" s="126">
        <v>9930000</v>
      </c>
      <c r="J487" s="311">
        <v>10149000</v>
      </c>
      <c r="K487" s="311">
        <v>11475000</v>
      </c>
      <c r="L487" s="311">
        <v>11305000</v>
      </c>
      <c r="M487" s="311">
        <v>9859095.5399999991</v>
      </c>
      <c r="N487" s="311">
        <f t="shared" si="80"/>
        <v>101425164.96000001</v>
      </c>
    </row>
    <row r="488" spans="1:14" s="35" customFormat="1" hidden="1">
      <c r="A488" s="275"/>
      <c r="B488" s="40" t="s">
        <v>314</v>
      </c>
      <c r="C488" s="40"/>
      <c r="D488" s="42">
        <f t="shared" ref="D488:M488" si="81">SUM(D483:D487)</f>
        <v>198223840.06999999</v>
      </c>
      <c r="E488" s="42">
        <f t="shared" si="81"/>
        <v>261205611.5</v>
      </c>
      <c r="F488" s="42">
        <f t="shared" si="81"/>
        <v>417393031.84000003</v>
      </c>
      <c r="G488" s="42">
        <f t="shared" si="81"/>
        <v>336951312.90999997</v>
      </c>
      <c r="H488" s="42">
        <f t="shared" si="81"/>
        <v>449129309.55000001</v>
      </c>
      <c r="I488" s="42">
        <f t="shared" si="81"/>
        <v>384231835</v>
      </c>
      <c r="J488" s="42">
        <f t="shared" si="81"/>
        <v>550213587.81000006</v>
      </c>
      <c r="K488" s="42">
        <f t="shared" si="81"/>
        <v>545609456.29999995</v>
      </c>
      <c r="L488" s="42">
        <f t="shared" si="81"/>
        <v>474847928.31999999</v>
      </c>
      <c r="M488" s="42">
        <f t="shared" si="81"/>
        <v>530267621.51000005</v>
      </c>
      <c r="N488" s="42">
        <f t="shared" si="80"/>
        <v>4148073534.8100009</v>
      </c>
    </row>
    <row r="489" spans="1:14" s="35" customFormat="1" hidden="1">
      <c r="A489" s="275"/>
      <c r="B489" s="275"/>
      <c r="C489" s="275"/>
      <c r="D489" s="311"/>
      <c r="E489" s="311"/>
      <c r="F489" s="311"/>
      <c r="G489" s="311"/>
      <c r="H489" s="311"/>
      <c r="I489" s="126"/>
      <c r="J489" s="311"/>
      <c r="K489" s="311"/>
      <c r="L489" s="311"/>
      <c r="M489" s="311"/>
      <c r="N489" s="311"/>
    </row>
    <row r="490" spans="1:14" s="35" customFormat="1" hidden="1">
      <c r="A490" s="275"/>
      <c r="B490" s="275" t="s">
        <v>315</v>
      </c>
      <c r="C490" s="275" t="s">
        <v>288</v>
      </c>
      <c r="D490" s="311">
        <v>554482928.64999998</v>
      </c>
      <c r="E490" s="311">
        <v>446102389.81</v>
      </c>
      <c r="F490" s="311">
        <v>585413555.09000003</v>
      </c>
      <c r="G490" s="311">
        <v>541806294.87</v>
      </c>
      <c r="H490" s="311">
        <v>444489883.06999999</v>
      </c>
      <c r="I490" s="126">
        <v>404736890.75000006</v>
      </c>
      <c r="J490" s="311">
        <v>563904128.8900001</v>
      </c>
      <c r="K490" s="311">
        <v>548880378.81999993</v>
      </c>
      <c r="L490" s="311">
        <v>613290862.36000001</v>
      </c>
      <c r="M490" s="311">
        <v>716622987.59000003</v>
      </c>
      <c r="N490" s="311">
        <f t="shared" ref="N490:N497" si="82">SUM(D490:M490)</f>
        <v>5419730299.8999996</v>
      </c>
    </row>
    <row r="491" spans="1:14" s="35" customFormat="1" hidden="1">
      <c r="A491" s="275"/>
      <c r="B491" s="275"/>
      <c r="C491" s="275" t="s">
        <v>200</v>
      </c>
      <c r="D491" s="311">
        <v>73449015.180000007</v>
      </c>
      <c r="E491" s="311">
        <v>71848483.510000005</v>
      </c>
      <c r="F491" s="311">
        <v>71657913.760000005</v>
      </c>
      <c r="G491" s="311">
        <v>71391577.930000007</v>
      </c>
      <c r="H491" s="311">
        <v>60157877.5</v>
      </c>
      <c r="I491" s="126">
        <v>51261882.18</v>
      </c>
      <c r="J491" s="311">
        <v>67517857.640000001</v>
      </c>
      <c r="K491" s="311">
        <v>70895480.180000007</v>
      </c>
      <c r="L491" s="311">
        <v>77680745.170000002</v>
      </c>
      <c r="M491" s="311">
        <v>71000085.99000001</v>
      </c>
      <c r="N491" s="311">
        <f t="shared" si="82"/>
        <v>686860919.03999996</v>
      </c>
    </row>
    <row r="492" spans="1:14" s="35" customFormat="1" hidden="1">
      <c r="A492" s="275"/>
      <c r="B492" s="275"/>
      <c r="C492" s="275" t="s">
        <v>199</v>
      </c>
      <c r="D492" s="311">
        <v>74601820.200000003</v>
      </c>
      <c r="E492" s="311">
        <v>78203075.040000007</v>
      </c>
      <c r="F492" s="311">
        <v>86736725.039999992</v>
      </c>
      <c r="G492" s="311">
        <v>81427983.700000003</v>
      </c>
      <c r="H492" s="311">
        <v>76873472.329999998</v>
      </c>
      <c r="I492" s="126">
        <v>65255983.240000002</v>
      </c>
      <c r="J492" s="311">
        <v>89054842.020000011</v>
      </c>
      <c r="K492" s="311">
        <v>85915887.810000002</v>
      </c>
      <c r="L492" s="311">
        <v>90406297.049999997</v>
      </c>
      <c r="M492" s="311">
        <v>98558228.600000009</v>
      </c>
      <c r="N492" s="311">
        <f t="shared" si="82"/>
        <v>827034315.03000009</v>
      </c>
    </row>
    <row r="493" spans="1:14" s="35" customFormat="1" hidden="1">
      <c r="A493" s="275"/>
      <c r="B493" s="275"/>
      <c r="C493" s="275" t="s">
        <v>311</v>
      </c>
      <c r="D493" s="311">
        <v>17563752.34</v>
      </c>
      <c r="E493" s="311">
        <v>17052000</v>
      </c>
      <c r="F493" s="311">
        <v>18239576.830000002</v>
      </c>
      <c r="G493" s="311">
        <v>19232889.649999999</v>
      </c>
      <c r="H493" s="311">
        <v>15626816.300000001</v>
      </c>
      <c r="I493" s="126">
        <v>12862542.310000001</v>
      </c>
      <c r="J493" s="311">
        <v>17707000</v>
      </c>
      <c r="K493" s="311">
        <v>15611919.530000001</v>
      </c>
      <c r="L493" s="311">
        <v>17113665.350000001</v>
      </c>
      <c r="M493" s="311">
        <v>19983379</v>
      </c>
      <c r="N493" s="311">
        <f t="shared" si="82"/>
        <v>170993541.31</v>
      </c>
    </row>
    <row r="494" spans="1:14" s="35" customFormat="1" hidden="1">
      <c r="A494" s="275"/>
      <c r="B494" s="275"/>
      <c r="C494" s="275" t="s">
        <v>312</v>
      </c>
      <c r="D494" s="311">
        <v>3763000</v>
      </c>
      <c r="E494" s="311">
        <v>3959270.21</v>
      </c>
      <c r="F494" s="311">
        <v>3097000</v>
      </c>
      <c r="G494" s="311">
        <v>3358000</v>
      </c>
      <c r="H494" s="311">
        <v>3441000</v>
      </c>
      <c r="I494" s="126">
        <v>3166000</v>
      </c>
      <c r="J494" s="311">
        <v>3476000</v>
      </c>
      <c r="K494" s="311">
        <v>2732000</v>
      </c>
      <c r="L494" s="311">
        <v>3326022.3200000003</v>
      </c>
      <c r="M494" s="311">
        <v>4015000</v>
      </c>
      <c r="N494" s="311">
        <f t="shared" si="82"/>
        <v>34333292.530000001</v>
      </c>
    </row>
    <row r="495" spans="1:14" s="35" customFormat="1" hidden="1">
      <c r="A495" s="275"/>
      <c r="B495" s="40" t="s">
        <v>316</v>
      </c>
      <c r="C495" s="40"/>
      <c r="D495" s="42">
        <f t="shared" ref="D495:M495" si="83">SUM(D490:D494)</f>
        <v>723860516.37</v>
      </c>
      <c r="E495" s="42">
        <f t="shared" si="83"/>
        <v>617165218.57000005</v>
      </c>
      <c r="F495" s="42">
        <f t="shared" si="83"/>
        <v>765144770.72000003</v>
      </c>
      <c r="G495" s="42">
        <f t="shared" si="83"/>
        <v>717216746.14999998</v>
      </c>
      <c r="H495" s="42">
        <f t="shared" si="83"/>
        <v>600589049.19999993</v>
      </c>
      <c r="I495" s="42">
        <f t="shared" si="83"/>
        <v>537283298.48000002</v>
      </c>
      <c r="J495" s="42">
        <f t="shared" si="83"/>
        <v>741659828.55000007</v>
      </c>
      <c r="K495" s="42">
        <f t="shared" si="83"/>
        <v>724035666.33999991</v>
      </c>
      <c r="L495" s="42">
        <f t="shared" si="83"/>
        <v>801817592.25</v>
      </c>
      <c r="M495" s="42">
        <f t="shared" si="83"/>
        <v>910179681.18000007</v>
      </c>
      <c r="N495" s="42">
        <f t="shared" si="82"/>
        <v>7138952367.8100004</v>
      </c>
    </row>
    <row r="496" spans="1:14" s="35" customFormat="1" hidden="1">
      <c r="A496" s="275"/>
      <c r="B496" s="275"/>
      <c r="C496" s="275"/>
      <c r="D496" s="311"/>
      <c r="E496" s="311"/>
      <c r="F496" s="311"/>
      <c r="G496" s="311"/>
      <c r="H496" s="311"/>
      <c r="I496" s="126"/>
      <c r="J496" s="311"/>
      <c r="K496" s="311"/>
      <c r="L496" s="311"/>
      <c r="M496" s="311"/>
      <c r="N496" s="311"/>
    </row>
    <row r="497" spans="1:14" s="35" customFormat="1" hidden="1">
      <c r="A497" s="37" t="s">
        <v>317</v>
      </c>
      <c r="B497" s="37"/>
      <c r="C497" s="37"/>
      <c r="D497" s="41">
        <f t="shared" ref="D497:M497" si="84">D481+D488+D495</f>
        <v>1798072356.4400001</v>
      </c>
      <c r="E497" s="41">
        <f t="shared" si="84"/>
        <v>1643799682.72</v>
      </c>
      <c r="F497" s="41">
        <f t="shared" si="84"/>
        <v>2005328219.8300002</v>
      </c>
      <c r="G497" s="41">
        <f t="shared" si="84"/>
        <v>2014355177.3800001</v>
      </c>
      <c r="H497" s="41">
        <f t="shared" si="84"/>
        <v>2092962638.2599998</v>
      </c>
      <c r="I497" s="41">
        <f t="shared" si="84"/>
        <v>1898260133.48</v>
      </c>
      <c r="J497" s="41">
        <f t="shared" si="84"/>
        <v>2274299416.3600001</v>
      </c>
      <c r="K497" s="41">
        <f t="shared" si="84"/>
        <v>2247464122.6399999</v>
      </c>
      <c r="L497" s="41">
        <f t="shared" si="84"/>
        <v>1906133853.5699999</v>
      </c>
      <c r="M497" s="41">
        <f t="shared" si="84"/>
        <v>2113406784.6900001</v>
      </c>
      <c r="N497" s="41">
        <f t="shared" si="82"/>
        <v>19994082385.369999</v>
      </c>
    </row>
    <row r="498" spans="1:14" s="35" customFormat="1" hidden="1">
      <c r="A498" s="45"/>
      <c r="B498" s="45"/>
      <c r="C498" s="45"/>
      <c r="D498" s="46"/>
      <c r="E498" s="46"/>
      <c r="F498" s="46"/>
      <c r="G498" s="46"/>
      <c r="H498" s="46"/>
      <c r="I498" s="128"/>
      <c r="J498" s="46"/>
      <c r="K498" s="46"/>
      <c r="L498" s="46"/>
      <c r="M498" s="46"/>
      <c r="N498" s="46"/>
    </row>
    <row r="499" spans="1:14" s="35" customFormat="1" ht="15" hidden="1" thickBot="1">
      <c r="A499" s="43" t="s">
        <v>320</v>
      </c>
      <c r="B499" s="43"/>
      <c r="C499" s="43"/>
      <c r="D499" s="44">
        <f t="shared" ref="D499:M499" si="85">D497+D474</f>
        <v>3080706356.4400001</v>
      </c>
      <c r="E499" s="44">
        <f t="shared" si="85"/>
        <v>2925050348.25</v>
      </c>
      <c r="F499" s="44">
        <f t="shared" si="85"/>
        <v>2953490984.7800002</v>
      </c>
      <c r="G499" s="44">
        <f t="shared" si="85"/>
        <v>2853302238.0200005</v>
      </c>
      <c r="H499" s="44">
        <f t="shared" si="85"/>
        <v>2765332360.2699995</v>
      </c>
      <c r="I499" s="44">
        <f t="shared" si="85"/>
        <v>2602383229.9899998</v>
      </c>
      <c r="J499" s="44">
        <f t="shared" si="85"/>
        <v>3023957054.75</v>
      </c>
      <c r="K499" s="44">
        <f t="shared" si="85"/>
        <v>2628957347.6199999</v>
      </c>
      <c r="L499" s="44">
        <f t="shared" si="85"/>
        <v>2149339853.5699997</v>
      </c>
      <c r="M499" s="44">
        <f t="shared" si="85"/>
        <v>2760321054.4400001</v>
      </c>
      <c r="N499" s="44">
        <f>SUM(D499:M499)</f>
        <v>27742840828.129997</v>
      </c>
    </row>
    <row r="500" spans="1:14" s="35" customFormat="1" ht="15" hidden="1" thickTop="1">
      <c r="A500" s="275"/>
      <c r="B500" s="275"/>
      <c r="C500" s="275"/>
      <c r="D500" s="398"/>
      <c r="E500" s="398"/>
      <c r="F500" s="398"/>
      <c r="G500" s="398"/>
      <c r="H500" s="398"/>
      <c r="I500" s="129"/>
      <c r="J500" s="275"/>
      <c r="K500" s="275"/>
      <c r="L500" s="275"/>
      <c r="M500" s="275"/>
      <c r="N500" s="275"/>
    </row>
    <row r="501" spans="1:14" s="35" customFormat="1" hidden="1">
      <c r="A501" s="36" t="s">
        <v>321</v>
      </c>
      <c r="B501" s="275"/>
      <c r="C501" s="275"/>
      <c r="D501" s="398"/>
      <c r="E501" s="398"/>
      <c r="F501" s="398"/>
      <c r="G501" s="398"/>
      <c r="H501" s="398"/>
      <c r="I501" s="129"/>
      <c r="J501" s="275"/>
      <c r="K501" s="275"/>
      <c r="L501" s="275"/>
      <c r="M501" s="275"/>
      <c r="N501" s="275"/>
    </row>
    <row r="502" spans="1:14" s="35" customFormat="1" hidden="1">
      <c r="A502" s="38" t="s">
        <v>297</v>
      </c>
      <c r="B502" s="38" t="s">
        <v>298</v>
      </c>
      <c r="C502" s="38" t="s">
        <v>299</v>
      </c>
      <c r="D502" s="39" t="s">
        <v>300</v>
      </c>
      <c r="E502" s="39" t="s">
        <v>301</v>
      </c>
      <c r="F502" s="39" t="s">
        <v>302</v>
      </c>
      <c r="G502" s="39" t="s">
        <v>303</v>
      </c>
      <c r="H502" s="39" t="s">
        <v>24</v>
      </c>
      <c r="I502" s="125" t="s">
        <v>160</v>
      </c>
      <c r="J502" s="39" t="s">
        <v>161</v>
      </c>
      <c r="K502" s="39" t="s">
        <v>162</v>
      </c>
      <c r="L502" s="39" t="s">
        <v>304</v>
      </c>
      <c r="M502" s="39" t="s">
        <v>305</v>
      </c>
      <c r="N502" s="39" t="s">
        <v>157</v>
      </c>
    </row>
    <row r="503" spans="1:14" s="35" customFormat="1" hidden="1">
      <c r="A503" s="275" t="s">
        <v>307</v>
      </c>
      <c r="B503" s="275" t="s">
        <v>308</v>
      </c>
      <c r="C503" s="275" t="s">
        <v>287</v>
      </c>
      <c r="D503" s="311">
        <v>502</v>
      </c>
      <c r="E503" s="311">
        <v>500</v>
      </c>
      <c r="F503" s="311">
        <v>376</v>
      </c>
      <c r="G503" s="311">
        <v>340</v>
      </c>
      <c r="H503" s="311">
        <v>267</v>
      </c>
      <c r="I503" s="126">
        <v>263</v>
      </c>
      <c r="J503" s="311">
        <v>282</v>
      </c>
      <c r="K503" s="311">
        <v>144</v>
      </c>
      <c r="L503" s="311">
        <v>94</v>
      </c>
      <c r="M503" s="311">
        <v>256</v>
      </c>
      <c r="N503" s="311">
        <f>SUM(D503:M503)</f>
        <v>3024</v>
      </c>
    </row>
    <row r="504" spans="1:14" s="35" customFormat="1" hidden="1">
      <c r="A504" s="275"/>
      <c r="B504" s="275"/>
      <c r="C504" s="275" t="s">
        <v>284</v>
      </c>
      <c r="D504" s="311">
        <v>295</v>
      </c>
      <c r="E504" s="311">
        <v>245</v>
      </c>
      <c r="F504" s="311">
        <v>205</v>
      </c>
      <c r="G504" s="311">
        <v>195</v>
      </c>
      <c r="H504" s="311">
        <v>167</v>
      </c>
      <c r="I504" s="126">
        <v>78</v>
      </c>
      <c r="J504" s="311">
        <v>110</v>
      </c>
      <c r="K504" s="311">
        <v>47</v>
      </c>
      <c r="L504" s="311">
        <v>39</v>
      </c>
      <c r="M504" s="311">
        <v>45</v>
      </c>
      <c r="N504" s="311">
        <f>SUM(D504:M504)</f>
        <v>1426</v>
      </c>
    </row>
    <row r="505" spans="1:14" s="35" customFormat="1" hidden="1">
      <c r="A505" s="275"/>
      <c r="B505" s="275"/>
      <c r="C505" s="275" t="s">
        <v>286</v>
      </c>
      <c r="D505" s="311">
        <v>675</v>
      </c>
      <c r="E505" s="311">
        <v>647</v>
      </c>
      <c r="F505" s="311">
        <v>519</v>
      </c>
      <c r="G505" s="311">
        <v>447</v>
      </c>
      <c r="H505" s="311">
        <v>342</v>
      </c>
      <c r="I505" s="126">
        <v>297</v>
      </c>
      <c r="J505" s="311">
        <v>331</v>
      </c>
      <c r="K505" s="311">
        <v>160</v>
      </c>
      <c r="L505" s="311">
        <v>95</v>
      </c>
      <c r="M505" s="311">
        <v>230</v>
      </c>
      <c r="N505" s="311">
        <f>SUM(D505:M505)</f>
        <v>3743</v>
      </c>
    </row>
    <row r="506" spans="1:14" s="35" customFormat="1" hidden="1">
      <c r="A506" s="37" t="s">
        <v>309</v>
      </c>
      <c r="B506" s="37"/>
      <c r="C506" s="37"/>
      <c r="D506" s="41">
        <f t="shared" ref="D506:N506" si="86">SUM(D503:D505)</f>
        <v>1472</v>
      </c>
      <c r="E506" s="41">
        <f t="shared" si="86"/>
        <v>1392</v>
      </c>
      <c r="F506" s="41">
        <f t="shared" si="86"/>
        <v>1100</v>
      </c>
      <c r="G506" s="41">
        <f t="shared" si="86"/>
        <v>982</v>
      </c>
      <c r="H506" s="41">
        <f t="shared" si="86"/>
        <v>776</v>
      </c>
      <c r="I506" s="41">
        <f t="shared" si="86"/>
        <v>638</v>
      </c>
      <c r="J506" s="41">
        <f t="shared" si="86"/>
        <v>723</v>
      </c>
      <c r="K506" s="41">
        <f t="shared" si="86"/>
        <v>351</v>
      </c>
      <c r="L506" s="41">
        <f t="shared" si="86"/>
        <v>228</v>
      </c>
      <c r="M506" s="41">
        <f t="shared" si="86"/>
        <v>531</v>
      </c>
      <c r="N506" s="41">
        <f t="shared" si="86"/>
        <v>8193</v>
      </c>
    </row>
    <row r="507" spans="1:14" s="35" customFormat="1" hidden="1">
      <c r="A507" s="275"/>
      <c r="B507" s="275"/>
      <c r="C507" s="275"/>
      <c r="D507" s="311"/>
      <c r="E507" s="311"/>
      <c r="F507" s="311"/>
      <c r="G507" s="311"/>
      <c r="H507" s="311"/>
      <c r="I507" s="126"/>
      <c r="J507" s="311"/>
      <c r="K507" s="311"/>
      <c r="L507" s="311"/>
      <c r="M507" s="311"/>
      <c r="N507" s="311"/>
    </row>
    <row r="508" spans="1:14" s="35" customFormat="1" hidden="1">
      <c r="A508" s="275" t="s">
        <v>174</v>
      </c>
      <c r="B508" s="275" t="s">
        <v>310</v>
      </c>
      <c r="C508" s="275" t="s">
        <v>288</v>
      </c>
      <c r="D508" s="311">
        <v>275</v>
      </c>
      <c r="E508" s="311">
        <v>245</v>
      </c>
      <c r="F508" s="311">
        <v>302</v>
      </c>
      <c r="G508" s="311">
        <v>361</v>
      </c>
      <c r="H508" s="311">
        <v>416</v>
      </c>
      <c r="I508" s="126">
        <v>358</v>
      </c>
      <c r="J508" s="311">
        <v>431</v>
      </c>
      <c r="K508" s="311">
        <v>460</v>
      </c>
      <c r="L508" s="311">
        <v>287</v>
      </c>
      <c r="M508" s="311">
        <v>308</v>
      </c>
      <c r="N508" s="311">
        <f t="shared" ref="N508:N513" si="87">SUM(D508:M508)</f>
        <v>3443</v>
      </c>
    </row>
    <row r="509" spans="1:14" s="35" customFormat="1" hidden="1">
      <c r="A509" s="275"/>
      <c r="B509" s="275"/>
      <c r="C509" s="275" t="s">
        <v>200</v>
      </c>
      <c r="D509" s="311">
        <v>162</v>
      </c>
      <c r="E509" s="311">
        <v>179</v>
      </c>
      <c r="F509" s="311">
        <v>177</v>
      </c>
      <c r="G509" s="311">
        <v>174</v>
      </c>
      <c r="H509" s="311">
        <v>217</v>
      </c>
      <c r="I509" s="126">
        <v>198</v>
      </c>
      <c r="J509" s="311">
        <v>236</v>
      </c>
      <c r="K509" s="311">
        <v>229</v>
      </c>
      <c r="L509" s="311">
        <v>155</v>
      </c>
      <c r="M509" s="311">
        <v>171</v>
      </c>
      <c r="N509" s="311">
        <f t="shared" si="87"/>
        <v>1898</v>
      </c>
    </row>
    <row r="510" spans="1:14" s="35" customFormat="1" hidden="1">
      <c r="A510" s="275"/>
      <c r="B510" s="275"/>
      <c r="C510" s="275" t="s">
        <v>199</v>
      </c>
      <c r="D510" s="311">
        <v>876</v>
      </c>
      <c r="E510" s="311">
        <v>805</v>
      </c>
      <c r="F510" s="311">
        <v>729</v>
      </c>
      <c r="G510" s="311">
        <v>850</v>
      </c>
      <c r="H510" s="311">
        <v>812</v>
      </c>
      <c r="I510" s="126">
        <v>845</v>
      </c>
      <c r="J510" s="311">
        <v>709</v>
      </c>
      <c r="K510" s="311">
        <v>660</v>
      </c>
      <c r="L510" s="311">
        <v>383</v>
      </c>
      <c r="M510" s="311">
        <v>373</v>
      </c>
      <c r="N510" s="311">
        <f t="shared" si="87"/>
        <v>7042</v>
      </c>
    </row>
    <row r="511" spans="1:14" s="35" customFormat="1" hidden="1">
      <c r="A511" s="275"/>
      <c r="B511" s="275"/>
      <c r="C511" s="275" t="s">
        <v>311</v>
      </c>
      <c r="D511" s="311">
        <v>648</v>
      </c>
      <c r="E511" s="311">
        <v>583</v>
      </c>
      <c r="F511" s="311">
        <v>458</v>
      </c>
      <c r="G511" s="311">
        <v>516</v>
      </c>
      <c r="H511" s="311">
        <v>503</v>
      </c>
      <c r="I511" s="126">
        <v>436</v>
      </c>
      <c r="J511" s="311">
        <v>193</v>
      </c>
      <c r="K511" s="311">
        <v>69</v>
      </c>
      <c r="L511" s="311">
        <v>52</v>
      </c>
      <c r="M511" s="311">
        <v>57</v>
      </c>
      <c r="N511" s="311">
        <f t="shared" si="87"/>
        <v>3515</v>
      </c>
    </row>
    <row r="512" spans="1:14" s="35" customFormat="1" hidden="1">
      <c r="A512" s="275"/>
      <c r="B512" s="275"/>
      <c r="C512" s="275" t="s">
        <v>312</v>
      </c>
      <c r="D512" s="311">
        <v>284</v>
      </c>
      <c r="E512" s="311">
        <v>283</v>
      </c>
      <c r="F512" s="311">
        <v>340</v>
      </c>
      <c r="G512" s="311">
        <v>399</v>
      </c>
      <c r="H512" s="311">
        <v>394</v>
      </c>
      <c r="I512" s="126">
        <v>301</v>
      </c>
      <c r="J512" s="311">
        <v>129</v>
      </c>
      <c r="K512" s="311">
        <v>47</v>
      </c>
      <c r="L512" s="311">
        <v>23</v>
      </c>
      <c r="M512" s="311">
        <v>28</v>
      </c>
      <c r="N512" s="311">
        <f t="shared" si="87"/>
        <v>2228</v>
      </c>
    </row>
    <row r="513" spans="1:14" s="35" customFormat="1" hidden="1">
      <c r="A513" s="275"/>
      <c r="B513" s="40" t="s">
        <v>313</v>
      </c>
      <c r="C513" s="40"/>
      <c r="D513" s="42">
        <f t="shared" ref="D513:M513" si="88">SUM(D508:D512)</f>
        <v>2245</v>
      </c>
      <c r="E513" s="42">
        <f t="shared" si="88"/>
        <v>2095</v>
      </c>
      <c r="F513" s="42">
        <f t="shared" si="88"/>
        <v>2006</v>
      </c>
      <c r="G513" s="42">
        <f t="shared" si="88"/>
        <v>2300</v>
      </c>
      <c r="H513" s="42">
        <f t="shared" si="88"/>
        <v>2342</v>
      </c>
      <c r="I513" s="42">
        <f t="shared" si="88"/>
        <v>2138</v>
      </c>
      <c r="J513" s="42">
        <f t="shared" si="88"/>
        <v>1698</v>
      </c>
      <c r="K513" s="42">
        <f t="shared" si="88"/>
        <v>1465</v>
      </c>
      <c r="L513" s="42">
        <f t="shared" si="88"/>
        <v>900</v>
      </c>
      <c r="M513" s="42">
        <f t="shared" si="88"/>
        <v>937</v>
      </c>
      <c r="N513" s="42">
        <f t="shared" si="87"/>
        <v>18126</v>
      </c>
    </row>
    <row r="514" spans="1:14" s="35" customFormat="1" hidden="1">
      <c r="A514" s="275"/>
      <c r="B514" s="275"/>
      <c r="C514" s="275"/>
      <c r="D514" s="311"/>
      <c r="E514" s="311"/>
      <c r="F514" s="311"/>
      <c r="G514" s="311"/>
      <c r="H514" s="311"/>
      <c r="I514" s="126"/>
      <c r="J514" s="311"/>
      <c r="K514" s="311"/>
      <c r="L514" s="311"/>
      <c r="M514" s="311"/>
      <c r="N514" s="311"/>
    </row>
    <row r="515" spans="1:14" s="35" customFormat="1" hidden="1">
      <c r="A515" s="275"/>
      <c r="B515" s="275" t="s">
        <v>184</v>
      </c>
      <c r="C515" s="275" t="s">
        <v>288</v>
      </c>
      <c r="D515" s="311">
        <v>65</v>
      </c>
      <c r="E515" s="311">
        <v>96</v>
      </c>
      <c r="F515" s="311">
        <v>175</v>
      </c>
      <c r="G515" s="311">
        <v>137</v>
      </c>
      <c r="H515" s="311">
        <v>198</v>
      </c>
      <c r="I515" s="126">
        <v>154</v>
      </c>
      <c r="J515" s="311">
        <v>223</v>
      </c>
      <c r="K515" s="311">
        <v>222</v>
      </c>
      <c r="L515" s="311">
        <v>192</v>
      </c>
      <c r="M515" s="311">
        <v>207</v>
      </c>
      <c r="N515" s="311">
        <f t="shared" ref="N515:N520" si="89">SUM(D515:M515)</f>
        <v>1669</v>
      </c>
    </row>
    <row r="516" spans="1:14" s="35" customFormat="1" hidden="1">
      <c r="A516" s="275"/>
      <c r="B516" s="275"/>
      <c r="C516" s="275" t="s">
        <v>200</v>
      </c>
      <c r="D516" s="311">
        <v>52</v>
      </c>
      <c r="E516" s="311">
        <v>67</v>
      </c>
      <c r="F516" s="311">
        <v>89</v>
      </c>
      <c r="G516" s="311">
        <v>73</v>
      </c>
      <c r="H516" s="311">
        <v>87</v>
      </c>
      <c r="I516" s="126">
        <v>76</v>
      </c>
      <c r="J516" s="311">
        <v>104</v>
      </c>
      <c r="K516" s="311">
        <v>107</v>
      </c>
      <c r="L516" s="311">
        <v>116</v>
      </c>
      <c r="M516" s="311">
        <v>88</v>
      </c>
      <c r="N516" s="311">
        <f t="shared" si="89"/>
        <v>859</v>
      </c>
    </row>
    <row r="517" spans="1:14" s="35" customFormat="1" hidden="1">
      <c r="A517" s="275"/>
      <c r="B517" s="275"/>
      <c r="C517" s="275" t="s">
        <v>199</v>
      </c>
      <c r="D517" s="311">
        <v>154</v>
      </c>
      <c r="E517" s="311">
        <v>170</v>
      </c>
      <c r="F517" s="311">
        <v>173</v>
      </c>
      <c r="G517" s="311">
        <v>190</v>
      </c>
      <c r="H517" s="311">
        <v>211</v>
      </c>
      <c r="I517" s="126">
        <v>223</v>
      </c>
      <c r="J517" s="311">
        <v>281</v>
      </c>
      <c r="K517" s="311">
        <v>308</v>
      </c>
      <c r="L517" s="311">
        <v>277</v>
      </c>
      <c r="M517" s="311">
        <v>276</v>
      </c>
      <c r="N517" s="311">
        <f t="shared" si="89"/>
        <v>2263</v>
      </c>
    </row>
    <row r="518" spans="1:14" s="35" customFormat="1" hidden="1">
      <c r="A518" s="275"/>
      <c r="B518" s="275"/>
      <c r="C518" s="275" t="s">
        <v>311</v>
      </c>
      <c r="D518" s="311">
        <v>82</v>
      </c>
      <c r="E518" s="311">
        <v>99</v>
      </c>
      <c r="F518" s="311">
        <v>90</v>
      </c>
      <c r="G518" s="311">
        <v>102</v>
      </c>
      <c r="H518" s="311">
        <v>126</v>
      </c>
      <c r="I518" s="126">
        <v>111</v>
      </c>
      <c r="J518" s="311">
        <v>133</v>
      </c>
      <c r="K518" s="311">
        <v>117</v>
      </c>
      <c r="L518" s="311">
        <v>108</v>
      </c>
      <c r="M518" s="311">
        <v>134</v>
      </c>
      <c r="N518" s="311">
        <f t="shared" si="89"/>
        <v>1102</v>
      </c>
    </row>
    <row r="519" spans="1:14" s="35" customFormat="1" hidden="1">
      <c r="A519" s="275"/>
      <c r="B519" s="275"/>
      <c r="C519" s="275" t="s">
        <v>312</v>
      </c>
      <c r="D519" s="311">
        <v>110</v>
      </c>
      <c r="E519" s="311">
        <v>116</v>
      </c>
      <c r="F519" s="311">
        <v>121</v>
      </c>
      <c r="G519" s="311">
        <v>129</v>
      </c>
      <c r="H519" s="311">
        <v>142</v>
      </c>
      <c r="I519" s="126">
        <v>130</v>
      </c>
      <c r="J519" s="311">
        <v>131</v>
      </c>
      <c r="K519" s="311">
        <v>145</v>
      </c>
      <c r="L519" s="311">
        <v>149</v>
      </c>
      <c r="M519" s="311">
        <v>129</v>
      </c>
      <c r="N519" s="311">
        <f t="shared" si="89"/>
        <v>1302</v>
      </c>
    </row>
    <row r="520" spans="1:14" s="35" customFormat="1" hidden="1">
      <c r="A520" s="275"/>
      <c r="B520" s="40" t="s">
        <v>314</v>
      </c>
      <c r="C520" s="40"/>
      <c r="D520" s="42">
        <f t="shared" ref="D520:M520" si="90">SUM(D515:D519)</f>
        <v>463</v>
      </c>
      <c r="E520" s="42">
        <f t="shared" si="90"/>
        <v>548</v>
      </c>
      <c r="F520" s="42">
        <f t="shared" si="90"/>
        <v>648</v>
      </c>
      <c r="G520" s="42">
        <f t="shared" si="90"/>
        <v>631</v>
      </c>
      <c r="H520" s="42">
        <f t="shared" si="90"/>
        <v>764</v>
      </c>
      <c r="I520" s="42">
        <f t="shared" si="90"/>
        <v>694</v>
      </c>
      <c r="J520" s="42">
        <f t="shared" si="90"/>
        <v>872</v>
      </c>
      <c r="K520" s="42">
        <f t="shared" si="90"/>
        <v>899</v>
      </c>
      <c r="L520" s="42">
        <f t="shared" si="90"/>
        <v>842</v>
      </c>
      <c r="M520" s="42">
        <f t="shared" si="90"/>
        <v>834</v>
      </c>
      <c r="N520" s="42">
        <f t="shared" si="89"/>
        <v>7195</v>
      </c>
    </row>
    <row r="521" spans="1:14" s="35" customFormat="1" hidden="1">
      <c r="A521" s="275"/>
      <c r="B521" s="275"/>
      <c r="C521" s="275"/>
      <c r="D521" s="311"/>
      <c r="E521" s="311"/>
      <c r="F521" s="311"/>
      <c r="G521" s="311"/>
      <c r="H521" s="311"/>
      <c r="I521" s="126"/>
      <c r="J521" s="311"/>
      <c r="K521" s="311"/>
      <c r="L521" s="311"/>
      <c r="M521" s="311"/>
      <c r="N521" s="311"/>
    </row>
    <row r="522" spans="1:14" s="35" customFormat="1" hidden="1">
      <c r="A522" s="275"/>
      <c r="B522" s="275" t="s">
        <v>315</v>
      </c>
      <c r="C522" s="275" t="s">
        <v>288</v>
      </c>
      <c r="D522" s="311">
        <v>311</v>
      </c>
      <c r="E522" s="311">
        <v>256</v>
      </c>
      <c r="F522" s="311">
        <v>311</v>
      </c>
      <c r="G522" s="311">
        <v>300</v>
      </c>
      <c r="H522" s="311">
        <v>249</v>
      </c>
      <c r="I522" s="126">
        <v>203</v>
      </c>
      <c r="J522" s="311">
        <v>303</v>
      </c>
      <c r="K522" s="311">
        <v>312</v>
      </c>
      <c r="L522" s="311">
        <v>334</v>
      </c>
      <c r="M522" s="311">
        <v>389</v>
      </c>
      <c r="N522" s="311">
        <f t="shared" ref="N522:N531" si="91">SUM(D522:M522)</f>
        <v>2968</v>
      </c>
    </row>
    <row r="523" spans="1:14" s="35" customFormat="1" hidden="1">
      <c r="A523" s="275"/>
      <c r="B523" s="275"/>
      <c r="C523" s="275" t="s">
        <v>200</v>
      </c>
      <c r="D523" s="311">
        <v>119</v>
      </c>
      <c r="E523" s="311">
        <v>118</v>
      </c>
      <c r="F523" s="311">
        <v>118</v>
      </c>
      <c r="G523" s="311">
        <v>118</v>
      </c>
      <c r="H523" s="311">
        <v>100</v>
      </c>
      <c r="I523" s="126">
        <v>85</v>
      </c>
      <c r="J523" s="311">
        <v>114</v>
      </c>
      <c r="K523" s="311">
        <v>117</v>
      </c>
      <c r="L523" s="311">
        <v>128</v>
      </c>
      <c r="M523" s="311">
        <v>119</v>
      </c>
      <c r="N523" s="311">
        <f t="shared" si="91"/>
        <v>1136</v>
      </c>
    </row>
    <row r="524" spans="1:14" s="35" customFormat="1" hidden="1">
      <c r="A524" s="275"/>
      <c r="B524" s="275"/>
      <c r="C524" s="275" t="s">
        <v>199</v>
      </c>
      <c r="D524" s="311">
        <v>238</v>
      </c>
      <c r="E524" s="311">
        <v>249</v>
      </c>
      <c r="F524" s="311">
        <v>288</v>
      </c>
      <c r="G524" s="311">
        <v>271</v>
      </c>
      <c r="H524" s="311">
        <v>257</v>
      </c>
      <c r="I524" s="126">
        <v>214</v>
      </c>
      <c r="J524" s="311">
        <v>287</v>
      </c>
      <c r="K524" s="311">
        <v>285</v>
      </c>
      <c r="L524" s="311">
        <v>298</v>
      </c>
      <c r="M524" s="311">
        <v>322</v>
      </c>
      <c r="N524" s="311">
        <f t="shared" si="91"/>
        <v>2709</v>
      </c>
    </row>
    <row r="525" spans="1:14" s="35" customFormat="1" hidden="1">
      <c r="A525" s="275"/>
      <c r="B525" s="275"/>
      <c r="C525" s="275" t="s">
        <v>311</v>
      </c>
      <c r="D525" s="311">
        <v>112</v>
      </c>
      <c r="E525" s="311">
        <v>110</v>
      </c>
      <c r="F525" s="311">
        <v>114</v>
      </c>
      <c r="G525" s="311">
        <v>122</v>
      </c>
      <c r="H525" s="311">
        <v>97</v>
      </c>
      <c r="I525" s="126">
        <v>81</v>
      </c>
      <c r="J525" s="311">
        <v>113</v>
      </c>
      <c r="K525" s="311">
        <v>98</v>
      </c>
      <c r="L525" s="311">
        <v>109</v>
      </c>
      <c r="M525" s="311">
        <v>129</v>
      </c>
      <c r="N525" s="311">
        <f t="shared" si="91"/>
        <v>1085</v>
      </c>
    </row>
    <row r="526" spans="1:14" s="35" customFormat="1" hidden="1">
      <c r="A526" s="275"/>
      <c r="B526" s="275"/>
      <c r="C526" s="275" t="s">
        <v>312</v>
      </c>
      <c r="D526" s="311">
        <v>42</v>
      </c>
      <c r="E526" s="311">
        <v>47</v>
      </c>
      <c r="F526" s="311">
        <v>34</v>
      </c>
      <c r="G526" s="311">
        <v>39</v>
      </c>
      <c r="H526" s="311">
        <v>42</v>
      </c>
      <c r="I526" s="126">
        <v>36</v>
      </c>
      <c r="J526" s="311">
        <v>41</v>
      </c>
      <c r="K526" s="311">
        <v>34</v>
      </c>
      <c r="L526" s="311">
        <v>37</v>
      </c>
      <c r="M526" s="311">
        <v>46</v>
      </c>
      <c r="N526" s="311">
        <f t="shared" si="91"/>
        <v>398</v>
      </c>
    </row>
    <row r="527" spans="1:14" s="35" customFormat="1" hidden="1">
      <c r="A527" s="275"/>
      <c r="B527" s="40" t="s">
        <v>316</v>
      </c>
      <c r="C527" s="40"/>
      <c r="D527" s="42">
        <f t="shared" ref="D527:M527" si="92">SUM(D522:D526)</f>
        <v>822</v>
      </c>
      <c r="E527" s="42">
        <f t="shared" si="92"/>
        <v>780</v>
      </c>
      <c r="F527" s="42">
        <f t="shared" si="92"/>
        <v>865</v>
      </c>
      <c r="G527" s="42">
        <f t="shared" si="92"/>
        <v>850</v>
      </c>
      <c r="H527" s="42">
        <f t="shared" si="92"/>
        <v>745</v>
      </c>
      <c r="I527" s="42">
        <f t="shared" si="92"/>
        <v>619</v>
      </c>
      <c r="J527" s="42">
        <f t="shared" si="92"/>
        <v>858</v>
      </c>
      <c r="K527" s="42">
        <f t="shared" si="92"/>
        <v>846</v>
      </c>
      <c r="L527" s="42">
        <f t="shared" si="92"/>
        <v>906</v>
      </c>
      <c r="M527" s="42">
        <f t="shared" si="92"/>
        <v>1005</v>
      </c>
      <c r="N527" s="42">
        <f t="shared" si="91"/>
        <v>8296</v>
      </c>
    </row>
    <row r="528" spans="1:14" s="35" customFormat="1" hidden="1">
      <c r="A528" s="275"/>
      <c r="B528" s="275"/>
      <c r="C528" s="275"/>
      <c r="D528" s="311"/>
      <c r="E528" s="311"/>
      <c r="F528" s="311"/>
      <c r="G528" s="311"/>
      <c r="H528" s="311"/>
      <c r="I528" s="126"/>
      <c r="J528" s="311"/>
      <c r="K528" s="311"/>
      <c r="L528" s="311"/>
      <c r="M528" s="311"/>
      <c r="N528" s="311"/>
    </row>
    <row r="529" spans="1:16" s="35" customFormat="1" hidden="1">
      <c r="A529" s="37" t="s">
        <v>317</v>
      </c>
      <c r="B529" s="37"/>
      <c r="C529" s="37"/>
      <c r="D529" s="41">
        <f>D513+D520+D527</f>
        <v>3530</v>
      </c>
      <c r="E529" s="41">
        <f>E513+E520+E527</f>
        <v>3423</v>
      </c>
      <c r="F529" s="41">
        <f>F513+F520+F527</f>
        <v>3519</v>
      </c>
      <c r="G529" s="41">
        <f>G513+G520+G527</f>
        <v>3781</v>
      </c>
      <c r="H529" s="41">
        <f>H513+H520+H527</f>
        <v>3851</v>
      </c>
      <c r="I529" s="127">
        <v>3451</v>
      </c>
      <c r="J529" s="41">
        <v>3430</v>
      </c>
      <c r="K529" s="41">
        <v>3214</v>
      </c>
      <c r="L529" s="41">
        <v>3214</v>
      </c>
      <c r="M529" s="41">
        <v>3214</v>
      </c>
      <c r="N529" s="41">
        <f t="shared" si="91"/>
        <v>34627</v>
      </c>
    </row>
    <row r="530" spans="1:16" s="35" customFormat="1" hidden="1">
      <c r="A530" s="45"/>
      <c r="B530" s="45"/>
      <c r="C530" s="45"/>
      <c r="D530" s="46"/>
      <c r="E530" s="46"/>
      <c r="F530" s="46"/>
      <c r="G530" s="46"/>
      <c r="H530" s="46"/>
      <c r="I530" s="128"/>
      <c r="J530" s="46"/>
      <c r="K530" s="46"/>
      <c r="L530" s="46"/>
      <c r="M530" s="46"/>
      <c r="N530" s="46"/>
      <c r="O530" s="275"/>
      <c r="P530" s="275"/>
    </row>
    <row r="531" spans="1:16" s="35" customFormat="1" ht="15" hidden="1" thickBot="1">
      <c r="A531" s="43" t="s">
        <v>322</v>
      </c>
      <c r="B531" s="43"/>
      <c r="C531" s="43"/>
      <c r="D531" s="44">
        <f t="shared" ref="D531:M531" si="93">D529+D506</f>
        <v>5002</v>
      </c>
      <c r="E531" s="44">
        <f t="shared" si="93"/>
        <v>4815</v>
      </c>
      <c r="F531" s="44">
        <f t="shared" si="93"/>
        <v>4619</v>
      </c>
      <c r="G531" s="44">
        <f t="shared" si="93"/>
        <v>4763</v>
      </c>
      <c r="H531" s="44">
        <f t="shared" si="93"/>
        <v>4627</v>
      </c>
      <c r="I531" s="44">
        <f t="shared" si="93"/>
        <v>4089</v>
      </c>
      <c r="J531" s="44">
        <f t="shared" si="93"/>
        <v>4153</v>
      </c>
      <c r="K531" s="44">
        <f t="shared" si="93"/>
        <v>3565</v>
      </c>
      <c r="L531" s="44">
        <f t="shared" si="93"/>
        <v>3442</v>
      </c>
      <c r="M531" s="44">
        <f t="shared" si="93"/>
        <v>3745</v>
      </c>
      <c r="N531" s="44">
        <f t="shared" si="91"/>
        <v>42820</v>
      </c>
      <c r="O531" s="275"/>
      <c r="P531" s="276">
        <f>N531/10*12</f>
        <v>51384</v>
      </c>
    </row>
    <row r="532" spans="1:16" s="35" customFormat="1" ht="15" hidden="1" thickTop="1">
      <c r="A532" s="275"/>
      <c r="B532" s="275"/>
      <c r="C532" s="275"/>
      <c r="D532" s="398"/>
      <c r="E532" s="398"/>
      <c r="F532" s="398"/>
      <c r="G532" s="398"/>
      <c r="H532" s="398"/>
      <c r="I532" s="129"/>
      <c r="J532" s="275"/>
      <c r="K532" s="275"/>
      <c r="L532" s="275"/>
      <c r="M532" s="275"/>
      <c r="N532" s="275"/>
      <c r="O532" s="275"/>
      <c r="P532" s="275"/>
    </row>
    <row r="533" spans="1:16" hidden="1">
      <c r="A533" s="260"/>
      <c r="B533" s="260"/>
      <c r="C533" s="260"/>
      <c r="D533" s="260"/>
      <c r="E533" s="260"/>
      <c r="F533" s="260"/>
      <c r="G533" s="287">
        <f>SUM(D531:J531)</f>
        <v>32068</v>
      </c>
      <c r="H533" s="260"/>
      <c r="J533" s="260"/>
      <c r="K533" s="260"/>
      <c r="L533" s="260"/>
      <c r="M533" s="260"/>
      <c r="N533" s="260"/>
      <c r="O533" s="260"/>
      <c r="P533" s="260"/>
    </row>
    <row r="534" spans="1:16" hidden="1">
      <c r="A534" s="260"/>
      <c r="B534" s="260"/>
      <c r="C534" s="260"/>
      <c r="D534" s="275"/>
      <c r="E534" s="260"/>
      <c r="F534" s="260"/>
      <c r="G534" s="260"/>
      <c r="H534" s="260"/>
      <c r="J534" s="260"/>
      <c r="K534" s="260"/>
      <c r="L534" s="260"/>
      <c r="M534" s="260"/>
      <c r="N534" s="260"/>
      <c r="O534" s="260"/>
      <c r="P534" s="260"/>
    </row>
    <row r="535" spans="1:16" ht="15" hidden="1" thickBot="1">
      <c r="A535" s="86" t="s">
        <v>323</v>
      </c>
      <c r="B535" s="334"/>
      <c r="C535" s="334"/>
      <c r="D535" s="334"/>
      <c r="E535" s="334"/>
      <c r="F535" s="334"/>
      <c r="G535" s="334"/>
      <c r="H535" s="334"/>
      <c r="I535" s="120"/>
      <c r="J535" s="334"/>
      <c r="K535" s="260"/>
      <c r="L535" s="260"/>
      <c r="M535" s="260"/>
      <c r="N535" s="260"/>
      <c r="O535" s="260"/>
      <c r="P535" s="260"/>
    </row>
    <row r="536" spans="1:16" hidden="1">
      <c r="A536" s="108"/>
      <c r="B536" s="303"/>
      <c r="C536" s="303"/>
      <c r="D536" s="303"/>
      <c r="E536" s="303"/>
      <c r="F536" s="303"/>
      <c r="G536" s="303"/>
      <c r="H536" s="303"/>
      <c r="I536" s="123"/>
      <c r="J536" s="303"/>
      <c r="K536" s="260"/>
      <c r="L536" s="260"/>
      <c r="M536" s="260"/>
      <c r="N536" s="260"/>
      <c r="O536" s="260"/>
      <c r="P536" s="260"/>
    </row>
    <row r="537" spans="1:16" s="35" customFormat="1" hidden="1">
      <c r="A537" s="36" t="s">
        <v>324</v>
      </c>
      <c r="B537" s="275"/>
      <c r="C537" s="275"/>
      <c r="D537" s="398"/>
      <c r="E537" s="398"/>
      <c r="F537" s="398"/>
      <c r="G537" s="398"/>
      <c r="H537" s="398"/>
      <c r="I537" s="129"/>
      <c r="J537" s="275"/>
      <c r="K537" s="275"/>
      <c r="L537" s="275"/>
      <c r="M537" s="275"/>
      <c r="N537" s="275"/>
      <c r="O537" s="275"/>
      <c r="P537" s="275"/>
    </row>
    <row r="538" spans="1:16" s="35" customFormat="1" hidden="1">
      <c r="A538" s="38" t="s">
        <v>297</v>
      </c>
      <c r="B538" s="38" t="s">
        <v>298</v>
      </c>
      <c r="C538" s="38" t="s">
        <v>299</v>
      </c>
      <c r="D538" s="39" t="s">
        <v>300</v>
      </c>
      <c r="E538" s="39" t="s">
        <v>301</v>
      </c>
      <c r="F538" s="39" t="s">
        <v>302</v>
      </c>
      <c r="G538" s="39" t="s">
        <v>303</v>
      </c>
      <c r="H538" s="39" t="s">
        <v>24</v>
      </c>
      <c r="I538" s="125" t="s">
        <v>160</v>
      </c>
      <c r="J538" s="39" t="s">
        <v>161</v>
      </c>
      <c r="K538" s="39" t="s">
        <v>162</v>
      </c>
      <c r="L538" s="39" t="s">
        <v>304</v>
      </c>
      <c r="M538" s="39" t="s">
        <v>305</v>
      </c>
      <c r="N538" s="39" t="s">
        <v>157</v>
      </c>
      <c r="O538" s="275"/>
      <c r="P538" s="275"/>
    </row>
    <row r="539" spans="1:16" s="35" customFormat="1" hidden="1">
      <c r="A539" s="275" t="s">
        <v>307</v>
      </c>
      <c r="B539" s="275" t="s">
        <v>308</v>
      </c>
      <c r="C539" s="275" t="s">
        <v>287</v>
      </c>
      <c r="D539" s="311">
        <v>566</v>
      </c>
      <c r="E539" s="311">
        <v>568</v>
      </c>
      <c r="F539" s="311">
        <v>464</v>
      </c>
      <c r="G539" s="311">
        <v>712</v>
      </c>
      <c r="H539" s="311">
        <v>1041</v>
      </c>
      <c r="I539" s="126">
        <v>1374</v>
      </c>
      <c r="J539" s="311">
        <v>1169</v>
      </c>
      <c r="K539" s="311">
        <v>1041</v>
      </c>
      <c r="L539" s="311">
        <v>491</v>
      </c>
      <c r="M539" s="311">
        <v>717</v>
      </c>
      <c r="N539" s="311">
        <f>SUM(D539:M539)</f>
        <v>8143</v>
      </c>
      <c r="O539" s="275"/>
      <c r="P539" s="275"/>
    </row>
    <row r="540" spans="1:16" s="35" customFormat="1" hidden="1">
      <c r="A540" s="275"/>
      <c r="B540" s="275"/>
      <c r="C540" s="275" t="s">
        <v>284</v>
      </c>
      <c r="D540" s="311">
        <v>776</v>
      </c>
      <c r="E540" s="311">
        <v>779</v>
      </c>
      <c r="F540" s="311">
        <v>648</v>
      </c>
      <c r="G540" s="311">
        <v>1311</v>
      </c>
      <c r="H540" s="311">
        <v>1849</v>
      </c>
      <c r="I540" s="126">
        <v>7434</v>
      </c>
      <c r="J540" s="311">
        <v>6353</v>
      </c>
      <c r="K540" s="311">
        <v>7677</v>
      </c>
      <c r="L540" s="311">
        <v>4171</v>
      </c>
      <c r="M540" s="311">
        <v>7133</v>
      </c>
      <c r="N540" s="311">
        <f>SUM(D540:M540)</f>
        <v>38131</v>
      </c>
      <c r="O540" s="275"/>
      <c r="P540" s="275"/>
    </row>
    <row r="541" spans="1:16" s="35" customFormat="1" hidden="1">
      <c r="A541" s="275"/>
      <c r="B541" s="275"/>
      <c r="C541" s="275" t="s">
        <v>286</v>
      </c>
      <c r="D541" s="311">
        <v>353</v>
      </c>
      <c r="E541" s="311">
        <v>333</v>
      </c>
      <c r="F541" s="311">
        <v>276</v>
      </c>
      <c r="G541" s="311">
        <v>4151</v>
      </c>
      <c r="H541" s="311">
        <v>5185</v>
      </c>
      <c r="I541" s="126">
        <v>2560</v>
      </c>
      <c r="J541" s="311">
        <v>2208</v>
      </c>
      <c r="K541" s="311">
        <v>2220</v>
      </c>
      <c r="L541" s="311">
        <v>1076</v>
      </c>
      <c r="M541" s="311">
        <v>1516</v>
      </c>
      <c r="N541" s="311">
        <f>SUM(D541:M541)</f>
        <v>19878</v>
      </c>
      <c r="O541" s="275"/>
      <c r="P541" s="275"/>
    </row>
    <row r="542" spans="1:16" s="35" customFormat="1" hidden="1">
      <c r="A542" s="37" t="s">
        <v>309</v>
      </c>
      <c r="B542" s="37"/>
      <c r="C542" s="37"/>
      <c r="D542" s="41">
        <f t="shared" ref="D542:M542" si="94">SUM(D539:D541)</f>
        <v>1695</v>
      </c>
      <c r="E542" s="41">
        <f t="shared" si="94"/>
        <v>1680</v>
      </c>
      <c r="F542" s="41">
        <f t="shared" si="94"/>
        <v>1388</v>
      </c>
      <c r="G542" s="41">
        <f t="shared" si="94"/>
        <v>6174</v>
      </c>
      <c r="H542" s="41">
        <f t="shared" si="94"/>
        <v>8075</v>
      </c>
      <c r="I542" s="41">
        <f t="shared" si="94"/>
        <v>11368</v>
      </c>
      <c r="J542" s="41">
        <f t="shared" si="94"/>
        <v>9730</v>
      </c>
      <c r="K542" s="41">
        <f t="shared" si="94"/>
        <v>10938</v>
      </c>
      <c r="L542" s="41">
        <f t="shared" si="94"/>
        <v>5738</v>
      </c>
      <c r="M542" s="41">
        <f t="shared" si="94"/>
        <v>9366</v>
      </c>
      <c r="N542" s="41">
        <f>SUM(D542:M542)</f>
        <v>66152</v>
      </c>
      <c r="O542" s="275"/>
      <c r="P542" s="275"/>
    </row>
    <row r="543" spans="1:16" s="35" customFormat="1" hidden="1">
      <c r="A543" s="275"/>
      <c r="B543" s="275"/>
      <c r="C543" s="275"/>
      <c r="D543" s="311"/>
      <c r="E543" s="311"/>
      <c r="F543" s="311"/>
      <c r="G543" s="311"/>
      <c r="H543" s="311"/>
      <c r="I543" s="126"/>
      <c r="J543" s="311"/>
      <c r="K543" s="311"/>
      <c r="L543" s="311"/>
      <c r="M543" s="311"/>
      <c r="N543" s="311"/>
      <c r="O543" s="275"/>
      <c r="P543" s="275"/>
    </row>
    <row r="544" spans="1:16" s="35" customFormat="1" hidden="1">
      <c r="A544" s="275" t="s">
        <v>174</v>
      </c>
      <c r="B544" s="275" t="s">
        <v>310</v>
      </c>
      <c r="C544" s="275" t="s">
        <v>288</v>
      </c>
      <c r="D544" s="311">
        <v>304</v>
      </c>
      <c r="E544" s="311">
        <v>288</v>
      </c>
      <c r="F544" s="311">
        <v>340</v>
      </c>
      <c r="G544" s="311">
        <v>576</v>
      </c>
      <c r="H544" s="311">
        <v>877</v>
      </c>
      <c r="I544" s="126">
        <v>850</v>
      </c>
      <c r="J544" s="311">
        <v>965</v>
      </c>
      <c r="K544" s="311">
        <v>853</v>
      </c>
      <c r="L544" s="311">
        <v>1250</v>
      </c>
      <c r="M544" s="311">
        <v>1313</v>
      </c>
      <c r="N544" s="311">
        <f t="shared" ref="N544:N549" si="95">SUM(D544:M544)</f>
        <v>7616</v>
      </c>
      <c r="O544" s="275"/>
      <c r="P544" s="275"/>
    </row>
    <row r="545" spans="1:16" s="35" customFormat="1" hidden="1">
      <c r="A545" s="275"/>
      <c r="B545" s="275"/>
      <c r="C545" s="275" t="s">
        <v>200</v>
      </c>
      <c r="D545" s="311">
        <v>180</v>
      </c>
      <c r="E545" s="311">
        <v>212</v>
      </c>
      <c r="F545" s="311">
        <v>200</v>
      </c>
      <c r="G545" s="311">
        <v>355</v>
      </c>
      <c r="H545" s="311">
        <v>544</v>
      </c>
      <c r="I545" s="126">
        <v>597</v>
      </c>
      <c r="J545" s="311">
        <v>602</v>
      </c>
      <c r="K545" s="311">
        <v>547</v>
      </c>
      <c r="L545" s="311">
        <v>775</v>
      </c>
      <c r="M545" s="311">
        <v>827</v>
      </c>
      <c r="N545" s="311">
        <f t="shared" si="95"/>
        <v>4839</v>
      </c>
      <c r="O545" s="275"/>
      <c r="P545" s="275"/>
    </row>
    <row r="546" spans="1:16" s="35" customFormat="1" hidden="1">
      <c r="B546" s="275"/>
      <c r="C546" s="275" t="s">
        <v>199</v>
      </c>
      <c r="D546" s="311">
        <v>973</v>
      </c>
      <c r="E546" s="311">
        <v>993</v>
      </c>
      <c r="F546" s="311">
        <v>884</v>
      </c>
      <c r="G546" s="311">
        <v>2814</v>
      </c>
      <c r="H546" s="311">
        <v>3773</v>
      </c>
      <c r="I546" s="126">
        <v>4216</v>
      </c>
      <c r="J546" s="311">
        <v>5416</v>
      </c>
      <c r="K546" s="311">
        <v>5727</v>
      </c>
      <c r="L546" s="311">
        <v>6022</v>
      </c>
      <c r="M546" s="311">
        <v>5472</v>
      </c>
      <c r="N546" s="311">
        <f t="shared" si="95"/>
        <v>36290</v>
      </c>
    </row>
    <row r="547" spans="1:16" s="35" customFormat="1" hidden="1">
      <c r="B547" s="275"/>
      <c r="C547" s="275" t="s">
        <v>311</v>
      </c>
      <c r="D547" s="311">
        <v>700</v>
      </c>
      <c r="E547" s="311">
        <v>655</v>
      </c>
      <c r="F547" s="311">
        <v>492</v>
      </c>
      <c r="G547" s="311">
        <v>1073</v>
      </c>
      <c r="H547" s="311">
        <v>1174</v>
      </c>
      <c r="I547" s="126">
        <v>1174</v>
      </c>
      <c r="J547" s="311">
        <v>1329</v>
      </c>
      <c r="K547" s="311">
        <v>1163</v>
      </c>
      <c r="L547" s="311">
        <v>1160</v>
      </c>
      <c r="M547" s="311">
        <v>1095</v>
      </c>
      <c r="N547" s="311">
        <f t="shared" si="95"/>
        <v>10015</v>
      </c>
    </row>
    <row r="548" spans="1:16" s="35" customFormat="1" hidden="1">
      <c r="B548" s="275"/>
      <c r="C548" s="275" t="s">
        <v>312</v>
      </c>
      <c r="D548" s="311">
        <v>357</v>
      </c>
      <c r="E548" s="311">
        <v>424</v>
      </c>
      <c r="F548" s="311">
        <v>458</v>
      </c>
      <c r="G548" s="311">
        <v>3486</v>
      </c>
      <c r="H548" s="311">
        <v>4794</v>
      </c>
      <c r="I548" s="126">
        <v>4320</v>
      </c>
      <c r="J548" s="311">
        <v>5938</v>
      </c>
      <c r="K548" s="311">
        <v>6487</v>
      </c>
      <c r="L548" s="311">
        <v>6117</v>
      </c>
      <c r="M548" s="311">
        <v>5761</v>
      </c>
      <c r="N548" s="311">
        <f t="shared" si="95"/>
        <v>38142</v>
      </c>
    </row>
    <row r="549" spans="1:16" s="35" customFormat="1" hidden="1">
      <c r="B549" s="40" t="s">
        <v>313</v>
      </c>
      <c r="C549" s="40"/>
      <c r="D549" s="42">
        <f t="shared" ref="D549:M549" si="96">SUM(D544:D548)</f>
        <v>2514</v>
      </c>
      <c r="E549" s="42">
        <f t="shared" si="96"/>
        <v>2572</v>
      </c>
      <c r="F549" s="42">
        <f t="shared" si="96"/>
        <v>2374</v>
      </c>
      <c r="G549" s="42">
        <f t="shared" si="96"/>
        <v>8304</v>
      </c>
      <c r="H549" s="42">
        <f t="shared" si="96"/>
        <v>11162</v>
      </c>
      <c r="I549" s="42">
        <f t="shared" si="96"/>
        <v>11157</v>
      </c>
      <c r="J549" s="42">
        <f t="shared" si="96"/>
        <v>14250</v>
      </c>
      <c r="K549" s="42">
        <f t="shared" si="96"/>
        <v>14777</v>
      </c>
      <c r="L549" s="42">
        <f t="shared" si="96"/>
        <v>15324</v>
      </c>
      <c r="M549" s="42">
        <f t="shared" si="96"/>
        <v>14468</v>
      </c>
      <c r="N549" s="42">
        <f t="shared" si="95"/>
        <v>96902</v>
      </c>
    </row>
    <row r="550" spans="1:16" s="35" customFormat="1" hidden="1">
      <c r="B550" s="275"/>
      <c r="C550" s="275"/>
      <c r="D550" s="311"/>
      <c r="E550" s="311"/>
      <c r="F550" s="311"/>
      <c r="G550" s="311"/>
      <c r="H550" s="311"/>
      <c r="I550" s="126"/>
      <c r="J550" s="311"/>
      <c r="K550" s="311"/>
      <c r="L550" s="311"/>
      <c r="M550" s="311"/>
      <c r="N550" s="311"/>
    </row>
    <row r="551" spans="1:16" s="35" customFormat="1" hidden="1">
      <c r="B551" s="275" t="s">
        <v>184</v>
      </c>
      <c r="C551" s="275" t="s">
        <v>288</v>
      </c>
      <c r="D551" s="311">
        <v>67</v>
      </c>
      <c r="E551" s="311">
        <v>105</v>
      </c>
      <c r="F551" s="311">
        <v>211</v>
      </c>
      <c r="G551" s="311">
        <v>125</v>
      </c>
      <c r="H551" s="311">
        <v>201</v>
      </c>
      <c r="I551" s="126">
        <v>182</v>
      </c>
      <c r="J551" s="311">
        <v>272</v>
      </c>
      <c r="K551" s="311">
        <v>236</v>
      </c>
      <c r="L551" s="311">
        <v>209</v>
      </c>
      <c r="M551" s="311">
        <v>258</v>
      </c>
      <c r="N551" s="311">
        <f t="shared" ref="N551:N556" si="97">SUM(D551:M551)</f>
        <v>1866</v>
      </c>
    </row>
    <row r="552" spans="1:16" s="35" customFormat="1" hidden="1">
      <c r="B552" s="275"/>
      <c r="C552" s="275" t="s">
        <v>200</v>
      </c>
      <c r="D552" s="311">
        <v>54</v>
      </c>
      <c r="E552" s="311">
        <v>68</v>
      </c>
      <c r="F552" s="311">
        <v>102</v>
      </c>
      <c r="G552" s="311">
        <v>71</v>
      </c>
      <c r="H552" s="311">
        <v>87</v>
      </c>
      <c r="I552" s="126">
        <v>87</v>
      </c>
      <c r="J552" s="311">
        <v>130</v>
      </c>
      <c r="K552" s="311">
        <v>107</v>
      </c>
      <c r="L552" s="311">
        <v>112</v>
      </c>
      <c r="M552" s="311">
        <v>127</v>
      </c>
      <c r="N552" s="311">
        <f t="shared" si="97"/>
        <v>945</v>
      </c>
    </row>
    <row r="553" spans="1:16" s="35" customFormat="1" hidden="1">
      <c r="B553" s="275"/>
      <c r="C553" s="275" t="s">
        <v>199</v>
      </c>
      <c r="D553" s="311">
        <v>160</v>
      </c>
      <c r="E553" s="311">
        <v>183</v>
      </c>
      <c r="F553" s="311">
        <v>228</v>
      </c>
      <c r="G553" s="311">
        <v>191</v>
      </c>
      <c r="H553" s="311">
        <v>229</v>
      </c>
      <c r="I553" s="126">
        <v>311</v>
      </c>
      <c r="J553" s="311">
        <v>334</v>
      </c>
      <c r="K553" s="311">
        <v>327</v>
      </c>
      <c r="L553" s="311">
        <v>322</v>
      </c>
      <c r="M553" s="311">
        <v>365</v>
      </c>
      <c r="N553" s="311">
        <f t="shared" si="97"/>
        <v>2650</v>
      </c>
    </row>
    <row r="554" spans="1:16" s="35" customFormat="1" hidden="1">
      <c r="B554" s="275"/>
      <c r="C554" s="275" t="s">
        <v>311</v>
      </c>
      <c r="D554" s="311">
        <v>85</v>
      </c>
      <c r="E554" s="311">
        <v>102</v>
      </c>
      <c r="F554" s="311">
        <v>137</v>
      </c>
      <c r="G554" s="311">
        <v>92</v>
      </c>
      <c r="H554" s="311">
        <v>123</v>
      </c>
      <c r="I554" s="126">
        <v>140</v>
      </c>
      <c r="J554" s="311">
        <v>151</v>
      </c>
      <c r="K554" s="311">
        <v>119</v>
      </c>
      <c r="L554" s="311">
        <v>124</v>
      </c>
      <c r="M554" s="311">
        <v>171</v>
      </c>
      <c r="N554" s="311">
        <f t="shared" si="97"/>
        <v>1244</v>
      </c>
    </row>
    <row r="555" spans="1:16" s="35" customFormat="1" hidden="1">
      <c r="B555" s="275"/>
      <c r="C555" s="275" t="s">
        <v>312</v>
      </c>
      <c r="D555" s="311">
        <v>109</v>
      </c>
      <c r="E555" s="311">
        <v>121</v>
      </c>
      <c r="F555" s="311">
        <v>171</v>
      </c>
      <c r="G555" s="311">
        <v>137</v>
      </c>
      <c r="H555" s="311">
        <v>153</v>
      </c>
      <c r="I555" s="126">
        <v>150</v>
      </c>
      <c r="J555" s="311">
        <v>155</v>
      </c>
      <c r="K555" s="311">
        <v>166</v>
      </c>
      <c r="L555" s="311">
        <v>181</v>
      </c>
      <c r="M555" s="311">
        <v>174</v>
      </c>
      <c r="N555" s="311">
        <f t="shared" si="97"/>
        <v>1517</v>
      </c>
    </row>
    <row r="556" spans="1:16" s="35" customFormat="1" hidden="1">
      <c r="B556" s="40" t="s">
        <v>314</v>
      </c>
      <c r="C556" s="40"/>
      <c r="D556" s="42">
        <f t="shared" ref="D556:M556" si="98">SUM(D551:D555)</f>
        <v>475</v>
      </c>
      <c r="E556" s="42">
        <f t="shared" si="98"/>
        <v>579</v>
      </c>
      <c r="F556" s="42">
        <f t="shared" si="98"/>
        <v>849</v>
      </c>
      <c r="G556" s="42">
        <f t="shared" si="98"/>
        <v>616</v>
      </c>
      <c r="H556" s="42">
        <f t="shared" si="98"/>
        <v>793</v>
      </c>
      <c r="I556" s="42">
        <f t="shared" si="98"/>
        <v>870</v>
      </c>
      <c r="J556" s="42">
        <f t="shared" si="98"/>
        <v>1042</v>
      </c>
      <c r="K556" s="42">
        <f t="shared" si="98"/>
        <v>955</v>
      </c>
      <c r="L556" s="42">
        <f t="shared" si="98"/>
        <v>948</v>
      </c>
      <c r="M556" s="42">
        <f t="shared" si="98"/>
        <v>1095</v>
      </c>
      <c r="N556" s="42">
        <f t="shared" si="97"/>
        <v>8222</v>
      </c>
    </row>
    <row r="557" spans="1:16" s="35" customFormat="1" hidden="1">
      <c r="B557" s="275"/>
      <c r="C557" s="275"/>
      <c r="D557" s="311"/>
      <c r="E557" s="311"/>
      <c r="F557" s="311"/>
      <c r="G557" s="311"/>
      <c r="H557" s="311"/>
      <c r="I557" s="126"/>
      <c r="J557" s="311"/>
      <c r="K557" s="311"/>
      <c r="L557" s="311"/>
      <c r="M557" s="311"/>
      <c r="N557" s="311"/>
    </row>
    <row r="558" spans="1:16" s="35" customFormat="1" hidden="1">
      <c r="B558" s="275" t="s">
        <v>315</v>
      </c>
      <c r="C558" s="275" t="s">
        <v>288</v>
      </c>
      <c r="D558" s="311">
        <v>320</v>
      </c>
      <c r="E558" s="311">
        <v>263</v>
      </c>
      <c r="F558" s="311">
        <v>325</v>
      </c>
      <c r="G558" s="311">
        <v>269</v>
      </c>
      <c r="H558" s="311">
        <v>244</v>
      </c>
      <c r="I558" s="126">
        <v>231</v>
      </c>
      <c r="J558" s="311">
        <v>371</v>
      </c>
      <c r="K558" s="311">
        <v>361</v>
      </c>
      <c r="L558" s="311">
        <v>363</v>
      </c>
      <c r="M558" s="311">
        <v>479</v>
      </c>
      <c r="N558" s="311">
        <f t="shared" ref="N558:N567" si="99">SUM(D558:M558)</f>
        <v>3226</v>
      </c>
    </row>
    <row r="559" spans="1:16" s="35" customFormat="1" hidden="1">
      <c r="B559" s="275"/>
      <c r="C559" s="275" t="s">
        <v>200</v>
      </c>
      <c r="D559" s="311">
        <v>120</v>
      </c>
      <c r="E559" s="311">
        <v>121</v>
      </c>
      <c r="F559" s="311">
        <v>121</v>
      </c>
      <c r="G559" s="311">
        <v>115</v>
      </c>
      <c r="H559" s="311">
        <v>94</v>
      </c>
      <c r="I559" s="126">
        <v>115</v>
      </c>
      <c r="J559" s="311">
        <v>144</v>
      </c>
      <c r="K559" s="311">
        <v>128</v>
      </c>
      <c r="L559" s="311">
        <v>139</v>
      </c>
      <c r="M559" s="311">
        <v>166</v>
      </c>
      <c r="N559" s="311">
        <f t="shared" si="99"/>
        <v>1263</v>
      </c>
    </row>
    <row r="560" spans="1:16" s="35" customFormat="1" hidden="1">
      <c r="B560" s="275"/>
      <c r="C560" s="275" t="s">
        <v>199</v>
      </c>
      <c r="D560" s="311">
        <v>244</v>
      </c>
      <c r="E560" s="311">
        <v>264</v>
      </c>
      <c r="F560" s="311">
        <v>293</v>
      </c>
      <c r="G560" s="311">
        <v>264</v>
      </c>
      <c r="H560" s="311">
        <v>262</v>
      </c>
      <c r="I560" s="126">
        <v>260</v>
      </c>
      <c r="J560" s="311">
        <v>341</v>
      </c>
      <c r="K560" s="311">
        <v>316</v>
      </c>
      <c r="L560" s="311">
        <v>342</v>
      </c>
      <c r="M560" s="311">
        <v>423</v>
      </c>
      <c r="N560" s="311">
        <f t="shared" si="99"/>
        <v>3009</v>
      </c>
    </row>
    <row r="561" spans="1:14" s="35" customFormat="1" hidden="1">
      <c r="B561" s="275"/>
      <c r="C561" s="275" t="s">
        <v>311</v>
      </c>
      <c r="D561" s="311">
        <v>115</v>
      </c>
      <c r="E561" s="311">
        <v>110</v>
      </c>
      <c r="F561" s="311">
        <v>114</v>
      </c>
      <c r="G561" s="311">
        <v>117</v>
      </c>
      <c r="H561" s="311">
        <v>95</v>
      </c>
      <c r="I561" s="126">
        <v>109</v>
      </c>
      <c r="J561" s="311">
        <v>144</v>
      </c>
      <c r="K561" s="311">
        <v>119</v>
      </c>
      <c r="L561" s="311">
        <v>126</v>
      </c>
      <c r="M561" s="311">
        <v>146</v>
      </c>
      <c r="N561" s="311">
        <f t="shared" si="99"/>
        <v>1195</v>
      </c>
    </row>
    <row r="562" spans="1:14" s="35" customFormat="1" hidden="1">
      <c r="A562" s="275"/>
      <c r="B562" s="275"/>
      <c r="C562" s="275" t="s">
        <v>312</v>
      </c>
      <c r="D562" s="311">
        <v>43</v>
      </c>
      <c r="E562" s="311">
        <v>47</v>
      </c>
      <c r="F562" s="311">
        <v>38</v>
      </c>
      <c r="G562" s="311">
        <v>35</v>
      </c>
      <c r="H562" s="311">
        <v>47</v>
      </c>
      <c r="I562" s="126">
        <v>42</v>
      </c>
      <c r="J562" s="311">
        <v>52</v>
      </c>
      <c r="K562" s="311">
        <v>37</v>
      </c>
      <c r="L562" s="311">
        <v>51</v>
      </c>
      <c r="M562" s="311">
        <v>52</v>
      </c>
      <c r="N562" s="311">
        <f t="shared" si="99"/>
        <v>444</v>
      </c>
    </row>
    <row r="563" spans="1:14" s="35" customFormat="1" hidden="1">
      <c r="A563" s="275"/>
      <c r="B563" s="40" t="s">
        <v>316</v>
      </c>
      <c r="C563" s="40"/>
      <c r="D563" s="42">
        <f t="shared" ref="D563:M563" si="100">SUM(D558:D562)</f>
        <v>842</v>
      </c>
      <c r="E563" s="42">
        <f t="shared" si="100"/>
        <v>805</v>
      </c>
      <c r="F563" s="42">
        <f t="shared" si="100"/>
        <v>891</v>
      </c>
      <c r="G563" s="42">
        <f t="shared" si="100"/>
        <v>800</v>
      </c>
      <c r="H563" s="42">
        <f t="shared" si="100"/>
        <v>742</v>
      </c>
      <c r="I563" s="42">
        <f t="shared" si="100"/>
        <v>757</v>
      </c>
      <c r="J563" s="42">
        <f t="shared" si="100"/>
        <v>1052</v>
      </c>
      <c r="K563" s="42">
        <f t="shared" si="100"/>
        <v>961</v>
      </c>
      <c r="L563" s="42">
        <f t="shared" si="100"/>
        <v>1021</v>
      </c>
      <c r="M563" s="42">
        <f t="shared" si="100"/>
        <v>1266</v>
      </c>
      <c r="N563" s="42">
        <f t="shared" si="99"/>
        <v>9137</v>
      </c>
    </row>
    <row r="564" spans="1:14" s="35" customFormat="1" hidden="1">
      <c r="A564" s="275"/>
      <c r="B564" s="275"/>
      <c r="C564" s="275"/>
      <c r="D564" s="311"/>
      <c r="E564" s="311"/>
      <c r="F564" s="311"/>
      <c r="G564" s="311"/>
      <c r="H564" s="311"/>
      <c r="I564" s="126"/>
      <c r="J564" s="311"/>
      <c r="K564" s="311"/>
      <c r="L564" s="311"/>
      <c r="M564" s="311"/>
      <c r="N564" s="311"/>
    </row>
    <row r="565" spans="1:14" s="35" customFormat="1" hidden="1">
      <c r="A565" s="37" t="s">
        <v>317</v>
      </c>
      <c r="B565" s="37"/>
      <c r="C565" s="37"/>
      <c r="D565" s="41">
        <f t="shared" ref="D565:M565" si="101">D549+D556+D563</f>
        <v>3831</v>
      </c>
      <c r="E565" s="41">
        <f t="shared" si="101"/>
        <v>3956</v>
      </c>
      <c r="F565" s="41">
        <f t="shared" si="101"/>
        <v>4114</v>
      </c>
      <c r="G565" s="41">
        <f t="shared" si="101"/>
        <v>9720</v>
      </c>
      <c r="H565" s="41">
        <f t="shared" si="101"/>
        <v>12697</v>
      </c>
      <c r="I565" s="41">
        <f t="shared" si="101"/>
        <v>12784</v>
      </c>
      <c r="J565" s="41">
        <f t="shared" si="101"/>
        <v>16344</v>
      </c>
      <c r="K565" s="41">
        <f t="shared" si="101"/>
        <v>16693</v>
      </c>
      <c r="L565" s="41">
        <f t="shared" si="101"/>
        <v>17293</v>
      </c>
      <c r="M565" s="41">
        <f t="shared" si="101"/>
        <v>16829</v>
      </c>
      <c r="N565" s="41">
        <f t="shared" si="99"/>
        <v>114261</v>
      </c>
    </row>
    <row r="566" spans="1:14" s="35" customFormat="1" hidden="1">
      <c r="A566" s="45"/>
      <c r="B566" s="45"/>
      <c r="C566" s="45"/>
      <c r="D566" s="46"/>
      <c r="E566" s="46"/>
      <c r="F566" s="46"/>
      <c r="G566" s="46"/>
      <c r="H566" s="46"/>
      <c r="I566" s="128"/>
      <c r="J566" s="46"/>
      <c r="K566" s="46"/>
      <c r="L566" s="46"/>
      <c r="M566" s="46"/>
      <c r="N566" s="46"/>
    </row>
    <row r="567" spans="1:14" s="35" customFormat="1" ht="15" hidden="1" thickBot="1">
      <c r="A567" s="43" t="s">
        <v>325</v>
      </c>
      <c r="B567" s="43"/>
      <c r="C567" s="43"/>
      <c r="D567" s="44">
        <f t="shared" ref="D567:M567" si="102">D565+D542</f>
        <v>5526</v>
      </c>
      <c r="E567" s="44">
        <f t="shared" si="102"/>
        <v>5636</v>
      </c>
      <c r="F567" s="44">
        <f t="shared" si="102"/>
        <v>5502</v>
      </c>
      <c r="G567" s="44">
        <f t="shared" si="102"/>
        <v>15894</v>
      </c>
      <c r="H567" s="44">
        <f t="shared" si="102"/>
        <v>20772</v>
      </c>
      <c r="I567" s="44">
        <f t="shared" si="102"/>
        <v>24152</v>
      </c>
      <c r="J567" s="44">
        <f t="shared" si="102"/>
        <v>26074</v>
      </c>
      <c r="K567" s="44">
        <f t="shared" si="102"/>
        <v>27631</v>
      </c>
      <c r="L567" s="44">
        <f t="shared" si="102"/>
        <v>23031</v>
      </c>
      <c r="M567" s="44">
        <f t="shared" si="102"/>
        <v>26195</v>
      </c>
      <c r="N567" s="44">
        <f t="shared" si="99"/>
        <v>180413</v>
      </c>
    </row>
    <row r="568" spans="1:14" s="35" customFormat="1" ht="15" hidden="1" thickTop="1">
      <c r="A568" s="72"/>
      <c r="B568" s="72"/>
      <c r="C568" s="72"/>
      <c r="D568" s="107"/>
      <c r="E568" s="107"/>
      <c r="F568" s="107"/>
      <c r="G568" s="107"/>
      <c r="H568" s="107"/>
      <c r="I568" s="130"/>
      <c r="J568" s="107"/>
      <c r="K568" s="107"/>
      <c r="L568" s="107"/>
      <c r="M568" s="107"/>
      <c r="N568" s="107"/>
    </row>
    <row r="569" spans="1:14" hidden="1">
      <c r="A569" s="36" t="s">
        <v>202</v>
      </c>
      <c r="B569" s="260"/>
      <c r="C569" s="260"/>
      <c r="D569" s="260"/>
      <c r="E569" s="260"/>
      <c r="F569" s="260"/>
      <c r="G569" s="260"/>
      <c r="H569" s="260"/>
      <c r="J569" s="260"/>
      <c r="K569" s="260"/>
      <c r="L569" s="260"/>
      <c r="M569" s="260"/>
      <c r="N569" s="260"/>
    </row>
    <row r="570" spans="1:14" s="35" customFormat="1" hidden="1">
      <c r="A570" s="38" t="s">
        <v>297</v>
      </c>
      <c r="B570" s="38" t="s">
        <v>298</v>
      </c>
      <c r="C570" s="38" t="s">
        <v>299</v>
      </c>
      <c r="D570" s="39" t="s">
        <v>300</v>
      </c>
      <c r="E570" s="39" t="s">
        <v>301</v>
      </c>
      <c r="F570" s="39" t="s">
        <v>302</v>
      </c>
      <c r="G570" s="39" t="s">
        <v>303</v>
      </c>
      <c r="H570" s="39" t="s">
        <v>24</v>
      </c>
      <c r="I570" s="39" t="s">
        <v>160</v>
      </c>
      <c r="J570" s="39" t="s">
        <v>161</v>
      </c>
      <c r="K570" s="39" t="s">
        <v>162</v>
      </c>
      <c r="L570" s="39" t="s">
        <v>304</v>
      </c>
      <c r="M570" s="39" t="s">
        <v>305</v>
      </c>
      <c r="N570" s="39" t="s">
        <v>157</v>
      </c>
    </row>
    <row r="571" spans="1:14" s="35" customFormat="1" hidden="1">
      <c r="A571" s="275" t="s">
        <v>307</v>
      </c>
      <c r="B571" s="275" t="s">
        <v>308</v>
      </c>
      <c r="C571" s="275" t="s">
        <v>284</v>
      </c>
      <c r="D571" s="327">
        <v>0.87113402061855671</v>
      </c>
      <c r="E571" s="327">
        <v>0.84082156611039793</v>
      </c>
      <c r="F571" s="327">
        <v>0.80864197530864201</v>
      </c>
      <c r="G571" s="327">
        <v>0.30205949656750575</v>
      </c>
      <c r="H571" s="327">
        <v>0.16982152514872903</v>
      </c>
      <c r="I571" s="131">
        <v>1.3989776701641109E-2</v>
      </c>
      <c r="J571" s="327">
        <v>1.967574374311349E-2</v>
      </c>
      <c r="K571" s="327">
        <v>5.4708870652598668E-3</v>
      </c>
      <c r="L571" s="327">
        <v>7.911771757372333E-3</v>
      </c>
      <c r="M571" s="327">
        <v>9.1125753539885047E-3</v>
      </c>
      <c r="N571" s="327">
        <v>6.4832129990354107E-2</v>
      </c>
    </row>
    <row r="572" spans="1:14" s="35" customFormat="1" hidden="1">
      <c r="A572" s="275"/>
      <c r="B572" s="275"/>
      <c r="C572" s="275" t="s">
        <v>286</v>
      </c>
      <c r="D572" s="327">
        <v>0.84135977337110479</v>
      </c>
      <c r="E572" s="327">
        <v>0.76576576576576572</v>
      </c>
      <c r="F572" s="327">
        <v>0.72101449275362317</v>
      </c>
      <c r="G572" s="327">
        <v>4.0472175379426642E-2</v>
      </c>
      <c r="H572" s="327">
        <v>2.9893924783027964E-2</v>
      </c>
      <c r="I572" s="131">
        <v>0.166015625</v>
      </c>
      <c r="J572" s="327">
        <v>0.16893115942028986</v>
      </c>
      <c r="K572" s="327">
        <v>7.2072072072072071E-2</v>
      </c>
      <c r="L572" s="327">
        <v>8.1784386617100371E-2</v>
      </c>
      <c r="M572" s="327">
        <v>0.2183377308707124</v>
      </c>
      <c r="N572" s="327">
        <v>0.19266084971512953</v>
      </c>
    </row>
    <row r="573" spans="1:14" s="35" customFormat="1" hidden="1">
      <c r="A573" s="275"/>
      <c r="B573" s="275"/>
      <c r="C573" s="275" t="s">
        <v>287</v>
      </c>
      <c r="D573" s="327">
        <v>0.89399293286219084</v>
      </c>
      <c r="E573" s="327">
        <v>0.8890845070422535</v>
      </c>
      <c r="F573" s="327">
        <v>0.81465517241379315</v>
      </c>
      <c r="G573" s="327">
        <v>0.4199438202247191</v>
      </c>
      <c r="H573" s="327">
        <v>0.24591738712776176</v>
      </c>
      <c r="I573" s="131">
        <v>0.23726346433770015</v>
      </c>
      <c r="J573" s="327">
        <v>0.28058169375534647</v>
      </c>
      <c r="K573" s="327">
        <v>0.13640730067243034</v>
      </c>
      <c r="L573" s="327">
        <v>0.22606924643584522</v>
      </c>
      <c r="M573" s="327">
        <v>0.45746164574616455</v>
      </c>
      <c r="N573" s="327">
        <v>0.33682676466755151</v>
      </c>
    </row>
    <row r="574" spans="1:14" s="35" customFormat="1" hidden="1">
      <c r="A574" s="37" t="s">
        <v>309</v>
      </c>
      <c r="B574" s="37"/>
      <c r="C574" s="37"/>
      <c r="D574" s="103">
        <v>0.87256637168141593</v>
      </c>
      <c r="E574" s="103">
        <v>0.84226190476190477</v>
      </c>
      <c r="F574" s="103">
        <v>0.79322766570605185</v>
      </c>
      <c r="G574" s="103">
        <v>0.13977972141237446</v>
      </c>
      <c r="H574" s="103">
        <v>8.9783281733746126E-2</v>
      </c>
      <c r="I574" s="132">
        <v>7.521111893033075E-2</v>
      </c>
      <c r="J574" s="103">
        <v>8.4892086330935257E-2</v>
      </c>
      <c r="K574" s="103">
        <v>3.1449990857560797E-2</v>
      </c>
      <c r="L574" s="103">
        <v>4.0432206343673754E-2</v>
      </c>
      <c r="M574" s="103">
        <v>7.7300875507153533E-2</v>
      </c>
      <c r="N574" s="103">
        <v>0.13558573710453747</v>
      </c>
    </row>
    <row r="575" spans="1:14" s="35" customFormat="1" hidden="1">
      <c r="A575" s="275"/>
      <c r="B575" s="275"/>
      <c r="C575" s="275"/>
      <c r="D575" s="327"/>
      <c r="E575" s="327"/>
      <c r="F575" s="327"/>
      <c r="G575" s="327"/>
      <c r="H575" s="327"/>
      <c r="I575" s="131"/>
      <c r="J575" s="327"/>
      <c r="K575" s="327"/>
      <c r="L575" s="327"/>
      <c r="M575" s="327"/>
      <c r="N575" s="327"/>
    </row>
    <row r="576" spans="1:14" s="35" customFormat="1" hidden="1">
      <c r="A576" s="275" t="s">
        <v>174</v>
      </c>
      <c r="B576" s="275" t="s">
        <v>310</v>
      </c>
      <c r="C576" s="275" t="s">
        <v>312</v>
      </c>
      <c r="D576" s="327">
        <v>0.80952380952380953</v>
      </c>
      <c r="E576" s="327">
        <v>0.68160377358490565</v>
      </c>
      <c r="F576" s="327">
        <v>0.74235807860262004</v>
      </c>
      <c r="G576" s="327">
        <v>0.10011474469305795</v>
      </c>
      <c r="H576" s="327">
        <v>7.8222778473091364E-2</v>
      </c>
      <c r="I576" s="131">
        <v>0.54588235294117649</v>
      </c>
      <c r="J576" s="327">
        <v>0.58963730569948192</v>
      </c>
      <c r="K576" s="327">
        <v>0.59671746776084411</v>
      </c>
      <c r="L576" s="327">
        <v>0.224</v>
      </c>
      <c r="M576" s="327">
        <v>0.28636709824828638</v>
      </c>
      <c r="N576" s="327">
        <v>0.38411316603979112</v>
      </c>
    </row>
    <row r="577" spans="1:14" s="35" customFormat="1" hidden="1">
      <c r="A577" s="275"/>
      <c r="B577" s="275"/>
      <c r="C577" s="275" t="s">
        <v>311</v>
      </c>
      <c r="D577" s="327">
        <v>0.9285714285714286</v>
      </c>
      <c r="E577" s="327">
        <v>0.89007633587786261</v>
      </c>
      <c r="F577" s="327">
        <v>0.92886178861788615</v>
      </c>
      <c r="G577" s="327">
        <v>0.43988816402609504</v>
      </c>
      <c r="H577" s="327">
        <v>0.41141396933560476</v>
      </c>
      <c r="I577" s="131">
        <v>0.47236180904522612</v>
      </c>
      <c r="J577" s="327">
        <v>0.48172757475083056</v>
      </c>
      <c r="K577" s="327">
        <v>0.43692870201096889</v>
      </c>
      <c r="L577" s="327">
        <v>0.20258064516129032</v>
      </c>
      <c r="M577" s="327">
        <v>0.25151148730350664</v>
      </c>
      <c r="N577" s="327">
        <v>0.3838840531947984</v>
      </c>
    </row>
    <row r="578" spans="1:14" s="35" customFormat="1" hidden="1">
      <c r="B578" s="275"/>
      <c r="C578" s="275" t="s">
        <v>199</v>
      </c>
      <c r="D578" s="327">
        <v>0.90030832476875644</v>
      </c>
      <c r="E578" s="327">
        <v>0.82376636455186303</v>
      </c>
      <c r="F578" s="327">
        <v>0.82126696832579182</v>
      </c>
      <c r="G578" s="327">
        <v>0.26048329779673063</v>
      </c>
      <c r="H578" s="327">
        <v>0.20726212562947258</v>
      </c>
      <c r="I578" s="131">
        <v>0.27656546489563566</v>
      </c>
      <c r="J578" s="327">
        <v>0.14198670605612998</v>
      </c>
      <c r="K578" s="327">
        <v>0.12187881962633142</v>
      </c>
      <c r="L578" s="327">
        <v>5.7455994686150778E-2</v>
      </c>
      <c r="M578" s="327">
        <v>8.4429824561403508E-2</v>
      </c>
      <c r="N578" s="327">
        <v>0.18887365790683544</v>
      </c>
    </row>
    <row r="579" spans="1:14" s="35" customFormat="1" hidden="1">
      <c r="B579" s="275"/>
      <c r="C579" s="275" t="s">
        <v>200</v>
      </c>
      <c r="D579" s="327">
        <v>0.88888888888888884</v>
      </c>
      <c r="E579" s="327">
        <v>0.85849056603773588</v>
      </c>
      <c r="F579" s="327">
        <v>0.875</v>
      </c>
      <c r="G579" s="327">
        <v>0.43098591549295773</v>
      </c>
      <c r="H579" s="327">
        <v>0.38419117647058826</v>
      </c>
      <c r="I579" s="131">
        <v>0.46252129471890974</v>
      </c>
      <c r="J579" s="327">
        <v>0.11963882618510158</v>
      </c>
      <c r="K579" s="327">
        <v>5.9329320722269992E-2</v>
      </c>
      <c r="L579" s="327">
        <v>4.1379310344827586E-2</v>
      </c>
      <c r="M579" s="327">
        <v>7.3059360730593603E-2</v>
      </c>
      <c r="N579" s="327">
        <v>0.29021797537532296</v>
      </c>
    </row>
    <row r="580" spans="1:14" s="35" customFormat="1" hidden="1">
      <c r="B580" s="275"/>
      <c r="C580" s="275" t="s">
        <v>288</v>
      </c>
      <c r="D580" s="327">
        <v>0.91118421052631582</v>
      </c>
      <c r="E580" s="327">
        <v>0.86458333333333337</v>
      </c>
      <c r="F580" s="327">
        <v>0.89117647058823535</v>
      </c>
      <c r="G580" s="327">
        <v>0.55902777777777779</v>
      </c>
      <c r="H580" s="327">
        <v>0.45039908779931587</v>
      </c>
      <c r="I580" s="131">
        <v>8.4027777777777785E-2</v>
      </c>
      <c r="J580" s="327">
        <v>1.3135735938026272E-2</v>
      </c>
      <c r="K580" s="327">
        <v>7.0911052874980734E-3</v>
      </c>
      <c r="L580" s="327">
        <v>5.3948013732221679E-3</v>
      </c>
      <c r="M580" s="327">
        <v>5.3810102412775564E-3</v>
      </c>
      <c r="N580" s="327">
        <v>0.10553118561228055</v>
      </c>
    </row>
    <row r="581" spans="1:14" s="35" customFormat="1" hidden="1">
      <c r="B581" s="40" t="s">
        <v>313</v>
      </c>
      <c r="C581" s="40"/>
      <c r="D581" s="104">
        <v>0.89578361177406518</v>
      </c>
      <c r="E581" s="104">
        <v>0.8246500777604977</v>
      </c>
      <c r="F581" s="104">
        <v>0.84288121314237574</v>
      </c>
      <c r="G581" s="104">
        <v>0.24434007707129093</v>
      </c>
      <c r="H581" s="104">
        <v>0.2010392402795198</v>
      </c>
      <c r="I581" s="133">
        <v>0.25257685757820203</v>
      </c>
      <c r="J581" s="104">
        <v>0.13087719298245615</v>
      </c>
      <c r="K581" s="104">
        <v>0.10563713879677877</v>
      </c>
      <c r="L581" s="104">
        <v>5.6382145653876274E-2</v>
      </c>
      <c r="M581" s="104">
        <v>7.9969588056400337E-2</v>
      </c>
      <c r="N581" s="104">
        <v>0.25534489602404431</v>
      </c>
    </row>
    <row r="582" spans="1:14" s="35" customFormat="1" hidden="1">
      <c r="B582" s="275"/>
      <c r="C582" s="275"/>
      <c r="D582" s="327"/>
      <c r="E582" s="327"/>
      <c r="F582" s="327"/>
      <c r="G582" s="327"/>
      <c r="H582" s="327"/>
      <c r="I582" s="131"/>
      <c r="J582" s="327"/>
      <c r="K582" s="327"/>
      <c r="L582" s="327"/>
      <c r="M582" s="327"/>
      <c r="N582" s="327"/>
    </row>
    <row r="583" spans="1:14" s="35" customFormat="1" hidden="1">
      <c r="B583" s="275" t="s">
        <v>184</v>
      </c>
      <c r="C583" s="275" t="s">
        <v>312</v>
      </c>
      <c r="D583" s="327">
        <v>0.99082568807339455</v>
      </c>
      <c r="E583" s="327">
        <v>0.96694214876033058</v>
      </c>
      <c r="F583" s="327">
        <v>0.98245614035087714</v>
      </c>
      <c r="G583" s="327">
        <v>0.83211678832116787</v>
      </c>
      <c r="H583" s="327">
        <v>0.90196078431372551</v>
      </c>
      <c r="I583" s="131">
        <v>0.95604395604395609</v>
      </c>
      <c r="J583" s="327">
        <v>0.96323529411764708</v>
      </c>
      <c r="K583" s="327">
        <v>0.91949152542372881</v>
      </c>
      <c r="L583" s="327">
        <v>0.9138755980861244</v>
      </c>
      <c r="M583" s="327">
        <v>0.92248062015503873</v>
      </c>
      <c r="N583" s="327">
        <v>0.83435639735351597</v>
      </c>
    </row>
    <row r="584" spans="1:14" s="35" customFormat="1" hidden="1">
      <c r="B584" s="275"/>
      <c r="C584" s="275" t="s">
        <v>311</v>
      </c>
      <c r="D584" s="327">
        <v>0.96470588235294119</v>
      </c>
      <c r="E584" s="327">
        <v>0.98039215686274506</v>
      </c>
      <c r="F584" s="327">
        <v>0.98540145985401462</v>
      </c>
      <c r="G584" s="327">
        <v>0.92391304347826086</v>
      </c>
      <c r="H584" s="327">
        <v>0.95121951219512191</v>
      </c>
      <c r="I584" s="131">
        <v>0.94252873563218387</v>
      </c>
      <c r="J584" s="327">
        <v>0.93846153846153846</v>
      </c>
      <c r="K584" s="327">
        <v>0.93457943925233644</v>
      </c>
      <c r="L584" s="327">
        <v>0.9285714285714286</v>
      </c>
      <c r="M584" s="327">
        <v>0.90551181102362199</v>
      </c>
      <c r="N584" s="327">
        <v>0.8534733240527429</v>
      </c>
    </row>
    <row r="585" spans="1:14" s="35" customFormat="1" hidden="1">
      <c r="B585" s="275"/>
      <c r="C585" s="275" t="s">
        <v>199</v>
      </c>
      <c r="D585" s="327">
        <v>0.95</v>
      </c>
      <c r="E585" s="327">
        <v>0.93442622950819676</v>
      </c>
      <c r="F585" s="327">
        <v>0.98245614035087714</v>
      </c>
      <c r="G585" s="327">
        <v>0.8586387434554974</v>
      </c>
      <c r="H585" s="327">
        <v>0.89082969432314407</v>
      </c>
      <c r="I585" s="131">
        <v>0.90032154340836013</v>
      </c>
      <c r="J585" s="327">
        <v>0.90718562874251496</v>
      </c>
      <c r="K585" s="327">
        <v>0.8776758409785933</v>
      </c>
      <c r="L585" s="327">
        <v>0.86645962732919257</v>
      </c>
      <c r="M585" s="327">
        <v>0.8904109589041096</v>
      </c>
      <c r="N585" s="327">
        <v>0.82171013701282558</v>
      </c>
    </row>
    <row r="586" spans="1:14" s="35" customFormat="1" hidden="1">
      <c r="B586" s="275"/>
      <c r="C586" s="275" t="s">
        <v>200</v>
      </c>
      <c r="D586" s="327">
        <v>0.98148148148148151</v>
      </c>
      <c r="E586" s="327">
        <v>0.97058823529411764</v>
      </c>
      <c r="F586" s="327">
        <v>1</v>
      </c>
      <c r="G586" s="327">
        <v>0.90140845070422537</v>
      </c>
      <c r="H586" s="327">
        <v>0.90804597701149425</v>
      </c>
      <c r="I586" s="131">
        <v>0.94285714285714284</v>
      </c>
      <c r="J586" s="327">
        <v>0.91390728476821192</v>
      </c>
      <c r="K586" s="327">
        <v>0.9327731092436975</v>
      </c>
      <c r="L586" s="327">
        <v>0.87903225806451613</v>
      </c>
      <c r="M586" s="327">
        <v>0.91812865497076024</v>
      </c>
      <c r="N586" s="327">
        <v>0.83855209712353507</v>
      </c>
    </row>
    <row r="587" spans="1:14" s="35" customFormat="1" hidden="1">
      <c r="B587" s="275"/>
      <c r="C587" s="275" t="s">
        <v>288</v>
      </c>
      <c r="D587" s="327">
        <v>0.9850746268656716</v>
      </c>
      <c r="E587" s="327">
        <v>0.94285714285714284</v>
      </c>
      <c r="F587" s="327">
        <v>0.97156398104265407</v>
      </c>
      <c r="G587" s="327">
        <v>0.91200000000000003</v>
      </c>
      <c r="H587" s="327">
        <v>0.95024875621890548</v>
      </c>
      <c r="I587" s="131">
        <v>0.92666666666666664</v>
      </c>
      <c r="J587" s="327">
        <v>0.87096774193548387</v>
      </c>
      <c r="K587" s="327">
        <v>0.86746987951807231</v>
      </c>
      <c r="L587" s="327">
        <v>0.82872928176795579</v>
      </c>
      <c r="M587" s="327">
        <v>0.89080459770114939</v>
      </c>
      <c r="N587" s="327">
        <v>0.81434654512295235</v>
      </c>
    </row>
    <row r="588" spans="1:14" s="35" customFormat="1" hidden="1">
      <c r="B588" s="40" t="s">
        <v>314</v>
      </c>
      <c r="C588" s="40"/>
      <c r="D588" s="104">
        <v>0.97052631578947368</v>
      </c>
      <c r="E588" s="104">
        <v>0.95509499136442144</v>
      </c>
      <c r="F588" s="104">
        <v>0.98233215547703179</v>
      </c>
      <c r="G588" s="104">
        <v>0.87824675324675328</v>
      </c>
      <c r="H588" s="104">
        <v>0.91929382093316514</v>
      </c>
      <c r="I588" s="133">
        <v>0.92758620689655169</v>
      </c>
      <c r="J588" s="104">
        <v>0.92130518234165071</v>
      </c>
      <c r="K588" s="104">
        <v>0.8994764397905759</v>
      </c>
      <c r="L588" s="104">
        <v>0.87869198312236285</v>
      </c>
      <c r="M588" s="104">
        <v>0.90410958904109584</v>
      </c>
      <c r="N588" s="104">
        <v>0.82943662074255708</v>
      </c>
    </row>
    <row r="589" spans="1:14" s="35" customFormat="1" hidden="1">
      <c r="B589" s="275"/>
      <c r="C589" s="275"/>
      <c r="D589" s="327"/>
      <c r="E589" s="327"/>
      <c r="F589" s="327"/>
      <c r="G589" s="327"/>
      <c r="H589" s="327"/>
      <c r="I589" s="131"/>
      <c r="J589" s="327"/>
      <c r="K589" s="327"/>
      <c r="L589" s="327"/>
      <c r="M589" s="327"/>
      <c r="N589" s="327"/>
    </row>
    <row r="590" spans="1:14" s="35" customFormat="1" hidden="1">
      <c r="B590" s="275" t="s">
        <v>315</v>
      </c>
      <c r="C590" s="275" t="s">
        <v>312</v>
      </c>
      <c r="D590" s="327">
        <v>1</v>
      </c>
      <c r="E590" s="327">
        <v>0.95744680851063835</v>
      </c>
      <c r="F590" s="327">
        <v>0.92105263157894735</v>
      </c>
      <c r="G590" s="327">
        <v>0.88571428571428568</v>
      </c>
      <c r="H590" s="327">
        <v>0.91489361702127658</v>
      </c>
      <c r="I590" s="131">
        <v>0.97402597402597402</v>
      </c>
      <c r="J590" s="327">
        <v>0.9460916442048517</v>
      </c>
      <c r="K590" s="327">
        <v>0.95290858725761773</v>
      </c>
      <c r="L590" s="327">
        <v>0.93939393939393945</v>
      </c>
      <c r="M590" s="327">
        <v>0.95198329853862218</v>
      </c>
      <c r="N590" s="327">
        <v>0.87367075898978308</v>
      </c>
    </row>
    <row r="591" spans="1:14" s="35" customFormat="1" hidden="1">
      <c r="B591" s="275"/>
      <c r="C591" s="275" t="s">
        <v>311</v>
      </c>
      <c r="D591" s="327">
        <v>0.9826086956521739</v>
      </c>
      <c r="E591" s="327">
        <v>0.98181818181818181</v>
      </c>
      <c r="F591" s="327">
        <v>0.98245614035087714</v>
      </c>
      <c r="G591" s="327">
        <v>0.92307692307692313</v>
      </c>
      <c r="H591" s="327">
        <v>0.93684210526315792</v>
      </c>
      <c r="I591" s="131">
        <v>0.95652173913043481</v>
      </c>
      <c r="J591" s="327">
        <v>0.90277777777777779</v>
      </c>
      <c r="K591" s="327">
        <v>0.953125</v>
      </c>
      <c r="L591" s="327">
        <v>0.84892086330935257</v>
      </c>
      <c r="M591" s="327">
        <v>0.90361445783132532</v>
      </c>
      <c r="N591" s="327">
        <v>0.86189146096895441</v>
      </c>
    </row>
    <row r="592" spans="1:14" s="35" customFormat="1" hidden="1">
      <c r="B592" s="275"/>
      <c r="C592" s="275" t="s">
        <v>199</v>
      </c>
      <c r="D592" s="327">
        <v>0.97540983606557374</v>
      </c>
      <c r="E592" s="327">
        <v>0.96590909090909094</v>
      </c>
      <c r="F592" s="327">
        <v>0.95904436860068254</v>
      </c>
      <c r="G592" s="327">
        <v>0.90530303030303028</v>
      </c>
      <c r="H592" s="327">
        <v>0.93129770992366412</v>
      </c>
      <c r="I592" s="131">
        <v>0.92692307692307696</v>
      </c>
      <c r="J592" s="327">
        <v>0.94428152492668627</v>
      </c>
      <c r="K592" s="327">
        <v>0.94303797468354433</v>
      </c>
      <c r="L592" s="327">
        <v>0.88011695906432752</v>
      </c>
      <c r="M592" s="327">
        <v>0.92907801418439717</v>
      </c>
      <c r="N592" s="327">
        <v>0.85210147544893144</v>
      </c>
    </row>
    <row r="593" spans="1:14" s="35" customFormat="1" hidden="1">
      <c r="B593" s="275"/>
      <c r="C593" s="275" t="s">
        <v>200</v>
      </c>
      <c r="D593" s="327">
        <v>0.9916666666666667</v>
      </c>
      <c r="E593" s="327">
        <v>0.96694214876033058</v>
      </c>
      <c r="F593" s="327">
        <v>0.97520661157024791</v>
      </c>
      <c r="G593" s="327">
        <v>0.92173913043478262</v>
      </c>
      <c r="H593" s="327">
        <v>0.96808510638297873</v>
      </c>
      <c r="I593" s="131">
        <v>0.96330275229357798</v>
      </c>
      <c r="J593" s="327">
        <v>0.88194444444444442</v>
      </c>
      <c r="K593" s="327">
        <v>0.86554621848739499</v>
      </c>
      <c r="L593" s="327">
        <v>0.9285714285714286</v>
      </c>
      <c r="M593" s="327">
        <v>0.88356164383561642</v>
      </c>
      <c r="N593" s="327">
        <v>0.85432296011709508</v>
      </c>
    </row>
    <row r="594" spans="1:14" s="35" customFormat="1" hidden="1">
      <c r="A594" s="275"/>
      <c r="B594" s="275"/>
      <c r="C594" s="275" t="s">
        <v>288</v>
      </c>
      <c r="D594" s="327">
        <v>0.97812500000000002</v>
      </c>
      <c r="E594" s="327">
        <v>0.98098859315589348</v>
      </c>
      <c r="F594" s="327">
        <v>0.96307692307692305</v>
      </c>
      <c r="G594" s="327">
        <v>0.95539033457249067</v>
      </c>
      <c r="H594" s="327">
        <v>0.97540983606557374</v>
      </c>
      <c r="I594" s="131">
        <v>0.80952380952380953</v>
      </c>
      <c r="J594" s="327">
        <v>0.90384615384615385</v>
      </c>
      <c r="K594" s="327">
        <v>0.89189189189189189</v>
      </c>
      <c r="L594" s="327">
        <v>0.82352941176470584</v>
      </c>
      <c r="M594" s="327">
        <v>0.92307692307692313</v>
      </c>
      <c r="N594" s="327">
        <v>0.8157826495315107</v>
      </c>
    </row>
    <row r="595" spans="1:14" s="35" customFormat="1" hidden="1">
      <c r="A595" s="275"/>
      <c r="B595" s="40" t="s">
        <v>316</v>
      </c>
      <c r="C595" s="40"/>
      <c r="D595" s="104">
        <v>0.98099762470308793</v>
      </c>
      <c r="E595" s="104">
        <v>0.97267080745341616</v>
      </c>
      <c r="F595" s="104">
        <v>0.96408529741863103</v>
      </c>
      <c r="G595" s="104">
        <v>0.92625000000000002</v>
      </c>
      <c r="H595" s="104">
        <v>0.95013477088948783</v>
      </c>
      <c r="I595" s="133">
        <v>0.94451783355350061</v>
      </c>
      <c r="J595" s="104">
        <v>0.92870722433460073</v>
      </c>
      <c r="K595" s="104">
        <v>0.93652445369406867</v>
      </c>
      <c r="L595" s="104">
        <v>0.90009794319294811</v>
      </c>
      <c r="M595" s="104">
        <v>0.92890995260663511</v>
      </c>
      <c r="N595" s="104">
        <v>0.8632556487808013</v>
      </c>
    </row>
    <row r="596" spans="1:14" s="35" customFormat="1" hidden="1">
      <c r="A596" s="275"/>
      <c r="B596" s="275"/>
      <c r="C596" s="275"/>
      <c r="D596" s="327"/>
      <c r="E596" s="327"/>
      <c r="F596" s="327"/>
      <c r="G596" s="327"/>
      <c r="H596" s="327"/>
      <c r="I596" s="131"/>
      <c r="J596" s="327"/>
      <c r="K596" s="327"/>
      <c r="L596" s="327"/>
      <c r="M596" s="327"/>
      <c r="N596" s="327"/>
    </row>
    <row r="597" spans="1:14" s="35" customFormat="1" hidden="1">
      <c r="A597" s="37" t="s">
        <v>317</v>
      </c>
      <c r="B597" s="37"/>
      <c r="C597" s="37"/>
      <c r="D597" s="103">
        <v>0.92377969198642651</v>
      </c>
      <c r="E597" s="103">
        <v>0.87386248736097072</v>
      </c>
      <c r="F597" s="103">
        <v>0.89790957705396213</v>
      </c>
      <c r="G597" s="103">
        <v>0.34063786008230451</v>
      </c>
      <c r="H597" s="103">
        <v>0.28967472631330238</v>
      </c>
      <c r="I597" s="132">
        <v>0.33948685857321653</v>
      </c>
      <c r="J597" s="103">
        <v>0.23262359275575134</v>
      </c>
      <c r="K597" s="103">
        <v>0.1988857604984125</v>
      </c>
      <c r="L597" s="103">
        <v>0.15127508240328458</v>
      </c>
      <c r="M597" s="103">
        <v>0.19745677104997325</v>
      </c>
      <c r="N597" s="103">
        <v>0.27815879951271771</v>
      </c>
    </row>
    <row r="598" spans="1:14" s="35" customFormat="1" hidden="1">
      <c r="A598" s="45"/>
      <c r="B598" s="45"/>
      <c r="C598" s="45"/>
      <c r="D598" s="105"/>
      <c r="E598" s="105"/>
      <c r="F598" s="105"/>
      <c r="G598" s="105"/>
      <c r="H598" s="105"/>
      <c r="I598" s="134"/>
      <c r="J598" s="105"/>
      <c r="K598" s="105"/>
      <c r="L598" s="105"/>
      <c r="M598" s="105"/>
      <c r="N598" s="105"/>
    </row>
    <row r="599" spans="1:14" s="35" customFormat="1" ht="15" hidden="1" thickBot="1">
      <c r="A599" s="43" t="s">
        <v>326</v>
      </c>
      <c r="B599" s="43"/>
      <c r="C599" s="43"/>
      <c r="D599" s="106">
        <v>0.90807093738689826</v>
      </c>
      <c r="E599" s="106">
        <v>0.86444286728176012</v>
      </c>
      <c r="F599" s="106">
        <v>0.87150127226463103</v>
      </c>
      <c r="G599" s="106">
        <v>0.2626148232037247</v>
      </c>
      <c r="H599" s="106">
        <v>0.2119680338917774</v>
      </c>
      <c r="I599" s="135">
        <v>0.21509605829744949</v>
      </c>
      <c r="J599" s="106">
        <v>0.17749482242847281</v>
      </c>
      <c r="K599" s="106">
        <v>0.13260468314574211</v>
      </c>
      <c r="L599" s="106">
        <v>0.12365941557031827</v>
      </c>
      <c r="M599" s="106">
        <v>0.15449513265890438</v>
      </c>
      <c r="N599" s="106">
        <v>0.22553287350258508</v>
      </c>
    </row>
    <row r="600" spans="1:14">
      <c r="A600" s="260"/>
      <c r="B600" s="260"/>
      <c r="C600" s="260"/>
      <c r="D600" s="260"/>
      <c r="E600" s="260"/>
      <c r="F600" s="260"/>
      <c r="G600" s="260"/>
      <c r="H600" s="260"/>
      <c r="J600" s="260"/>
      <c r="K600" s="260"/>
      <c r="L600" s="260"/>
      <c r="M600" s="260"/>
      <c r="N600" s="260"/>
    </row>
  </sheetData>
  <mergeCells count="9">
    <mergeCell ref="E406:F406"/>
    <mergeCell ref="E424:F424"/>
    <mergeCell ref="B142:C142"/>
    <mergeCell ref="F142:G142"/>
    <mergeCell ref="D142:E142"/>
    <mergeCell ref="A243:B243"/>
    <mergeCell ref="B152:C152"/>
    <mergeCell ref="D152:E152"/>
    <mergeCell ref="G424:H424"/>
  </mergeCells>
  <hyperlinks>
    <hyperlink ref="D21" r:id="rId1" xr:uid="{BD876DBD-272A-4B19-80D4-78725006C929}"/>
    <hyperlink ref="D29" r:id="rId2" xr:uid="{4922B46D-252A-453E-AA5A-18355A2BC276}"/>
    <hyperlink ref="D43" r:id="rId3" xr:uid="{28632C58-11B4-4B31-B3E5-CC7C0CAC8984}"/>
  </hyperlinks>
  <pageMargins left="0.7" right="0.7" top="0.75" bottom="0.75" header="0.3" footer="0.3"/>
  <pageSetup orientation="portrait" horizontalDpi="300" verticalDpi="300" r:id="rId4"/>
  <ignoredErrors>
    <ignoredError sqref="E116:E118 E111:E11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FC52-637E-40C3-A236-6CA56038F281}">
  <dimension ref="A1:L66"/>
  <sheetViews>
    <sheetView zoomScale="59" zoomScaleNormal="59" workbookViewId="0">
      <selection activeCell="M15" sqref="M15"/>
    </sheetView>
  </sheetViews>
  <sheetFormatPr defaultRowHeight="14"/>
  <cols>
    <col min="2" max="2" width="10.58203125" customWidth="1"/>
    <col min="3" max="3" width="14.5" customWidth="1"/>
    <col min="4" max="4" width="15.4140625" customWidth="1"/>
    <col min="5" max="5" width="27" bestFit="1" customWidth="1"/>
    <col min="6" max="6" width="23.4140625" customWidth="1"/>
    <col min="7" max="7" width="21.25" customWidth="1"/>
    <col min="8" max="8" width="17" customWidth="1"/>
    <col min="9" max="9" width="18.4140625" style="664" bestFit="1" customWidth="1"/>
    <col min="10" max="10" width="11.6640625" style="664" customWidth="1"/>
    <col min="11" max="11" width="9.4140625" style="664" customWidth="1"/>
    <col min="12" max="12" width="12.08203125" style="664" customWidth="1"/>
  </cols>
  <sheetData>
    <row r="1" spans="1:12">
      <c r="I1"/>
      <c r="J1"/>
      <c r="K1"/>
      <c r="L1"/>
    </row>
    <row r="2" spans="1:12">
      <c r="D2" s="664"/>
      <c r="E2" s="664"/>
      <c r="F2" s="664"/>
      <c r="G2" s="664"/>
      <c r="I2"/>
      <c r="J2"/>
      <c r="K2"/>
      <c r="L2"/>
    </row>
    <row r="3" spans="1:12" ht="14.5">
      <c r="C3" s="758" t="s">
        <v>482</v>
      </c>
      <c r="D3" s="760"/>
      <c r="E3" s="759"/>
      <c r="I3"/>
      <c r="J3"/>
      <c r="K3"/>
      <c r="L3"/>
    </row>
    <row r="4" spans="1:12" ht="14.5">
      <c r="B4" s="563"/>
      <c r="C4" s="265" t="s">
        <v>484</v>
      </c>
      <c r="D4" s="665" t="s">
        <v>243</v>
      </c>
      <c r="E4" s="665" t="s">
        <v>485</v>
      </c>
      <c r="I4"/>
      <c r="J4"/>
      <c r="K4"/>
      <c r="L4"/>
    </row>
    <row r="5" spans="1:12">
      <c r="B5" s="664"/>
      <c r="C5" s="667">
        <v>6000</v>
      </c>
      <c r="D5" s="667">
        <v>20000</v>
      </c>
      <c r="E5" s="665">
        <f>Model_Summary!F85</f>
        <v>0.29999999999999971</v>
      </c>
      <c r="I5"/>
      <c r="J5"/>
      <c r="K5"/>
      <c r="L5"/>
    </row>
    <row r="6" spans="1:12">
      <c r="B6" s="664"/>
      <c r="C6" s="668"/>
      <c r="D6" s="668"/>
      <c r="E6" s="664"/>
      <c r="F6" s="664"/>
      <c r="G6" s="664"/>
      <c r="I6"/>
      <c r="J6"/>
      <c r="K6"/>
      <c r="L6"/>
    </row>
    <row r="7" spans="1:12">
      <c r="B7" s="664"/>
      <c r="C7" s="668"/>
      <c r="D7" s="668"/>
      <c r="E7" s="664"/>
      <c r="F7" s="664"/>
      <c r="G7" s="664"/>
      <c r="I7"/>
      <c r="J7"/>
      <c r="K7"/>
      <c r="L7"/>
    </row>
    <row r="8" spans="1:12">
      <c r="B8" s="664"/>
      <c r="C8" s="668"/>
      <c r="D8" s="668"/>
      <c r="E8" s="664"/>
      <c r="F8" s="664"/>
      <c r="G8" s="664"/>
      <c r="I8"/>
      <c r="J8"/>
      <c r="K8"/>
      <c r="L8"/>
    </row>
    <row r="9" spans="1:12">
      <c r="B9" s="664"/>
      <c r="C9" s="664"/>
      <c r="D9" s="664"/>
      <c r="E9" s="664"/>
      <c r="F9" s="664"/>
      <c r="G9" s="664"/>
      <c r="I9"/>
      <c r="J9"/>
      <c r="K9"/>
      <c r="L9"/>
    </row>
    <row r="10" spans="1:12">
      <c r="C10" s="669"/>
      <c r="D10" s="664"/>
      <c r="E10" s="664"/>
      <c r="F10" s="664"/>
      <c r="G10" s="664"/>
      <c r="H10" s="664"/>
    </row>
    <row r="11" spans="1:12">
      <c r="A11" t="s">
        <v>95</v>
      </c>
      <c r="C11" s="669"/>
      <c r="D11" s="664"/>
      <c r="E11" s="664"/>
      <c r="F11" s="664"/>
      <c r="G11" s="664"/>
      <c r="H11" s="664"/>
    </row>
    <row r="12" spans="1:12" ht="14.5">
      <c r="A12" s="762" t="s">
        <v>486</v>
      </c>
      <c r="B12" s="762"/>
      <c r="C12" s="763"/>
      <c r="D12" s="763"/>
      <c r="E12" s="670" t="s">
        <v>517</v>
      </c>
    </row>
    <row r="13" spans="1:12" ht="14.5">
      <c r="A13" s="265" t="s">
        <v>483</v>
      </c>
      <c r="B13" s="265" t="s">
        <v>243</v>
      </c>
      <c r="C13" s="670" t="s">
        <v>487</v>
      </c>
      <c r="D13" s="670" t="s">
        <v>488</v>
      </c>
      <c r="E13" s="670" t="s">
        <v>489</v>
      </c>
      <c r="F13" s="670" t="s">
        <v>490</v>
      </c>
      <c r="G13" s="670" t="s">
        <v>491</v>
      </c>
      <c r="H13" s="665" t="s">
        <v>492</v>
      </c>
      <c r="I13" s="670" t="s">
        <v>493</v>
      </c>
    </row>
    <row r="14" spans="1:12" ht="14.5">
      <c r="A14" s="671">
        <v>30000</v>
      </c>
      <c r="B14" s="671">
        <v>59999</v>
      </c>
      <c r="C14" s="666">
        <v>100000</v>
      </c>
      <c r="D14" s="672">
        <v>0.08</v>
      </c>
      <c r="E14" s="666">
        <f>D14*C14</f>
        <v>8000</v>
      </c>
      <c r="F14" s="666">
        <v>1</v>
      </c>
      <c r="G14" s="666">
        <f>E14*F14</f>
        <v>8000</v>
      </c>
      <c r="H14" s="665">
        <f>Model_Summary!F85</f>
        <v>0.29999999999999971</v>
      </c>
      <c r="I14" s="673">
        <f>-PV(H14,F14,E14,0)</f>
        <v>6153.8461538461579</v>
      </c>
    </row>
    <row r="15" spans="1:12" ht="14.5">
      <c r="A15" s="671">
        <v>30000</v>
      </c>
      <c r="B15" s="671">
        <v>99999</v>
      </c>
      <c r="C15" s="666">
        <v>30000</v>
      </c>
      <c r="D15" s="672">
        <v>0.3</v>
      </c>
      <c r="E15" s="666">
        <f>D15*C15</f>
        <v>9000</v>
      </c>
      <c r="F15" s="666">
        <v>1</v>
      </c>
      <c r="G15" s="666">
        <f>E15*F15</f>
        <v>9000</v>
      </c>
      <c r="H15" s="665">
        <f>Model_Summary!F85</f>
        <v>0.29999999999999971</v>
      </c>
      <c r="I15" s="673">
        <f>-PV(H15,F15,E15,0)</f>
        <v>6923.0769230769265</v>
      </c>
    </row>
    <row r="16" spans="1:12" ht="14.5">
      <c r="A16" s="671">
        <v>100000</v>
      </c>
      <c r="B16" s="671" t="s">
        <v>243</v>
      </c>
      <c r="C16" s="666">
        <v>100000</v>
      </c>
      <c r="D16" s="672">
        <v>0.3</v>
      </c>
      <c r="E16" s="666">
        <f>D16*C16</f>
        <v>30000</v>
      </c>
      <c r="F16" s="666">
        <v>1</v>
      </c>
      <c r="G16" s="666">
        <f>E16*F16</f>
        <v>30000</v>
      </c>
      <c r="H16" s="665">
        <f>Model_Summary!F85</f>
        <v>0.29999999999999971</v>
      </c>
      <c r="I16" s="673">
        <f>IF((-PV(H16,F16,E16,0))&gt;100000,100000,-PV(H16,F16,E16,0))</f>
        <v>23076.923076923093</v>
      </c>
    </row>
    <row r="17" spans="1:12">
      <c r="C17" s="669"/>
      <c r="D17" s="664"/>
      <c r="E17" s="664"/>
      <c r="F17" s="664"/>
      <c r="G17" s="664"/>
      <c r="H17" s="664"/>
      <c r="J17"/>
      <c r="K17"/>
      <c r="L17"/>
    </row>
    <row r="18" spans="1:12" ht="14.5">
      <c r="C18" s="749" t="s">
        <v>494</v>
      </c>
      <c r="D18" s="749"/>
      <c r="E18" s="749"/>
      <c r="F18" s="749"/>
      <c r="G18" s="749"/>
      <c r="J18" s="675"/>
      <c r="K18" s="675"/>
      <c r="L18" s="675"/>
    </row>
    <row r="19" spans="1:12">
      <c r="C19" s="670" t="s">
        <v>495</v>
      </c>
      <c r="D19" s="670" t="s">
        <v>268</v>
      </c>
      <c r="E19" s="670" t="s">
        <v>496</v>
      </c>
      <c r="F19" s="670" t="s">
        <v>497</v>
      </c>
      <c r="G19" s="670" t="s">
        <v>498</v>
      </c>
    </row>
    <row r="20" spans="1:12">
      <c r="C20" s="673">
        <v>20000</v>
      </c>
      <c r="D20" s="670">
        <v>1</v>
      </c>
      <c r="E20" s="665">
        <f>E5</f>
        <v>0.29999999999999971</v>
      </c>
      <c r="F20" s="673">
        <f>(-PMT(E20,D20,C20,0))*D20</f>
        <v>25999.999999999993</v>
      </c>
      <c r="G20" s="676">
        <f>F20/D20</f>
        <v>25999.999999999993</v>
      </c>
    </row>
    <row r="21" spans="1:12">
      <c r="C21" s="735"/>
      <c r="D21" s="736"/>
      <c r="E21" s="737"/>
      <c r="F21" s="735"/>
      <c r="G21" s="738"/>
    </row>
    <row r="22" spans="1:12">
      <c r="C22" s="735"/>
      <c r="D22" s="736"/>
      <c r="E22" s="737"/>
      <c r="F22" s="735"/>
      <c r="G22" s="738"/>
    </row>
    <row r="23" spans="1:12" ht="14.5">
      <c r="C23" s="735"/>
      <c r="D23" s="758" t="s">
        <v>482</v>
      </c>
      <c r="E23" s="760"/>
      <c r="F23" s="759"/>
      <c r="G23" s="738"/>
    </row>
    <row r="24" spans="1:12" ht="14.5">
      <c r="C24" s="735"/>
      <c r="D24" s="265" t="s">
        <v>484</v>
      </c>
      <c r="E24" s="665" t="s">
        <v>243</v>
      </c>
      <c r="F24" s="665" t="s">
        <v>485</v>
      </c>
      <c r="G24" s="738"/>
    </row>
    <row r="25" spans="1:12">
      <c r="D25" s="667">
        <v>6000</v>
      </c>
      <c r="E25" s="667">
        <v>20000</v>
      </c>
      <c r="F25" s="665">
        <f>Model_Summary!F150</f>
        <v>0.22499999999999998</v>
      </c>
      <c r="H25" s="677"/>
      <c r="I25" s="674"/>
    </row>
    <row r="26" spans="1:12">
      <c r="A26" t="s">
        <v>184</v>
      </c>
      <c r="C26" s="669"/>
      <c r="D26" s="664"/>
      <c r="E26" s="664"/>
      <c r="F26" s="664"/>
      <c r="G26" s="664"/>
      <c r="H26" s="664"/>
    </row>
    <row r="27" spans="1:12" ht="14.5">
      <c r="A27" s="762" t="s">
        <v>486</v>
      </c>
      <c r="B27" s="762"/>
      <c r="C27" s="763"/>
      <c r="D27" s="763"/>
      <c r="E27" s="670" t="s">
        <v>517</v>
      </c>
    </row>
    <row r="28" spans="1:12" ht="14.5">
      <c r="A28" s="265" t="s">
        <v>483</v>
      </c>
      <c r="B28" s="265" t="s">
        <v>243</v>
      </c>
      <c r="C28" s="670" t="s">
        <v>487</v>
      </c>
      <c r="D28" s="670" t="s">
        <v>488</v>
      </c>
      <c r="E28" s="670" t="s">
        <v>489</v>
      </c>
      <c r="F28" s="670" t="s">
        <v>490</v>
      </c>
      <c r="G28" s="670" t="s">
        <v>491</v>
      </c>
      <c r="H28" s="665" t="s">
        <v>492</v>
      </c>
      <c r="I28" s="670" t="s">
        <v>493</v>
      </c>
    </row>
    <row r="29" spans="1:12" ht="14.5">
      <c r="A29" s="671">
        <v>30000</v>
      </c>
      <c r="B29" s="671">
        <v>59999</v>
      </c>
      <c r="C29" s="666">
        <v>100000</v>
      </c>
      <c r="D29" s="672">
        <v>0.2</v>
      </c>
      <c r="E29" s="666">
        <f>D29*C29</f>
        <v>20000</v>
      </c>
      <c r="F29" s="666">
        <v>1</v>
      </c>
      <c r="G29" s="666">
        <f>E29*F29</f>
        <v>20000</v>
      </c>
      <c r="H29" s="665">
        <f>Model_Summary!F149</f>
        <v>0.22500000000000028</v>
      </c>
      <c r="I29" s="673">
        <f>-PV(H29,F29,E29,0)</f>
        <v>16326.530612244896</v>
      </c>
    </row>
    <row r="30" spans="1:12" ht="14.5">
      <c r="A30" s="671">
        <v>60000</v>
      </c>
      <c r="B30" s="671">
        <v>99999</v>
      </c>
      <c r="C30" s="666">
        <v>30000</v>
      </c>
      <c r="D30" s="672">
        <v>0.3</v>
      </c>
      <c r="E30" s="666">
        <f>D30*C30</f>
        <v>9000</v>
      </c>
      <c r="F30" s="666">
        <v>1</v>
      </c>
      <c r="G30" s="666">
        <f>E30*F30</f>
        <v>9000</v>
      </c>
      <c r="H30" s="665">
        <f>Model_Summary!F149</f>
        <v>0.22500000000000028</v>
      </c>
      <c r="I30" s="673">
        <f>-PV(H30,F30,E30,0)</f>
        <v>7346.9387755102034</v>
      </c>
    </row>
    <row r="31" spans="1:12" ht="14.5">
      <c r="A31" s="671">
        <v>100000</v>
      </c>
      <c r="B31" s="671" t="s">
        <v>243</v>
      </c>
      <c r="C31" s="666">
        <v>100000</v>
      </c>
      <c r="D31" s="672">
        <v>0.3</v>
      </c>
      <c r="E31" s="666">
        <f>D31*C31</f>
        <v>30000</v>
      </c>
      <c r="F31" s="666">
        <v>1</v>
      </c>
      <c r="G31" s="666">
        <f>E31*F31</f>
        <v>30000</v>
      </c>
      <c r="H31" s="665">
        <f>Model_Summary!F149</f>
        <v>0.22500000000000028</v>
      </c>
      <c r="I31" s="673">
        <f>IF((-PV(H31,F31,E31,0))&gt;100000,100000,-PV(H31,F31,E31,0))</f>
        <v>24489.795918367348</v>
      </c>
    </row>
    <row r="32" spans="1:12">
      <c r="C32" s="669"/>
      <c r="D32" s="664"/>
      <c r="E32" s="664"/>
      <c r="F32" s="664"/>
      <c r="G32" s="664"/>
      <c r="H32" s="664"/>
      <c r="J32"/>
      <c r="K32"/>
      <c r="L32"/>
    </row>
    <row r="33" spans="2:12">
      <c r="B33" s="664"/>
      <c r="C33" s="664"/>
      <c r="D33" s="664"/>
      <c r="E33" s="664"/>
      <c r="I33"/>
      <c r="J33"/>
      <c r="K33"/>
      <c r="L33"/>
    </row>
    <row r="34" spans="2:12">
      <c r="B34" s="664"/>
      <c r="C34" s="664"/>
      <c r="D34" s="664"/>
      <c r="E34" s="664"/>
      <c r="I34"/>
      <c r="J34"/>
      <c r="K34"/>
      <c r="L34"/>
    </row>
    <row r="35" spans="2:12">
      <c r="B35" s="664"/>
      <c r="C35" s="664"/>
      <c r="D35" s="664"/>
      <c r="E35" s="664"/>
      <c r="I35"/>
      <c r="J35"/>
      <c r="K35"/>
      <c r="L35"/>
    </row>
    <row r="36" spans="2:12">
      <c r="B36" s="664"/>
      <c r="C36" s="664"/>
      <c r="D36" s="664"/>
      <c r="E36" s="664"/>
      <c r="I36"/>
      <c r="J36"/>
      <c r="K36"/>
      <c r="L36"/>
    </row>
    <row r="37" spans="2:12">
      <c r="B37" s="664"/>
      <c r="C37" s="664"/>
      <c r="D37" s="664"/>
      <c r="E37" s="664"/>
      <c r="I37"/>
      <c r="J37"/>
      <c r="K37"/>
      <c r="L37"/>
    </row>
    <row r="38" spans="2:12">
      <c r="B38" s="664"/>
      <c r="C38" s="664"/>
      <c r="D38" s="664"/>
      <c r="E38" s="664"/>
      <c r="I38"/>
      <c r="J38"/>
      <c r="K38"/>
      <c r="L38"/>
    </row>
    <row r="39" spans="2:12">
      <c r="B39" s="664"/>
      <c r="C39" s="664"/>
      <c r="D39" s="664"/>
      <c r="E39" s="664"/>
      <c r="I39"/>
      <c r="J39"/>
      <c r="K39"/>
      <c r="L39"/>
    </row>
    <row r="40" spans="2:12">
      <c r="B40" s="664"/>
      <c r="C40" s="664"/>
      <c r="D40" s="664"/>
      <c r="E40" s="664"/>
      <c r="I40"/>
      <c r="J40"/>
      <c r="K40"/>
      <c r="L40"/>
    </row>
    <row r="41" spans="2:12">
      <c r="B41" s="664"/>
      <c r="C41" s="664"/>
      <c r="D41" s="664"/>
      <c r="E41" s="664"/>
      <c r="I41"/>
      <c r="J41"/>
      <c r="K41"/>
      <c r="L41"/>
    </row>
    <row r="42" spans="2:12">
      <c r="B42" s="664"/>
      <c r="C42" s="664"/>
      <c r="D42" s="664"/>
      <c r="E42" s="664"/>
      <c r="I42"/>
      <c r="J42"/>
      <c r="K42"/>
      <c r="L42"/>
    </row>
    <row r="43" spans="2:12">
      <c r="B43" s="664"/>
      <c r="C43" s="664"/>
      <c r="D43" s="664"/>
      <c r="E43" s="664"/>
      <c r="I43"/>
      <c r="J43"/>
      <c r="K43"/>
      <c r="L43"/>
    </row>
    <row r="44" spans="2:12">
      <c r="B44" s="664"/>
      <c r="C44" s="664"/>
      <c r="D44" s="664"/>
      <c r="E44" s="664"/>
      <c r="I44"/>
      <c r="J44"/>
      <c r="K44"/>
      <c r="L44"/>
    </row>
    <row r="45" spans="2:12">
      <c r="B45" s="664"/>
      <c r="C45" s="664"/>
      <c r="D45" s="664"/>
      <c r="E45" s="664"/>
      <c r="I45"/>
      <c r="J45"/>
      <c r="K45"/>
      <c r="L45"/>
    </row>
    <row r="46" spans="2:12">
      <c r="B46" s="664"/>
      <c r="C46" s="664"/>
      <c r="D46" s="664"/>
      <c r="E46" s="664"/>
      <c r="I46"/>
      <c r="J46"/>
      <c r="K46"/>
      <c r="L46"/>
    </row>
    <row r="47" spans="2:12">
      <c r="B47" s="664"/>
      <c r="C47" s="664"/>
      <c r="D47" s="664"/>
      <c r="E47" s="664"/>
      <c r="I47"/>
      <c r="J47"/>
      <c r="K47"/>
      <c r="L47"/>
    </row>
    <row r="48" spans="2:12">
      <c r="B48" s="664"/>
      <c r="C48" s="664"/>
      <c r="D48" s="664"/>
      <c r="E48" s="664"/>
      <c r="I48"/>
      <c r="J48"/>
      <c r="K48"/>
      <c r="L48"/>
    </row>
    <row r="49" spans="2:12">
      <c r="B49" s="664"/>
      <c r="C49" s="664"/>
      <c r="D49" s="664"/>
      <c r="E49" s="664"/>
      <c r="I49"/>
      <c r="J49"/>
      <c r="K49"/>
      <c r="L49"/>
    </row>
    <row r="50" spans="2:12">
      <c r="B50" s="664"/>
      <c r="C50" s="664"/>
      <c r="D50" s="664"/>
      <c r="E50" s="664"/>
      <c r="I50"/>
      <c r="J50"/>
      <c r="K50"/>
      <c r="L50"/>
    </row>
    <row r="51" spans="2:12">
      <c r="B51" s="664"/>
      <c r="C51" s="664"/>
      <c r="D51" s="664"/>
      <c r="E51" s="664"/>
      <c r="I51"/>
      <c r="J51"/>
      <c r="K51"/>
      <c r="L51"/>
    </row>
    <row r="52" spans="2:12">
      <c r="B52" s="664"/>
      <c r="C52" s="664"/>
      <c r="D52" s="664"/>
      <c r="E52" s="664"/>
      <c r="I52"/>
      <c r="J52"/>
      <c r="K52"/>
      <c r="L52"/>
    </row>
    <row r="53" spans="2:12">
      <c r="B53" s="664"/>
      <c r="C53" s="664"/>
      <c r="D53" s="664"/>
      <c r="E53" s="664"/>
      <c r="I53"/>
      <c r="J53"/>
      <c r="K53"/>
      <c r="L53"/>
    </row>
    <row r="54" spans="2:12">
      <c r="B54" s="664"/>
      <c r="C54" s="664"/>
      <c r="D54" s="664"/>
      <c r="E54" s="664"/>
      <c r="I54"/>
      <c r="J54"/>
      <c r="K54"/>
      <c r="L54"/>
    </row>
    <row r="55" spans="2:12">
      <c r="B55" s="664"/>
      <c r="C55" s="664"/>
      <c r="D55" s="664"/>
      <c r="E55" s="664"/>
      <c r="I55"/>
      <c r="J55"/>
      <c r="K55"/>
      <c r="L55"/>
    </row>
    <row r="56" spans="2:12">
      <c r="B56" s="664"/>
      <c r="C56" s="664"/>
      <c r="D56" s="664"/>
      <c r="E56" s="664"/>
      <c r="I56"/>
      <c r="J56"/>
      <c r="K56"/>
      <c r="L56"/>
    </row>
    <row r="57" spans="2:12">
      <c r="E57" s="678"/>
    </row>
    <row r="58" spans="2:12">
      <c r="E58" s="678"/>
    </row>
    <row r="59" spans="2:12">
      <c r="E59" s="678"/>
    </row>
    <row r="60" spans="2:12">
      <c r="E60" s="678"/>
    </row>
    <row r="61" spans="2:12">
      <c r="E61" s="678"/>
    </row>
    <row r="62" spans="2:12">
      <c r="E62" s="678"/>
    </row>
    <row r="63" spans="2:12">
      <c r="E63" s="678"/>
    </row>
    <row r="64" spans="2:12">
      <c r="E64" s="678"/>
    </row>
    <row r="65" spans="5:5">
      <c r="E65" s="678"/>
    </row>
    <row r="66" spans="5:5">
      <c r="E66" s="678"/>
    </row>
  </sheetData>
  <mergeCells count="7">
    <mergeCell ref="C3:E3"/>
    <mergeCell ref="D23:F23"/>
    <mergeCell ref="A27:B27"/>
    <mergeCell ref="C27:D27"/>
    <mergeCell ref="C18:G18"/>
    <mergeCell ref="A12:B12"/>
    <mergeCell ref="C12:D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324B-432E-4C5F-8D5A-7638D229D68E}">
  <dimension ref="A1:E23"/>
  <sheetViews>
    <sheetView workbookViewId="0">
      <selection activeCell="H17" sqref="H17"/>
    </sheetView>
  </sheetViews>
  <sheetFormatPr defaultRowHeight="14"/>
  <cols>
    <col min="1" max="1" width="40.4140625" bestFit="1" customWidth="1"/>
    <col min="2" max="2" width="18.83203125" customWidth="1"/>
    <col min="3" max="3" width="18.5" customWidth="1"/>
    <col min="4" max="4" width="19.08203125" bestFit="1" customWidth="1"/>
    <col min="5" max="5" width="16.6640625" customWidth="1"/>
  </cols>
  <sheetData>
    <row r="1" spans="1:5">
      <c r="A1" s="515" t="s">
        <v>424</v>
      </c>
      <c r="B1" s="516" t="s">
        <v>425</v>
      </c>
      <c r="C1" s="516" t="s">
        <v>427</v>
      </c>
      <c r="D1" s="516" t="s">
        <v>428</v>
      </c>
      <c r="E1" s="523" t="s">
        <v>239</v>
      </c>
    </row>
    <row r="2" spans="1:5">
      <c r="A2" s="517" t="s">
        <v>214</v>
      </c>
      <c r="B2" s="518">
        <v>883121492</v>
      </c>
      <c r="C2" s="518">
        <v>200710035.17830101</v>
      </c>
      <c r="D2" s="518">
        <f>(B2/8)*3</f>
        <v>331170559.5</v>
      </c>
      <c r="E2" s="524">
        <f>B2+C2+D2</f>
        <v>1415002086.6783011</v>
      </c>
    </row>
    <row r="3" spans="1:5">
      <c r="A3" s="517" t="s">
        <v>215</v>
      </c>
      <c r="B3" s="518">
        <v>0</v>
      </c>
      <c r="C3" s="518"/>
      <c r="D3" s="518">
        <f t="shared" ref="D3:D23" si="0">(B3/8)*3</f>
        <v>0</v>
      </c>
      <c r="E3" s="524">
        <f t="shared" ref="E3:E21" si="1">B3+C3+D3</f>
        <v>0</v>
      </c>
    </row>
    <row r="4" spans="1:5">
      <c r="A4" s="517" t="s">
        <v>216</v>
      </c>
      <c r="B4" s="518">
        <v>169149867</v>
      </c>
      <c r="C4" s="518">
        <v>5000000</v>
      </c>
      <c r="D4" s="518">
        <f t="shared" si="0"/>
        <v>63431200.125</v>
      </c>
      <c r="E4" s="524">
        <f t="shared" si="1"/>
        <v>237581067.125</v>
      </c>
    </row>
    <row r="5" spans="1:5">
      <c r="A5" s="517" t="s">
        <v>217</v>
      </c>
      <c r="B5" s="518">
        <v>343385265</v>
      </c>
      <c r="C5" s="518">
        <v>32748398.323577773</v>
      </c>
      <c r="D5" s="518">
        <f t="shared" si="0"/>
        <v>128769474.375</v>
      </c>
      <c r="E5" s="524">
        <f t="shared" si="1"/>
        <v>504903137.69857776</v>
      </c>
    </row>
    <row r="6" spans="1:5">
      <c r="A6" s="517" t="s">
        <v>218</v>
      </c>
      <c r="B6" s="518">
        <v>121735833</v>
      </c>
      <c r="C6" s="518">
        <v>9329708.3333333321</v>
      </c>
      <c r="D6" s="518">
        <f t="shared" si="0"/>
        <v>45650937.375</v>
      </c>
      <c r="E6" s="524">
        <f t="shared" si="1"/>
        <v>176716478.70833331</v>
      </c>
    </row>
    <row r="7" spans="1:5">
      <c r="A7" s="517" t="s">
        <v>219</v>
      </c>
      <c r="B7" s="518">
        <v>92706824</v>
      </c>
      <c r="C7" s="518">
        <v>13138193.23691106</v>
      </c>
      <c r="D7" s="518">
        <f t="shared" si="0"/>
        <v>34765059</v>
      </c>
      <c r="E7" s="524">
        <f t="shared" si="1"/>
        <v>140610076.23691106</v>
      </c>
    </row>
    <row r="8" spans="1:5">
      <c r="A8" s="517" t="s">
        <v>220</v>
      </c>
      <c r="B8" s="518">
        <v>20000000</v>
      </c>
      <c r="C8" s="518">
        <v>2500000</v>
      </c>
      <c r="D8" s="518">
        <f t="shared" si="0"/>
        <v>7500000</v>
      </c>
      <c r="E8" s="524">
        <f t="shared" si="1"/>
        <v>30000000</v>
      </c>
    </row>
    <row r="9" spans="1:5">
      <c r="A9" s="517" t="s">
        <v>221</v>
      </c>
      <c r="B9" s="518">
        <v>18827366</v>
      </c>
      <c r="C9" s="518">
        <v>2325676.6901383242</v>
      </c>
      <c r="D9" s="518">
        <f t="shared" si="0"/>
        <v>7060262.25</v>
      </c>
      <c r="E9" s="524">
        <f t="shared" si="1"/>
        <v>28213304.940138325</v>
      </c>
    </row>
    <row r="10" spans="1:5">
      <c r="A10" s="517" t="s">
        <v>222</v>
      </c>
      <c r="B10" s="518">
        <v>236427565</v>
      </c>
      <c r="C10" s="518">
        <v>31823809.192297902</v>
      </c>
      <c r="D10" s="518">
        <f t="shared" si="0"/>
        <v>88660336.875</v>
      </c>
      <c r="E10" s="524">
        <f t="shared" si="1"/>
        <v>356911711.06729794</v>
      </c>
    </row>
    <row r="11" spans="1:5">
      <c r="A11" s="517" t="s">
        <v>223</v>
      </c>
      <c r="B11" s="518">
        <v>4500000</v>
      </c>
      <c r="C11" s="518">
        <v>499999.99999999988</v>
      </c>
      <c r="D11" s="518">
        <f t="shared" si="0"/>
        <v>1687500</v>
      </c>
      <c r="E11" s="524">
        <f t="shared" si="1"/>
        <v>6687500</v>
      </c>
    </row>
    <row r="12" spans="1:5">
      <c r="A12" s="517" t="s">
        <v>224</v>
      </c>
      <c r="B12" s="518">
        <v>73338217</v>
      </c>
      <c r="C12" s="518">
        <v>8614704.8000000007</v>
      </c>
      <c r="D12" s="518">
        <f t="shared" si="0"/>
        <v>27501831.375</v>
      </c>
      <c r="E12" s="524">
        <f t="shared" si="1"/>
        <v>109454753.175</v>
      </c>
    </row>
    <row r="13" spans="1:5">
      <c r="A13" s="517" t="s">
        <v>66</v>
      </c>
      <c r="B13" s="518">
        <v>8547000</v>
      </c>
      <c r="C13" s="518">
        <v>4500000</v>
      </c>
      <c r="D13" s="518">
        <f t="shared" si="0"/>
        <v>3205125</v>
      </c>
      <c r="E13" s="524">
        <f t="shared" si="1"/>
        <v>16252125</v>
      </c>
    </row>
    <row r="14" spans="1:5">
      <c r="A14" s="517" t="s">
        <v>67</v>
      </c>
      <c r="B14" s="518">
        <v>60312229</v>
      </c>
      <c r="C14" s="518">
        <v>7539028.645833333</v>
      </c>
      <c r="D14" s="518">
        <f t="shared" si="0"/>
        <v>22617085.875</v>
      </c>
      <c r="E14" s="524">
        <f t="shared" si="1"/>
        <v>90468343.520833328</v>
      </c>
    </row>
    <row r="15" spans="1:5">
      <c r="A15" s="517" t="s">
        <v>225</v>
      </c>
      <c r="B15" s="518">
        <v>0</v>
      </c>
      <c r="C15" s="518"/>
      <c r="D15" s="518">
        <f t="shared" si="0"/>
        <v>0</v>
      </c>
      <c r="E15" s="524">
        <f t="shared" si="1"/>
        <v>0</v>
      </c>
    </row>
    <row r="16" spans="1:5">
      <c r="A16" s="517" t="s">
        <v>226</v>
      </c>
      <c r="B16" s="518">
        <v>30556152</v>
      </c>
      <c r="C16" s="518">
        <v>3819518.9814814818</v>
      </c>
      <c r="D16" s="518">
        <f t="shared" si="0"/>
        <v>11458557</v>
      </c>
      <c r="E16" s="524">
        <f t="shared" si="1"/>
        <v>45834227.981481485</v>
      </c>
    </row>
    <row r="17" spans="1:5">
      <c r="A17" s="517" t="s">
        <v>227</v>
      </c>
      <c r="B17" s="518">
        <v>92357935</v>
      </c>
      <c r="C17" s="518">
        <v>11445083.300307462</v>
      </c>
      <c r="D17" s="518">
        <f t="shared" si="0"/>
        <v>34634225.625</v>
      </c>
      <c r="E17" s="524">
        <f t="shared" si="1"/>
        <v>138437243.92530745</v>
      </c>
    </row>
    <row r="18" spans="1:5">
      <c r="A18" s="519"/>
      <c r="B18" s="520">
        <f>SUM(B2:B17)</f>
        <v>2154965745</v>
      </c>
      <c r="C18" s="520">
        <f>SUM(C2:C17)</f>
        <v>333994156.68218166</v>
      </c>
      <c r="D18" s="520">
        <f t="shared" si="0"/>
        <v>808112154.375</v>
      </c>
      <c r="E18" s="525">
        <f t="shared" si="1"/>
        <v>3297072056.0571818</v>
      </c>
    </row>
    <row r="19" spans="1:5">
      <c r="A19" s="521" t="s">
        <v>426</v>
      </c>
      <c r="B19" s="520"/>
      <c r="C19" s="520"/>
      <c r="D19" s="518">
        <f t="shared" si="0"/>
        <v>0</v>
      </c>
      <c r="E19" s="524">
        <f t="shared" si="1"/>
        <v>0</v>
      </c>
    </row>
    <row r="20" spans="1:5">
      <c r="A20" s="519" t="s">
        <v>232</v>
      </c>
      <c r="B20" s="522">
        <v>-42206622</v>
      </c>
      <c r="C20" s="522">
        <v>-1241371</v>
      </c>
      <c r="D20" s="518">
        <f t="shared" si="0"/>
        <v>-15827483.25</v>
      </c>
      <c r="E20" s="524">
        <f t="shared" si="1"/>
        <v>-59275476.25</v>
      </c>
    </row>
    <row r="21" spans="1:5">
      <c r="A21" s="519" t="s">
        <v>233</v>
      </c>
      <c r="B21" s="522">
        <v>-24538342</v>
      </c>
      <c r="C21" s="522">
        <v>-3067292.7083333302</v>
      </c>
      <c r="D21" s="518">
        <f t="shared" si="0"/>
        <v>-9201878.25</v>
      </c>
      <c r="E21" s="524">
        <f t="shared" si="1"/>
        <v>-36807512.958333328</v>
      </c>
    </row>
    <row r="22" spans="1:5">
      <c r="A22" s="519" t="s">
        <v>461</v>
      </c>
      <c r="B22" s="522"/>
      <c r="C22" s="522"/>
      <c r="D22" s="518">
        <f t="shared" si="0"/>
        <v>0</v>
      </c>
      <c r="E22" s="524">
        <f>-E4*'Marketing Split'!E6</f>
        <v>-92656616.178750008</v>
      </c>
    </row>
    <row r="23" spans="1:5">
      <c r="A23" s="519" t="s">
        <v>237</v>
      </c>
      <c r="B23" s="520">
        <f>SUM(B18:B21)</f>
        <v>2088220781</v>
      </c>
      <c r="C23" s="520">
        <f>SUM(C18:C21)</f>
        <v>329685492.97384834</v>
      </c>
      <c r="D23" s="520">
        <f t="shared" si="0"/>
        <v>783082792.875</v>
      </c>
      <c r="E23" s="525">
        <f>E18+E20+E21+E22</f>
        <v>3108332450.6700983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18D2-1454-427F-9466-7E909A881DF6}">
  <dimension ref="D4:E8"/>
  <sheetViews>
    <sheetView workbookViewId="0">
      <selection activeCell="E6" sqref="E6"/>
    </sheetView>
  </sheetViews>
  <sheetFormatPr defaultRowHeight="14"/>
  <cols>
    <col min="4" max="4" width="15.6640625" customWidth="1"/>
  </cols>
  <sheetData>
    <row r="4" spans="4:5" ht="14.5" thickBot="1"/>
    <row r="5" spans="4:5" ht="47" thickBot="1">
      <c r="D5" s="543"/>
      <c r="E5" s="544" t="s">
        <v>452</v>
      </c>
    </row>
    <row r="6" spans="4:5" ht="23" customHeight="1" thickBot="1">
      <c r="D6" s="545" t="s">
        <v>453</v>
      </c>
      <c r="E6" s="546">
        <v>0.39</v>
      </c>
    </row>
    <row r="7" spans="4:5" ht="16" thickBot="1">
      <c r="D7" s="545" t="s">
        <v>454</v>
      </c>
      <c r="E7" s="546">
        <v>0.61</v>
      </c>
    </row>
    <row r="8" spans="4:5" ht="16" thickBot="1">
      <c r="D8" s="547" t="s">
        <v>186</v>
      </c>
      <c r="E8" s="54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3" ma:contentTypeDescription="Create a new document." ma:contentTypeScope="" ma:versionID="f34220203623b29bd95928a01258108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5f81ccccfb01a33bd93647c1554950a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D6612-BEB1-4F9E-8872-B0946A301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CB4B07-7976-4605-8FB1-F9FA6BBDFF66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7964b4f4-4905-4090-bb5e-c807f92ac7cb"/>
    <ds:schemaRef ds:uri="6c0f22f6-4660-40a3-a6c2-f69ef74e2812"/>
  </ds:schemaRefs>
</ds:datastoreItem>
</file>

<file path=customXml/itemProps3.xml><?xml version="1.0" encoding="utf-8"?>
<ds:datastoreItem xmlns:ds="http://schemas.openxmlformats.org/officeDocument/2006/customXml" ds:itemID="{56CB1513-172D-467E-9FAC-3AD3D10DD377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2914B491-53C8-4BB2-8312-6094D1ECB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Model_Summary</vt:lpstr>
      <vt:lpstr>Current Portfolio</vt:lpstr>
      <vt:lpstr>By Product</vt:lpstr>
      <vt:lpstr>Overhead Allocation</vt:lpstr>
      <vt:lpstr>Loan 1</vt:lpstr>
      <vt:lpstr>Loan 2</vt:lpstr>
      <vt:lpstr>Loan 3</vt:lpstr>
      <vt:lpstr>MBL NTB By Band</vt:lpstr>
      <vt:lpstr>MBL Renewal By Band</vt:lpstr>
      <vt:lpstr>MBL Top-up By Band</vt:lpstr>
      <vt:lpstr>Assumption_Sheet</vt:lpstr>
      <vt:lpstr>DTI - Max loan calc</vt:lpstr>
      <vt:lpstr>Extrapolation</vt:lpstr>
      <vt:lpstr>Marketing 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Toluwani Adeseri</dc:creator>
  <cp:keywords/>
  <dc:description/>
  <cp:lastModifiedBy>Stella Elele</cp:lastModifiedBy>
  <cp:revision/>
  <dcterms:created xsi:type="dcterms:W3CDTF">2016-04-01T09:20:14Z</dcterms:created>
  <dcterms:modified xsi:type="dcterms:W3CDTF">2021-05-10T20:46:25Z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</Properties>
</file>