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G:\Shared drives\Racheli Bober\Rachel's Laboratory Notebook\Cayman 2022-2023 Porities samples\RNA extractions\"/>
    </mc:Choice>
  </mc:AlternateContent>
  <xr:revisionPtr revIDLastSave="0" documentId="13_ncr:1_{90E035E5-E69F-4155-AEB9-7914A5551255}" xr6:coauthVersionLast="36" xr6:coauthVersionMax="36" xr10:uidLastSave="{00000000-0000-0000-0000-000000000000}"/>
  <bookViews>
    <workbookView xWindow="0" yWindow="0" windowWidth="25200" windowHeight="11775" activeTab="2" xr2:uid="{00000000-000D-0000-FFFF-FFFF00000000}"/>
  </bookViews>
  <sheets>
    <sheet name="master data key table" sheetId="1" r:id="rId1"/>
    <sheet name=" full controls &amp; translocation" sheetId="2" r:id="rId2"/>
    <sheet name="T0&amp;Tend point" sheetId="8" r:id="rId3"/>
    <sheet name="T0" sheetId="3" r:id="rId4"/>
    <sheet name="End point after translocation" sheetId="4" r:id="rId5"/>
    <sheet name="November 2022" sheetId="5" r:id="rId6"/>
    <sheet name="July 2023" sheetId="6" r:id="rId7"/>
    <sheet name="Good samples Nov 2022" sheetId="7" r:id="rId8"/>
  </sheets>
  <definedNames>
    <definedName name="_xlnm._FilterDatabase" localSheetId="4" hidden="1">'End point after translocation'!$A$1:$M$79</definedName>
    <definedName name="_xlnm._FilterDatabase" localSheetId="3" hidden="1">T0!$A$1:$L$78</definedName>
  </definedNames>
  <calcPr calcId="191029"/>
  <extLst>
    <ext uri="GoogleSheetsCustomDataVersion2">
      <go:sheetsCustomData xmlns:go="http://customooxmlschemas.google.com/" r:id="rId11" roundtripDataChecksum="mGr5J48xyI5khaoGhwnBsdb0uKsQmc/rw5nLFPXGsEs="/>
    </ext>
  </extLst>
</workbook>
</file>

<file path=xl/calcChain.xml><?xml version="1.0" encoding="utf-8"?>
<calcChain xmlns="http://schemas.openxmlformats.org/spreadsheetml/2006/main">
  <c r="Q79" i="7" l="1"/>
  <c r="P79" i="7"/>
  <c r="O79" i="7"/>
  <c r="Q78" i="7"/>
  <c r="P78" i="7"/>
  <c r="O78" i="7"/>
  <c r="Q77" i="7"/>
  <c r="O77" i="7"/>
  <c r="Q76" i="7"/>
  <c r="Q75" i="7"/>
  <c r="Q74" i="7"/>
  <c r="O74" i="7"/>
  <c r="Q73" i="7"/>
  <c r="O73" i="7"/>
  <c r="P72" i="7"/>
  <c r="O72" i="7"/>
  <c r="Q72" i="7" s="1"/>
  <c r="Q71" i="7"/>
  <c r="Q70" i="7"/>
  <c r="O70" i="7"/>
  <c r="Q69" i="7"/>
  <c r="Q68" i="7"/>
  <c r="Q67" i="7"/>
  <c r="P67" i="7"/>
  <c r="O67" i="7"/>
  <c r="Q66" i="7"/>
  <c r="P66" i="7"/>
  <c r="O66" i="7"/>
  <c r="Q65" i="7"/>
  <c r="O65" i="7"/>
  <c r="Q64" i="7"/>
  <c r="P64" i="7"/>
  <c r="O64" i="7"/>
  <c r="Q63" i="7"/>
  <c r="Q62" i="7"/>
  <c r="O62" i="7"/>
  <c r="Q61" i="7"/>
  <c r="P60" i="7"/>
  <c r="Q60" i="7" s="1"/>
  <c r="O60" i="7"/>
  <c r="Q59" i="7"/>
  <c r="Q58" i="7"/>
  <c r="Q57" i="7"/>
  <c r="P57" i="7"/>
  <c r="O57" i="7"/>
  <c r="P56" i="7"/>
  <c r="Q56" i="7" s="1"/>
  <c r="O55" i="7"/>
  <c r="Q55" i="7" s="1"/>
  <c r="Q54" i="7"/>
  <c r="O54" i="7"/>
  <c r="P53" i="7"/>
  <c r="O53" i="7"/>
  <c r="Q53" i="7" s="1"/>
  <c r="Q52" i="7"/>
  <c r="O52" i="7"/>
  <c r="Q51" i="7"/>
  <c r="O51" i="7"/>
  <c r="O50" i="7"/>
  <c r="Q50" i="7" s="1"/>
  <c r="Q49" i="7"/>
  <c r="O48" i="7"/>
  <c r="Q48" i="7" s="1"/>
  <c r="Q47" i="7"/>
  <c r="P46" i="7"/>
  <c r="O46" i="7"/>
  <c r="Q46" i="7" s="1"/>
  <c r="Q45" i="7"/>
  <c r="Q44" i="7"/>
  <c r="O43" i="7"/>
  <c r="Q43" i="7" s="1"/>
  <c r="P38" i="7"/>
  <c r="Q38" i="7" s="1"/>
  <c r="Q37" i="7"/>
  <c r="Q36" i="7"/>
  <c r="Q35" i="7"/>
  <c r="O35" i="7"/>
  <c r="O34" i="7"/>
  <c r="Q34" i="7" s="1"/>
  <c r="Q33" i="7"/>
  <c r="Q32" i="7"/>
  <c r="O32" i="7"/>
  <c r="Q31" i="7"/>
  <c r="Q30" i="7"/>
  <c r="O30" i="7"/>
  <c r="Q29" i="7"/>
  <c r="Q28" i="7"/>
  <c r="Q27" i="7"/>
  <c r="Q26" i="7"/>
  <c r="O26" i="7"/>
  <c r="O25" i="7"/>
  <c r="Q25" i="7" s="1"/>
  <c r="Q24" i="7"/>
  <c r="P23" i="7"/>
  <c r="Q23" i="7" s="1"/>
  <c r="O23" i="7"/>
  <c r="P22" i="7"/>
  <c r="O22" i="7"/>
  <c r="Q22" i="7" s="1"/>
  <c r="Q21" i="7"/>
  <c r="O21" i="7"/>
  <c r="Q20" i="7"/>
  <c r="Q19" i="7"/>
  <c r="Q18" i="7"/>
  <c r="Q17" i="7"/>
  <c r="AH16" i="7"/>
  <c r="Q16" i="7"/>
  <c r="AG15" i="7"/>
  <c r="Q15" i="7"/>
  <c r="AG14" i="7"/>
  <c r="Q14" i="7"/>
  <c r="O14" i="7"/>
  <c r="AG13" i="7"/>
  <c r="O13" i="7"/>
  <c r="Q13" i="7" s="1"/>
  <c r="AH12" i="7"/>
  <c r="O12" i="7"/>
  <c r="Q12" i="7" s="1"/>
  <c r="AG11" i="7"/>
  <c r="Q11" i="7"/>
  <c r="AH10" i="7"/>
  <c r="AG10" i="7"/>
  <c r="Q10" i="7"/>
  <c r="AH9" i="7"/>
  <c r="AG9" i="7"/>
  <c r="Q9" i="7"/>
  <c r="AG8" i="7"/>
  <c r="Q8" i="7"/>
  <c r="AG7" i="7"/>
  <c r="Q7" i="7"/>
  <c r="AG6" i="7"/>
  <c r="Q6" i="7"/>
  <c r="AG5" i="7"/>
  <c r="Q5" i="7"/>
  <c r="AG4" i="7"/>
  <c r="O4" i="7"/>
  <c r="Q4" i="7" s="1"/>
  <c r="AG3" i="7"/>
  <c r="O3" i="7"/>
  <c r="Q3" i="7" s="1"/>
  <c r="AG2" i="7"/>
  <c r="O2" i="7"/>
  <c r="Q2" i="7" s="1"/>
  <c r="N75" i="6"/>
  <c r="N73" i="6"/>
  <c r="N70" i="6"/>
  <c r="O69" i="6"/>
  <c r="N69" i="6"/>
  <c r="O68" i="6"/>
  <c r="N68" i="6"/>
  <c r="O66" i="6"/>
  <c r="N66" i="6"/>
  <c r="N63" i="6"/>
  <c r="N61" i="6"/>
  <c r="N59" i="6"/>
  <c r="N57" i="6"/>
  <c r="N56" i="6"/>
  <c r="N55" i="6"/>
  <c r="N54" i="6"/>
  <c r="N53" i="6"/>
  <c r="N52" i="6"/>
  <c r="N48" i="6"/>
  <c r="N46" i="6"/>
  <c r="N45" i="6"/>
  <c r="N44" i="6"/>
  <c r="N43" i="6"/>
  <c r="N41" i="6"/>
  <c r="N40" i="6"/>
  <c r="N39" i="6"/>
  <c r="N38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1" i="6"/>
  <c r="N20" i="6"/>
  <c r="N19" i="6"/>
  <c r="O18" i="6"/>
  <c r="N18" i="6"/>
  <c r="N17" i="6"/>
  <c r="N16" i="6"/>
  <c r="N14" i="6"/>
  <c r="N13" i="6"/>
  <c r="N11" i="6"/>
  <c r="N9" i="6"/>
  <c r="N8" i="6"/>
  <c r="N7" i="6"/>
  <c r="N6" i="6"/>
  <c r="N4" i="6"/>
  <c r="P77" i="5"/>
  <c r="O77" i="5"/>
  <c r="P76" i="5"/>
  <c r="O76" i="5"/>
  <c r="O75" i="5"/>
  <c r="O72" i="5"/>
  <c r="O71" i="5"/>
  <c r="P70" i="5"/>
  <c r="O70" i="5"/>
  <c r="O68" i="5"/>
  <c r="P65" i="5"/>
  <c r="O65" i="5"/>
  <c r="P64" i="5"/>
  <c r="O64" i="5"/>
  <c r="O63" i="5"/>
  <c r="P62" i="5"/>
  <c r="O62" i="5"/>
  <c r="O60" i="5"/>
  <c r="P58" i="5"/>
  <c r="O58" i="5"/>
  <c r="P55" i="5"/>
  <c r="O55" i="5"/>
  <c r="P54" i="5"/>
  <c r="O53" i="5"/>
  <c r="O52" i="5"/>
  <c r="P51" i="5"/>
  <c r="O51" i="5"/>
  <c r="O50" i="5"/>
  <c r="O49" i="5"/>
  <c r="O48" i="5"/>
  <c r="O46" i="5"/>
  <c r="P44" i="5"/>
  <c r="O44" i="5"/>
  <c r="O41" i="5"/>
  <c r="P38" i="5"/>
  <c r="O35" i="5"/>
  <c r="O34" i="5"/>
  <c r="O32" i="5"/>
  <c r="O26" i="5"/>
  <c r="O25" i="5"/>
  <c r="P23" i="5"/>
  <c r="O23" i="5"/>
  <c r="P22" i="5"/>
  <c r="O22" i="5"/>
  <c r="O21" i="5"/>
  <c r="O14" i="5"/>
  <c r="O13" i="5"/>
  <c r="O12" i="5"/>
  <c r="O4" i="5"/>
  <c r="O3" i="5"/>
  <c r="O2" i="5"/>
  <c r="F78" i="4"/>
  <c r="F76" i="4"/>
  <c r="F74" i="4"/>
  <c r="F73" i="4"/>
  <c r="F72" i="4"/>
  <c r="F71" i="4"/>
  <c r="F70" i="4"/>
  <c r="F69" i="4"/>
  <c r="F66" i="4"/>
  <c r="F64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1" i="4"/>
  <c r="F40" i="4"/>
  <c r="F39" i="4"/>
  <c r="F38" i="4"/>
  <c r="F37" i="4"/>
  <c r="F36" i="4"/>
  <c r="F34" i="4"/>
  <c r="F32" i="4"/>
  <c r="F31" i="4"/>
  <c r="F30" i="4"/>
  <c r="F29" i="4"/>
  <c r="F28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3" i="2"/>
  <c r="G23" i="2"/>
  <c r="Q22" i="2"/>
  <c r="G22" i="2"/>
  <c r="Q20" i="2"/>
  <c r="G20" i="2"/>
  <c r="Q19" i="2"/>
  <c r="G19" i="2"/>
  <c r="Q12" i="2"/>
  <c r="G12" i="2"/>
  <c r="Q11" i="2"/>
  <c r="G11" i="2"/>
  <c r="Q9" i="2"/>
  <c r="G9" i="2"/>
  <c r="Q8" i="2"/>
  <c r="G8" i="2"/>
  <c r="G6" i="2"/>
  <c r="G5" i="2"/>
  <c r="Q4" i="2"/>
  <c r="G4" i="2"/>
  <c r="N76" i="1"/>
  <c r="F76" i="1"/>
  <c r="F75" i="1"/>
  <c r="N74" i="1"/>
  <c r="F74" i="1"/>
  <c r="F73" i="1"/>
  <c r="N72" i="1"/>
  <c r="F72" i="1"/>
  <c r="N71" i="1"/>
  <c r="F71" i="1"/>
  <c r="N70" i="1"/>
  <c r="F70" i="1"/>
  <c r="N69" i="1"/>
  <c r="F69" i="1"/>
  <c r="N68" i="1"/>
  <c r="F68" i="1"/>
  <c r="N67" i="1"/>
  <c r="F67" i="1"/>
  <c r="F66" i="1"/>
  <c r="F65" i="1"/>
  <c r="N64" i="1"/>
  <c r="F64" i="1"/>
  <c r="F63" i="1"/>
  <c r="N62" i="1"/>
  <c r="F62" i="1"/>
  <c r="F61" i="1"/>
  <c r="N60" i="1"/>
  <c r="F60" i="1"/>
  <c r="N59" i="1"/>
  <c r="F59" i="1"/>
  <c r="N58" i="1"/>
  <c r="F58" i="1"/>
  <c r="N57" i="1"/>
  <c r="F57" i="1"/>
  <c r="N56" i="1"/>
  <c r="F56" i="1"/>
  <c r="N55" i="1"/>
  <c r="F55" i="1"/>
  <c r="N54" i="1"/>
  <c r="F54" i="1"/>
  <c r="N53" i="1"/>
  <c r="F53" i="1"/>
  <c r="N52" i="1"/>
  <c r="F52" i="1"/>
  <c r="N51" i="1"/>
  <c r="F51" i="1"/>
  <c r="N50" i="1"/>
  <c r="F50" i="1"/>
  <c r="N49" i="1"/>
  <c r="F49" i="1"/>
  <c r="N48" i="1"/>
  <c r="F48" i="1"/>
  <c r="N47" i="1"/>
  <c r="F47" i="1"/>
  <c r="N46" i="1"/>
  <c r="F46" i="1"/>
  <c r="N45" i="1"/>
  <c r="F45" i="1"/>
  <c r="N44" i="1"/>
  <c r="F44" i="1"/>
  <c r="F43" i="1"/>
  <c r="N41" i="1"/>
  <c r="F41" i="1"/>
  <c r="N40" i="1"/>
  <c r="F40" i="1"/>
  <c r="N39" i="1"/>
  <c r="F39" i="1"/>
  <c r="N38" i="1"/>
  <c r="F38" i="1"/>
  <c r="N37" i="1"/>
  <c r="F37" i="1"/>
  <c r="N36" i="1"/>
  <c r="F36" i="1"/>
  <c r="N35" i="1"/>
  <c r="F35" i="1"/>
  <c r="N34" i="1"/>
  <c r="F34" i="1"/>
  <c r="N33" i="1"/>
  <c r="F33" i="1"/>
  <c r="F32" i="1"/>
  <c r="N31" i="1"/>
  <c r="F31" i="1"/>
  <c r="F30" i="1"/>
  <c r="N29" i="1"/>
  <c r="F29" i="1"/>
  <c r="F28" i="1"/>
  <c r="N27" i="1"/>
  <c r="F27" i="1"/>
  <c r="N26" i="1"/>
  <c r="F26" i="1"/>
  <c r="N25" i="1"/>
  <c r="F25" i="1"/>
  <c r="N24" i="1"/>
  <c r="F24" i="1"/>
  <c r="N23" i="1"/>
  <c r="F23" i="1"/>
  <c r="N22" i="1"/>
  <c r="F22" i="1"/>
  <c r="N21" i="1"/>
  <c r="F21" i="1"/>
  <c r="N20" i="1"/>
  <c r="F20" i="1"/>
  <c r="N19" i="1"/>
  <c r="F19" i="1"/>
  <c r="N18" i="1"/>
  <c r="F18" i="1"/>
  <c r="N17" i="1"/>
  <c r="F17" i="1"/>
  <c r="N16" i="1"/>
  <c r="F16" i="1"/>
  <c r="N15" i="1"/>
  <c r="F15" i="1"/>
  <c r="N14" i="1"/>
  <c r="F14" i="1"/>
  <c r="N13" i="1"/>
  <c r="F13" i="1"/>
  <c r="N12" i="1"/>
  <c r="F12" i="1"/>
  <c r="N11" i="1"/>
  <c r="F11" i="1"/>
  <c r="N10" i="1"/>
  <c r="F10" i="1"/>
  <c r="N9" i="1"/>
  <c r="F9" i="1"/>
  <c r="N8" i="1"/>
  <c r="F8" i="1"/>
  <c r="N7" i="1"/>
  <c r="F7" i="1"/>
  <c r="N6" i="1"/>
  <c r="F6" i="1"/>
  <c r="N5" i="1"/>
  <c r="F5" i="1"/>
  <c r="N4" i="1"/>
  <c r="F4" i="1"/>
  <c r="N3" i="1"/>
  <c r="F3" i="1"/>
  <c r="N2" i="1"/>
  <c r="F2" i="1"/>
</calcChain>
</file>

<file path=xl/sharedStrings.xml><?xml version="1.0" encoding="utf-8"?>
<sst xmlns="http://schemas.openxmlformats.org/spreadsheetml/2006/main" count="1914" uniqueCount="506">
  <si>
    <t>site</t>
  </si>
  <si>
    <t>Depth</t>
  </si>
  <si>
    <t>coral_id</t>
  </si>
  <si>
    <t>Tube id</t>
  </si>
  <si>
    <t>RNA RIN</t>
  </si>
  <si>
    <t xml:space="preserve">RNA quantity </t>
  </si>
  <si>
    <t>260_280</t>
  </si>
  <si>
    <t>260_230</t>
  </si>
  <si>
    <t>origin_depth</t>
  </si>
  <si>
    <t>transplant_depth</t>
  </si>
  <si>
    <t>Tube lable for RNA</t>
  </si>
  <si>
    <t>coral_city_10</t>
  </si>
  <si>
    <t>1a</t>
  </si>
  <si>
    <t>CC_SD_25</t>
  </si>
  <si>
    <t>2a</t>
  </si>
  <si>
    <t>CC_SD_26</t>
  </si>
  <si>
    <t>3a</t>
  </si>
  <si>
    <t>CC_SD_27</t>
  </si>
  <si>
    <t>4a</t>
  </si>
  <si>
    <t>4A</t>
  </si>
  <si>
    <t>CC_SD_28</t>
  </si>
  <si>
    <t>5a</t>
  </si>
  <si>
    <t>CC_SD_29</t>
  </si>
  <si>
    <t>coral_city</t>
  </si>
  <si>
    <t>6b</t>
  </si>
  <si>
    <t>CC_SS_35</t>
  </si>
  <si>
    <t>7b</t>
  </si>
  <si>
    <t>CC_SS_36</t>
  </si>
  <si>
    <t>8b</t>
  </si>
  <si>
    <t>CC_SS_37</t>
  </si>
  <si>
    <t>9b</t>
  </si>
  <si>
    <t>CC_SS_38</t>
  </si>
  <si>
    <t>10b</t>
  </si>
  <si>
    <t>CC_SS_39</t>
  </si>
  <si>
    <t>1b</t>
  </si>
  <si>
    <t>CC_SD_70</t>
  </si>
  <si>
    <t>2b</t>
  </si>
  <si>
    <t>CC_SD_71</t>
  </si>
  <si>
    <t>3b</t>
  </si>
  <si>
    <t>CC_SD_72</t>
  </si>
  <si>
    <t>4b</t>
  </si>
  <si>
    <t>CC_SD_73</t>
  </si>
  <si>
    <t>5b</t>
  </si>
  <si>
    <t>CC_SD_74</t>
  </si>
  <si>
    <t>6a</t>
  </si>
  <si>
    <t>6A</t>
  </si>
  <si>
    <t>CC_SS_75</t>
  </si>
  <si>
    <t>7a</t>
  </si>
  <si>
    <t>CC_SS_76</t>
  </si>
  <si>
    <t>8a</t>
  </si>
  <si>
    <t>CC_SS_77</t>
  </si>
  <si>
    <t>9a</t>
  </si>
  <si>
    <t>CC_SS_78</t>
  </si>
  <si>
    <t>10a</t>
  </si>
  <si>
    <t>CC_SS_79</t>
  </si>
  <si>
    <t>coral_city_40</t>
  </si>
  <si>
    <t>CC_DD_80</t>
  </si>
  <si>
    <t>CC_DD_81</t>
  </si>
  <si>
    <t>CC_DD_82</t>
  </si>
  <si>
    <t>CC_DD_83</t>
  </si>
  <si>
    <t>CC_DD_84</t>
  </si>
  <si>
    <t>CC_DS_85</t>
  </si>
  <si>
    <t>80-1</t>
  </si>
  <si>
    <t>CC_DS_86</t>
  </si>
  <si>
    <t>*80-1 Quntity mesurmentes are missing</t>
  </si>
  <si>
    <t>CC_DS_87</t>
  </si>
  <si>
    <t>CC_DS_88</t>
  </si>
  <si>
    <t>missing</t>
  </si>
  <si>
    <t>CC_DS_89</t>
  </si>
  <si>
    <t>CC_DD_90</t>
  </si>
  <si>
    <t>CC_DD_91</t>
  </si>
  <si>
    <t>CC_DD_92</t>
  </si>
  <si>
    <t>CC_DD_93</t>
  </si>
  <si>
    <t>CC_DD_94</t>
  </si>
  <si>
    <t>CC_DS_95</t>
  </si>
  <si>
    <t>CC_DS_96</t>
  </si>
  <si>
    <t>CC_DS_97</t>
  </si>
  <si>
    <t>*103 - sample from back up box</t>
  </si>
  <si>
    <t>CC_DS_98</t>
  </si>
  <si>
    <t>CC_DS_99</t>
  </si>
  <si>
    <t>tube lable</t>
  </si>
  <si>
    <t>marthas_40</t>
  </si>
  <si>
    <t>MF_DD_25</t>
  </si>
  <si>
    <t>MF_DD_26</t>
  </si>
  <si>
    <t>MF_DD_27</t>
  </si>
  <si>
    <t>MF_DD_28</t>
  </si>
  <si>
    <t>MF_DD_29</t>
  </si>
  <si>
    <t>MF_DD_30</t>
  </si>
  <si>
    <t>MF_DD_31</t>
  </si>
  <si>
    <t>marthas</t>
  </si>
  <si>
    <t>MF_SD_40</t>
  </si>
  <si>
    <t>MF_SD_41</t>
  </si>
  <si>
    <t>MF_SD_42</t>
  </si>
  <si>
    <t>MF_SD_43</t>
  </si>
  <si>
    <t>MF_SD_44</t>
  </si>
  <si>
    <t>MF_SD_45</t>
  </si>
  <si>
    <t>MF_SD_46</t>
  </si>
  <si>
    <t>MF_SD_47</t>
  </si>
  <si>
    <t>MF_SD_48</t>
  </si>
  <si>
    <t>MF_SD_49</t>
  </si>
  <si>
    <t>MF_DS_50</t>
  </si>
  <si>
    <t>MF_DS_51</t>
  </si>
  <si>
    <t>MF_DS_52</t>
  </si>
  <si>
    <t>MF_DS_53</t>
  </si>
  <si>
    <t>MF_DS_54</t>
  </si>
  <si>
    <t>MF_DS_55</t>
  </si>
  <si>
    <t>MF_DS_56</t>
  </si>
  <si>
    <t>marthas_10</t>
  </si>
  <si>
    <t>MF_SS_60</t>
  </si>
  <si>
    <t>MF_SS_61</t>
  </si>
  <si>
    <t>MF_SS_62</t>
  </si>
  <si>
    <t>MF_SS_63</t>
  </si>
  <si>
    <t>MF_SS_64</t>
  </si>
  <si>
    <t>MF_SS_65</t>
  </si>
  <si>
    <t>*122 - sample from back up box</t>
  </si>
  <si>
    <t>MF_SS_66</t>
  </si>
  <si>
    <t>MF_SS_67</t>
  </si>
  <si>
    <t>MF_SS_68</t>
  </si>
  <si>
    <t>MF_SS_69</t>
  </si>
  <si>
    <t>transplanted CC10 to CC40</t>
  </si>
  <si>
    <t>Extraction date</t>
  </si>
  <si>
    <t>Gel</t>
  </si>
  <si>
    <t>master data key table</t>
  </si>
  <si>
    <t>24/10/2023</t>
  </si>
  <si>
    <t>c2023-10-24-02.pdf</t>
  </si>
  <si>
    <t>15/08/2024</t>
  </si>
  <si>
    <t>c2024-08-15-01.pdf</t>
  </si>
  <si>
    <t>line 23</t>
  </si>
  <si>
    <t>c2023-11-06-01.pdf</t>
  </si>
  <si>
    <t>c2024-01-09-01.pdf</t>
  </si>
  <si>
    <t>line 28</t>
  </si>
  <si>
    <t>80-2</t>
  </si>
  <si>
    <t>*80-2 Quntity mesurmentes are missing</t>
  </si>
  <si>
    <t>30/10/2023</t>
  </si>
  <si>
    <t>c2023-10-30-02.pdf</t>
  </si>
  <si>
    <t>23/07/2024</t>
  </si>
  <si>
    <t>C2024-07-23-01.pdf</t>
  </si>
  <si>
    <t>line 24</t>
  </si>
  <si>
    <t>15/11/2023</t>
  </si>
  <si>
    <t>c2023-11-15-01.pdf</t>
  </si>
  <si>
    <t>c2024-06-04-01.pdf</t>
  </si>
  <si>
    <t>line 29</t>
  </si>
  <si>
    <t>24/10/2024</t>
  </si>
  <si>
    <t>22/11/2023</t>
  </si>
  <si>
    <t>c2023-11-22-01.pdf</t>
  </si>
  <si>
    <t>line 26</t>
  </si>
  <si>
    <t>13/11/2023</t>
  </si>
  <si>
    <t>c2023-11-13-02.pdf</t>
  </si>
  <si>
    <t>c2024-07-17-01.pdf</t>
  </si>
  <si>
    <t>line 31</t>
  </si>
  <si>
    <t>transplanted MF40 to MF10</t>
  </si>
  <si>
    <t>transplanted MF10 to MF40</t>
  </si>
  <si>
    <t>20/09/2023</t>
  </si>
  <si>
    <t>c2023-09-20-01.pdf</t>
  </si>
  <si>
    <t>16/07/2024</t>
  </si>
  <si>
    <t>line 76</t>
  </si>
  <si>
    <t>*10 Elution of 50 ul was divided into 5 vails; 10 ul in each</t>
  </si>
  <si>
    <t>c2023-11-13-01.pdf</t>
  </si>
  <si>
    <t>c2024-08-12-01.pdf</t>
  </si>
  <si>
    <t>line 54</t>
  </si>
  <si>
    <t>19/09/2023</t>
  </si>
  <si>
    <t>line 71</t>
  </si>
  <si>
    <t>c2024-08-07-01.pdf</t>
  </si>
  <si>
    <t>line 55</t>
  </si>
  <si>
    <t xml:space="preserve">Storage in minus 80: </t>
  </si>
  <si>
    <t>Tamar Lotan</t>
  </si>
  <si>
    <t>Tail Mass</t>
  </si>
  <si>
    <t>Ricardo</t>
  </si>
  <si>
    <t>Miri / Shani</t>
  </si>
  <si>
    <t>Jessica/ Jenna</t>
  </si>
  <si>
    <t>General 1</t>
  </si>
  <si>
    <t>Visitors</t>
  </si>
  <si>
    <t>Federica</t>
  </si>
  <si>
    <t>General 2</t>
  </si>
  <si>
    <t>Mayan</t>
  </si>
  <si>
    <t>Sivan / Yotam</t>
  </si>
  <si>
    <t>Tal / Tali</t>
  </si>
  <si>
    <t>Dawer #</t>
  </si>
  <si>
    <t>Maayan</t>
  </si>
  <si>
    <t>Rachel Bober - Cayman RNA extractions #2</t>
  </si>
  <si>
    <t>samples in minus 80 box.jpg</t>
  </si>
  <si>
    <t>box top</t>
  </si>
  <si>
    <t>**Pay attention-at yellow stickers printout #5 and #6 looks the same</t>
  </si>
  <si>
    <t>Gels and RIN's 5 and above</t>
  </si>
  <si>
    <t>sent to sequence</t>
  </si>
  <si>
    <t>c2023-03-21-01.pdf</t>
  </si>
  <si>
    <t>T0 CC10 samples with RIN5 and above.jpg</t>
  </si>
  <si>
    <t>c2023-10-25-02.pdf</t>
  </si>
  <si>
    <t>yes</t>
  </si>
  <si>
    <t>T0 CC40 samples with RIN5 and above.jpg</t>
  </si>
  <si>
    <t>c2023-11-14-01.pdf</t>
  </si>
  <si>
    <t>Yes</t>
  </si>
  <si>
    <t>c2023-11-08-01.pdf</t>
  </si>
  <si>
    <t>?</t>
  </si>
  <si>
    <t>c2023-09-19-01.pdf</t>
  </si>
  <si>
    <t>Not checked with Tapestation</t>
  </si>
  <si>
    <t>c2023-05-10-01.pdf</t>
  </si>
  <si>
    <t>T0 MF10 samples with RIN5 and above.jpg</t>
  </si>
  <si>
    <t>T0 MF40 samples with RIN5 and above.jpg</t>
  </si>
  <si>
    <t>c2023-10-24-01.pdf</t>
  </si>
  <si>
    <t>Gel is missing, sample is from Ricardo notebook 12</t>
  </si>
  <si>
    <t>c2023-11-06-02.pdf</t>
  </si>
  <si>
    <t>c2023-10-30-01.pdf</t>
  </si>
  <si>
    <t>Gels and RIN's below 5</t>
  </si>
  <si>
    <t>send for seq</t>
  </si>
  <si>
    <t>c2024-08-06-03-2.pdf</t>
  </si>
  <si>
    <t>28/08/24</t>
  </si>
  <si>
    <t>c2024-08-28-01.pdf</t>
  </si>
  <si>
    <t>c2024-07-11-01.pdf</t>
  </si>
  <si>
    <t>26/8/2024</t>
  </si>
  <si>
    <t>16/7/2024</t>
  </si>
  <si>
    <t>29/08/24</t>
  </si>
  <si>
    <t>C2024-08-29-01.pdf</t>
  </si>
  <si>
    <t>22/8/2024</t>
  </si>
  <si>
    <t>c2024-08-22-01.pdf</t>
  </si>
  <si>
    <t>15/8/2024</t>
  </si>
  <si>
    <t>23/7/2024</t>
  </si>
  <si>
    <t>14/7/2024</t>
  </si>
  <si>
    <t>c2024-08-12-02.pdf</t>
  </si>
  <si>
    <t>yes?</t>
  </si>
  <si>
    <t>26/08/2024</t>
  </si>
  <si>
    <t>C2024-08-26-01.pdf</t>
  </si>
  <si>
    <t>30/07/2024</t>
  </si>
  <si>
    <t>c2024-07-30-01.pdf</t>
  </si>
  <si>
    <t>30/7/2024</t>
  </si>
  <si>
    <t>c2024-08-07-02.pdf</t>
  </si>
  <si>
    <t>c2023-11-20-02.pdf</t>
  </si>
  <si>
    <t>c2024-08-06-02.pdf</t>
  </si>
  <si>
    <t>15/8/24</t>
  </si>
  <si>
    <t>c2024-08-01-01.pdf</t>
  </si>
  <si>
    <t>Tube lable</t>
  </si>
  <si>
    <t>RNA</t>
  </si>
  <si>
    <t>DATE RNA ISOLATION</t>
  </si>
  <si>
    <t>1st Elution ng/ul</t>
  </si>
  <si>
    <t>260/280</t>
  </si>
  <si>
    <t>260/230</t>
  </si>
  <si>
    <t>RIN</t>
  </si>
  <si>
    <t>RIN 2nd</t>
  </si>
  <si>
    <t>2nd Elution ng/ul</t>
  </si>
  <si>
    <t>total 1st elution (25ul)</t>
  </si>
  <si>
    <t>total 2nd elution (25ul)</t>
  </si>
  <si>
    <t>PAST_CC_10_1</t>
  </si>
  <si>
    <t>PAST-CC10 1A</t>
  </si>
  <si>
    <t>PAST_CC_10_2</t>
  </si>
  <si>
    <t>PAST-CC10 2A</t>
  </si>
  <si>
    <t>11'</t>
  </si>
  <si>
    <t>PAST_CC_10_3</t>
  </si>
  <si>
    <t>PAST-CC10 3A</t>
  </si>
  <si>
    <t>10'</t>
  </si>
  <si>
    <t>PAST_CC_10_4</t>
  </si>
  <si>
    <t>PAST-CC10 4A</t>
  </si>
  <si>
    <t>PAST_CC_10_5</t>
  </si>
  <si>
    <t>PAST-CC10 5A</t>
  </si>
  <si>
    <t>PAST_CC_10_6</t>
  </si>
  <si>
    <t>PAST-CC10 6A</t>
  </si>
  <si>
    <t>PAST_CC_10_7</t>
  </si>
  <si>
    <t>PAST-CC10 7A</t>
  </si>
  <si>
    <t>PAST_CC_10_8</t>
  </si>
  <si>
    <t>PAST-CC10 8A</t>
  </si>
  <si>
    <t>19'</t>
  </si>
  <si>
    <t>PAST_CC_10_9</t>
  </si>
  <si>
    <t>PAST-CC10 9A</t>
  </si>
  <si>
    <t>PAST_CC_10_10</t>
  </si>
  <si>
    <t>PAST-CC10 10A</t>
  </si>
  <si>
    <t>18'</t>
  </si>
  <si>
    <t>PAST_CC_40_1</t>
  </si>
  <si>
    <t>PAST-CC40 1A</t>
  </si>
  <si>
    <t>12'</t>
  </si>
  <si>
    <t>PAST_CC_40_2</t>
  </si>
  <si>
    <t>PAST-CC40 2A</t>
  </si>
  <si>
    <t>PAST_CC_40_3</t>
  </si>
  <si>
    <t>PAST-CC40 3A</t>
  </si>
  <si>
    <t>21'</t>
  </si>
  <si>
    <t>PAST_CC_40_4</t>
  </si>
  <si>
    <t>PAST-CC40 4A</t>
  </si>
  <si>
    <t>PAST_CC_40_5</t>
  </si>
  <si>
    <t>PAST-CC40 5A</t>
  </si>
  <si>
    <t>PAST_CC_40_6</t>
  </si>
  <si>
    <t>PAST-CC40 6A</t>
  </si>
  <si>
    <t>13'</t>
  </si>
  <si>
    <t>PAST_CC_40_7</t>
  </si>
  <si>
    <t>PAST-CC40 7A</t>
  </si>
  <si>
    <t>PAST_CC_40_8</t>
  </si>
  <si>
    <t>PAST-CC40 8A</t>
  </si>
  <si>
    <t>PAST_CC_40_9</t>
  </si>
  <si>
    <t>PAST-CC40 9A</t>
  </si>
  <si>
    <t>PAST_CC_40_10</t>
  </si>
  <si>
    <t>PAST-CC40 10A</t>
  </si>
  <si>
    <t>20'</t>
  </si>
  <si>
    <t>PAST_MF_10_1</t>
  </si>
  <si>
    <t>PAST-MF10M 1A</t>
  </si>
  <si>
    <t>23'</t>
  </si>
  <si>
    <t>PAST_MF_10_2</t>
  </si>
  <si>
    <t>PAST-MF10M 2A</t>
  </si>
  <si>
    <t>15'</t>
  </si>
  <si>
    <t>PAST_MF_10_3</t>
  </si>
  <si>
    <t>PAST-MF10M 3A</t>
  </si>
  <si>
    <t>PAST_MF_10_4</t>
  </si>
  <si>
    <t>PAST-MF10M 4A</t>
  </si>
  <si>
    <t>PAST_MF_10_5</t>
  </si>
  <si>
    <t>PAST-MF10 5A</t>
  </si>
  <si>
    <t>PAST_MF_10_6</t>
  </si>
  <si>
    <t>PAST-MF10 6A</t>
  </si>
  <si>
    <t>PAST_MF_10_7</t>
  </si>
  <si>
    <t>PAST-MF10M 7A</t>
  </si>
  <si>
    <t>PAST_MF_10_8</t>
  </si>
  <si>
    <t>PAST-MF10M 8A</t>
  </si>
  <si>
    <t>22'</t>
  </si>
  <si>
    <t>PAST_MF_10_9</t>
  </si>
  <si>
    <t>PAST-MF10M 9A</t>
  </si>
  <si>
    <t>14'</t>
  </si>
  <si>
    <t>PAST_MF_10_10</t>
  </si>
  <si>
    <t>PAST-MF10 10A</t>
  </si>
  <si>
    <t>PAST_MF_40_1</t>
  </si>
  <si>
    <t>PAST-MF 40M 1A</t>
  </si>
  <si>
    <t>PAST_MF_40_2</t>
  </si>
  <si>
    <t>PAST-MF40M 2A</t>
  </si>
  <si>
    <t>PAST_MF_40_3</t>
  </si>
  <si>
    <t>PAST-MF40M 3A</t>
  </si>
  <si>
    <t>16'</t>
  </si>
  <si>
    <t>PAST_MF_40_4</t>
  </si>
  <si>
    <t>PAST-MF 40M 4A</t>
  </si>
  <si>
    <t>PAST_MF_40_5</t>
  </si>
  <si>
    <t>PAST-MF40 5A</t>
  </si>
  <si>
    <t>PAST_MF_40_6</t>
  </si>
  <si>
    <t>PAST-MF40 6A</t>
  </si>
  <si>
    <t>PAST_MF_40_7</t>
  </si>
  <si>
    <t>PAST-MF40M 7A</t>
  </si>
  <si>
    <t>17'</t>
  </si>
  <si>
    <t>PAST-CC10 1B</t>
  </si>
  <si>
    <t>32'</t>
  </si>
  <si>
    <t>*</t>
  </si>
  <si>
    <t>PAST-CC10 2B</t>
  </si>
  <si>
    <t>40'</t>
  </si>
  <si>
    <t>PAST-CC10 3B</t>
  </si>
  <si>
    <t>44'</t>
  </si>
  <si>
    <t>PAST-CC10 4B</t>
  </si>
  <si>
    <t>56'</t>
  </si>
  <si>
    <t>PAST-CC10 5B</t>
  </si>
  <si>
    <t>24'</t>
  </si>
  <si>
    <t>PAST-CC10 6B</t>
  </si>
  <si>
    <t>48'</t>
  </si>
  <si>
    <t>PAST-CC10 7B</t>
  </si>
  <si>
    <t>57'</t>
  </si>
  <si>
    <t>PAST-CC10 8B</t>
  </si>
  <si>
    <t>52'</t>
  </si>
  <si>
    <t>PAST-CC10 9B</t>
  </si>
  <si>
    <t>28'</t>
  </si>
  <si>
    <t>PAST-CC10 10B</t>
  </si>
  <si>
    <t>36'</t>
  </si>
  <si>
    <t>PAST-CC40 1B</t>
  </si>
  <si>
    <t>49'</t>
  </si>
  <si>
    <t>PAST-CC40 2B</t>
  </si>
  <si>
    <t>25'</t>
  </si>
  <si>
    <t>PAST-CC40 3B</t>
  </si>
  <si>
    <t>59'</t>
  </si>
  <si>
    <t>PAST-CC40 4B</t>
  </si>
  <si>
    <t>60'</t>
  </si>
  <si>
    <t>PAST-CC40 5B</t>
  </si>
  <si>
    <t>45'</t>
  </si>
  <si>
    <t>PAST-CC40 6B</t>
  </si>
  <si>
    <t>29'</t>
  </si>
  <si>
    <t>PAST-CC40 7B</t>
  </si>
  <si>
    <t>53'</t>
  </si>
  <si>
    <t>PAST-CC40 8B</t>
  </si>
  <si>
    <t>37'</t>
  </si>
  <si>
    <t>PAST-CC40 9B</t>
  </si>
  <si>
    <t>41'</t>
  </si>
  <si>
    <t>PAST-CC40 10B</t>
  </si>
  <si>
    <t>33'</t>
  </si>
  <si>
    <t>PAST-MF10M 1B</t>
  </si>
  <si>
    <t>54'</t>
  </si>
  <si>
    <t>PAST-MF10M 2B</t>
  </si>
  <si>
    <t>30'</t>
  </si>
  <si>
    <t>PAST-MF10M 3B</t>
  </si>
  <si>
    <t>26'</t>
  </si>
  <si>
    <t>PAST-MF10M 4B</t>
  </si>
  <si>
    <t>55'</t>
  </si>
  <si>
    <t>PAST-MF10 5B</t>
  </si>
  <si>
    <t>46'</t>
  </si>
  <si>
    <t>PAST-MF10 6B</t>
  </si>
  <si>
    <t>38'</t>
  </si>
  <si>
    <t>PAST-MF10M 7B</t>
  </si>
  <si>
    <t>58'</t>
  </si>
  <si>
    <t>PAST-MF10M 8B</t>
  </si>
  <si>
    <t>34'</t>
  </si>
  <si>
    <t>PAST-MF10M 9B</t>
  </si>
  <si>
    <t>50'</t>
  </si>
  <si>
    <t>42'</t>
  </si>
  <si>
    <t>PAST-MF 40M 1B</t>
  </si>
  <si>
    <t>35'</t>
  </si>
  <si>
    <t>PAST-MF40M 2B</t>
  </si>
  <si>
    <t>27'</t>
  </si>
  <si>
    <t>PAST-MF40M 3B</t>
  </si>
  <si>
    <t>47'</t>
  </si>
  <si>
    <t>PAST-MF 40M 4B</t>
  </si>
  <si>
    <t>51'</t>
  </si>
  <si>
    <t>PAST-MF40 5B</t>
  </si>
  <si>
    <t>31'</t>
  </si>
  <si>
    <t>PAST-MF40 6B</t>
  </si>
  <si>
    <t>43'</t>
  </si>
  <si>
    <t>PAST-MF40M 7B</t>
  </si>
  <si>
    <t>39'</t>
  </si>
  <si>
    <t>* Sample from 06/11/2023 were thrown</t>
  </si>
  <si>
    <t>RNA No.</t>
  </si>
  <si>
    <t>Sample name</t>
  </si>
  <si>
    <t>CC-DS-85 July 2023</t>
  </si>
  <si>
    <t>33ul</t>
  </si>
  <si>
    <t>CC-DS-86 July 2023</t>
  </si>
  <si>
    <t>60ul</t>
  </si>
  <si>
    <t>80-1 skeleton extraction  80-2 RNA Shield extrction</t>
  </si>
  <si>
    <t>CC-DS-87 July 2023</t>
  </si>
  <si>
    <t>81'</t>
  </si>
  <si>
    <t>25ul</t>
  </si>
  <si>
    <t>CC-DS-89 July 2023</t>
  </si>
  <si>
    <t>30ul</t>
  </si>
  <si>
    <t>CC-DS-95 July 2023</t>
  </si>
  <si>
    <t>28/08/2024</t>
  </si>
  <si>
    <t>CC-DS-96 July 2023</t>
  </si>
  <si>
    <t>CC-DS-97 July 2023</t>
  </si>
  <si>
    <t>CC-DS-98 July 2023</t>
  </si>
  <si>
    <t>CC-DS-99 July 2023</t>
  </si>
  <si>
    <t>67'</t>
  </si>
  <si>
    <t>CC-SD-25 July 2023</t>
  </si>
  <si>
    <t>82'</t>
  </si>
  <si>
    <t>CC-SD-26 July 2023</t>
  </si>
  <si>
    <t>CC-SD-27 July 2024</t>
  </si>
  <si>
    <t>CC-SD-28 July 2023</t>
  </si>
  <si>
    <t>CC-SD-29 July 2023</t>
  </si>
  <si>
    <t>70'</t>
  </si>
  <si>
    <t>CC-SD-70 July 2024</t>
  </si>
  <si>
    <t>CC-SD-71 July 2023</t>
  </si>
  <si>
    <t>40ul</t>
  </si>
  <si>
    <t>CC-SD-72 July 2023</t>
  </si>
  <si>
    <t>CC-SD-73 July 2023</t>
  </si>
  <si>
    <t>CC-SD-74 July 2023</t>
  </si>
  <si>
    <t>29/08/2024</t>
  </si>
  <si>
    <t>CC-SS-35 July 2023</t>
  </si>
  <si>
    <t>83'</t>
  </si>
  <si>
    <t>CC-SS-36 July 2023</t>
  </si>
  <si>
    <t>69'</t>
  </si>
  <si>
    <t>CC-SS-37 July 2023</t>
  </si>
  <si>
    <t>CC-SS-38 July 2023</t>
  </si>
  <si>
    <t>CC-SS-39 July 2023</t>
  </si>
  <si>
    <t>CC-SS-75 July 2023</t>
  </si>
  <si>
    <t>CC-SS-76 July 2023</t>
  </si>
  <si>
    <t>CC-SS-77 July 2023</t>
  </si>
  <si>
    <t>CC-SS-78 July 2023</t>
  </si>
  <si>
    <t>CC-SS-79 July 2023</t>
  </si>
  <si>
    <t>68'</t>
  </si>
  <si>
    <t>CC-DD-80 July 2023</t>
  </si>
  <si>
    <t>84'</t>
  </si>
  <si>
    <t>CC-DD-81 July 2023</t>
  </si>
  <si>
    <t>CC-DD-82 July 2023</t>
  </si>
  <si>
    <t>CC-DD-83 July 2023</t>
  </si>
  <si>
    <t>CC-DD-84 July 2023</t>
  </si>
  <si>
    <t>55ul</t>
  </si>
  <si>
    <t>CC-DD-91 July 2023</t>
  </si>
  <si>
    <t>71'</t>
  </si>
  <si>
    <t>CC-DD-92 July 2023</t>
  </si>
  <si>
    <t>CC-DD-93 July 2023</t>
  </si>
  <si>
    <t>CC-DD-94 July 2023</t>
  </si>
  <si>
    <t>MF-DD-26-July 2023</t>
  </si>
  <si>
    <t>MF-DD-27-July 2023</t>
  </si>
  <si>
    <t>65'</t>
  </si>
  <si>
    <t>MF-DD-28-July 2023</t>
  </si>
  <si>
    <t>MF-DD-29-July 2023</t>
  </si>
  <si>
    <t>MF-DD-30-July 2023</t>
  </si>
  <si>
    <t>85'</t>
  </si>
  <si>
    <t>MF-DD-31-July 2023</t>
  </si>
  <si>
    <t>MF-SD-40-July 2023</t>
  </si>
  <si>
    <t>62'</t>
  </si>
  <si>
    <t>MF-SD-41-July 2023</t>
  </si>
  <si>
    <t>86'</t>
  </si>
  <si>
    <t>MF-SD-42-July 2023</t>
  </si>
  <si>
    <t>42,.4</t>
  </si>
  <si>
    <t>MF-SD-43-July 2023</t>
  </si>
  <si>
    <t>MF-SD-44-July 2023</t>
  </si>
  <si>
    <t>MF-SD-45-July 2023</t>
  </si>
  <si>
    <t>MF-SD-46-July 2023</t>
  </si>
  <si>
    <t>MF-SD-47-July 2023</t>
  </si>
  <si>
    <t>64'</t>
  </si>
  <si>
    <t>*Extra tube is marked the same</t>
  </si>
  <si>
    <t>MF-SD-48-July 2023</t>
  </si>
  <si>
    <t>MF-SD-49-July 2023</t>
  </si>
  <si>
    <t>61'</t>
  </si>
  <si>
    <t>MF-DS-50-July 2023</t>
  </si>
  <si>
    <t>87'</t>
  </si>
  <si>
    <t>MF-DS-52-July 2023</t>
  </si>
  <si>
    <t>66'</t>
  </si>
  <si>
    <t>MF-DS-54-July 2023</t>
  </si>
  <si>
    <t>MF-SS-60-July 2023</t>
  </si>
  <si>
    <t>63'</t>
  </si>
  <si>
    <t>MF-SS-61-July 2023</t>
  </si>
  <si>
    <t>MF-SS-62-July 2023</t>
  </si>
  <si>
    <t>MF-SS-63-July 2023</t>
  </si>
  <si>
    <t>92b*</t>
  </si>
  <si>
    <t>*This is not a second elution sample splited to two vails</t>
  </si>
  <si>
    <t>MF-SS-64-July 2023</t>
  </si>
  <si>
    <t>MF-SS-67-July 2023</t>
  </si>
  <si>
    <t>MF-SS-69-July 2023</t>
  </si>
  <si>
    <t>sample label as</t>
  </si>
  <si>
    <t>Sum (ng)</t>
  </si>
  <si>
    <t>storage: -80C Cyman RNA Samples/Ricardo Section/2nd Drawer</t>
  </si>
  <si>
    <t>T0</t>
  </si>
  <si>
    <t>Tend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</si>
</sst>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sz val="12"/>
      <color rgb="FFF7CAAC"/>
      <name val="Arial"/>
      <family val="2"/>
    </font>
    <font>
      <u/>
      <sz val="12"/>
      <color rgb="FF0000FF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u/>
      <sz val="12"/>
      <color rgb="FF000000"/>
      <name val="Arial"/>
      <family val="2"/>
    </font>
    <font>
      <u/>
      <sz val="12"/>
      <color rgb="FF0563C1"/>
      <name val="Arial"/>
      <family val="2"/>
    </font>
    <font>
      <u/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theme="1"/>
      <name val="Arial"/>
      <family val="2"/>
      <scheme val="minor"/>
    </font>
    <font>
      <u/>
      <sz val="12"/>
      <color theme="1"/>
      <name val="Arial"/>
      <family val="2"/>
    </font>
    <font>
      <u/>
      <sz val="12"/>
      <color theme="1"/>
      <name val="Arial"/>
      <family val="2"/>
      <scheme val="minor"/>
    </font>
    <font>
      <b/>
      <sz val="12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rgb="FFB4A7D6"/>
        <bgColor rgb="FFB4A7D6"/>
      </patternFill>
    </fill>
    <fill>
      <patternFill patternType="solid">
        <fgColor theme="4"/>
        <bgColor theme="4"/>
      </patternFill>
    </fill>
    <fill>
      <patternFill patternType="solid">
        <fgColor rgb="FFF7CAAC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C55A11"/>
        <bgColor rgb="FFC55A11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  <fill>
      <patternFill patternType="solid">
        <fgColor rgb="FF8EAADB"/>
        <bgColor rgb="FF8EAADB"/>
      </patternFill>
    </fill>
    <fill>
      <patternFill patternType="solid">
        <fgColor rgb="FF7030A0"/>
        <bgColor rgb="FF7030A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C00000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34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4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2" fillId="10" borderId="1" xfId="0" applyFont="1" applyFill="1" applyBorder="1"/>
    <xf numFmtId="0" fontId="1" fillId="10" borderId="1" xfId="0" applyFont="1" applyFill="1" applyBorder="1" applyAlignment="1">
      <alignment horizontal="right"/>
    </xf>
    <xf numFmtId="0" fontId="1" fillId="0" borderId="0" xfId="0" applyFont="1"/>
    <xf numFmtId="0" fontId="3" fillId="10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7" borderId="1" xfId="0" applyFont="1" applyFill="1" applyBorder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0" fontId="1" fillId="11" borderId="1" xfId="0" applyFont="1" applyFill="1" applyBorder="1"/>
    <xf numFmtId="0" fontId="1" fillId="10" borderId="1" xfId="0" applyFont="1" applyFill="1" applyBorder="1" applyAlignment="1"/>
    <xf numFmtId="0" fontId="3" fillId="10" borderId="1" xfId="0" applyFont="1" applyFill="1" applyBorder="1" applyAlignment="1"/>
    <xf numFmtId="0" fontId="3" fillId="5" borderId="1" xfId="0" applyFont="1" applyFill="1" applyBorder="1" applyAlignment="1"/>
    <xf numFmtId="0" fontId="1" fillId="12" borderId="1" xfId="0" applyFont="1" applyFill="1" applyBorder="1"/>
    <xf numFmtId="0" fontId="2" fillId="12" borderId="1" xfId="0" applyFont="1" applyFill="1" applyBorder="1"/>
    <xf numFmtId="0" fontId="3" fillId="12" borderId="1" xfId="0" applyFont="1" applyFill="1" applyBorder="1"/>
    <xf numFmtId="0" fontId="1" fillId="12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2" fillId="17" borderId="1" xfId="0" applyFont="1" applyFill="1" applyBorder="1"/>
    <xf numFmtId="0" fontId="3" fillId="17" borderId="1" xfId="0" applyFont="1" applyFill="1" applyBorder="1"/>
    <xf numFmtId="0" fontId="1" fillId="18" borderId="1" xfId="0" applyFont="1" applyFill="1" applyBorder="1"/>
    <xf numFmtId="0" fontId="1" fillId="19" borderId="1" xfId="0" applyFont="1" applyFill="1" applyBorder="1"/>
    <xf numFmtId="0" fontId="1" fillId="17" borderId="1" xfId="0" applyFont="1" applyFill="1" applyBorder="1" applyAlignment="1">
      <alignment horizontal="right"/>
    </xf>
    <xf numFmtId="0" fontId="3" fillId="17" borderId="1" xfId="0" applyFont="1" applyFill="1" applyBorder="1" applyAlignment="1">
      <alignment horizontal="right"/>
    </xf>
    <xf numFmtId="0" fontId="2" fillId="7" borderId="1" xfId="0" applyFont="1" applyFill="1" applyBorder="1"/>
    <xf numFmtId="0" fontId="1" fillId="7" borderId="1" xfId="0" applyFont="1" applyFill="1" applyBorder="1" applyAlignment="1">
      <alignment horizontal="right"/>
    </xf>
    <xf numFmtId="0" fontId="3" fillId="7" borderId="1" xfId="0" applyFont="1" applyFill="1" applyBorder="1"/>
    <xf numFmtId="0" fontId="3" fillId="8" borderId="1" xfId="0" applyFont="1" applyFill="1" applyBorder="1"/>
    <xf numFmtId="0" fontId="2" fillId="8" borderId="1" xfId="0" applyFont="1" applyFill="1" applyBorder="1"/>
    <xf numFmtId="0" fontId="3" fillId="8" borderId="1" xfId="0" applyFont="1" applyFill="1" applyBorder="1" applyAlignment="1"/>
    <xf numFmtId="0" fontId="1" fillId="20" borderId="1" xfId="0" applyFont="1" applyFill="1" applyBorder="1"/>
    <xf numFmtId="0" fontId="1" fillId="8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0" fontId="1" fillId="21" borderId="1" xfId="0" applyFont="1" applyFill="1" applyBorder="1"/>
    <xf numFmtId="0" fontId="6" fillId="0" borderId="0" xfId="0" applyFont="1"/>
    <xf numFmtId="0" fontId="7" fillId="0" borderId="1" xfId="0" applyFont="1" applyBorder="1"/>
    <xf numFmtId="14" fontId="1" fillId="10" borderId="1" xfId="0" applyNumberFormat="1" applyFont="1" applyFill="1" applyBorder="1" applyAlignment="1">
      <alignment horizontal="left"/>
    </xf>
    <xf numFmtId="0" fontId="1" fillId="0" borderId="2" xfId="0" applyFont="1" applyBorder="1"/>
    <xf numFmtId="0" fontId="2" fillId="0" borderId="2" xfId="0" applyFont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8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4" fontId="1" fillId="17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wrapText="1"/>
    </xf>
    <xf numFmtId="0" fontId="9" fillId="22" borderId="1" xfId="0" applyFont="1" applyFill="1" applyBorder="1"/>
    <xf numFmtId="0" fontId="9" fillId="22" borderId="1" xfId="0" applyFont="1" applyFill="1" applyBorder="1" applyAlignment="1">
      <alignment wrapText="1"/>
    </xf>
    <xf numFmtId="0" fontId="9" fillId="2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1" fillId="0" borderId="1" xfId="0" applyFont="1" applyBorder="1"/>
    <xf numFmtId="0" fontId="11" fillId="21" borderId="1" xfId="0" applyFont="1" applyFill="1" applyBorder="1" applyAlignment="1">
      <alignment vertical="center" wrapText="1"/>
    </xf>
    <xf numFmtId="0" fontId="1" fillId="0" borderId="2" xfId="0" applyFont="1" applyBorder="1" applyAlignment="1"/>
    <xf numFmtId="14" fontId="1" fillId="2" borderId="6" xfId="0" applyNumberFormat="1" applyFont="1" applyFill="1" applyBorder="1"/>
    <xf numFmtId="0" fontId="12" fillId="0" borderId="1" xfId="0" applyFont="1" applyBorder="1"/>
    <xf numFmtId="0" fontId="1" fillId="0" borderId="0" xfId="0" applyFont="1" applyAlignment="1"/>
    <xf numFmtId="0" fontId="13" fillId="0" borderId="0" xfId="0" applyFont="1"/>
    <xf numFmtId="14" fontId="1" fillId="3" borderId="6" xfId="0" applyNumberFormat="1" applyFont="1" applyFill="1" applyBorder="1"/>
    <xf numFmtId="14" fontId="1" fillId="4" borderId="6" xfId="0" applyNumberFormat="1" applyFont="1" applyFill="1" applyBorder="1"/>
    <xf numFmtId="14" fontId="1" fillId="10" borderId="6" xfId="0" applyNumberFormat="1" applyFont="1" applyFill="1" applyBorder="1"/>
    <xf numFmtId="0" fontId="14" fillId="0" borderId="1" xfId="0" applyFont="1" applyBorder="1" applyAlignment="1"/>
    <xf numFmtId="0" fontId="1" fillId="0" borderId="0" xfId="0" applyFont="1" applyAlignment="1"/>
    <xf numFmtId="0" fontId="1" fillId="10" borderId="7" xfId="0" applyFont="1" applyFill="1" applyBorder="1"/>
    <xf numFmtId="14" fontId="1" fillId="10" borderId="8" xfId="0" applyNumberFormat="1" applyFont="1" applyFill="1" applyBorder="1"/>
    <xf numFmtId="0" fontId="3" fillId="10" borderId="7" xfId="0" applyFont="1" applyFill="1" applyBorder="1"/>
    <xf numFmtId="0" fontId="1" fillId="0" borderId="9" xfId="0" applyFont="1" applyBorder="1"/>
    <xf numFmtId="14" fontId="1" fillId="10" borderId="1" xfId="0" applyNumberFormat="1" applyFont="1" applyFill="1" applyBorder="1"/>
    <xf numFmtId="14" fontId="1" fillId="0" borderId="0" xfId="0" applyNumberFormat="1" applyFont="1"/>
    <xf numFmtId="0" fontId="1" fillId="12" borderId="10" xfId="0" applyFont="1" applyFill="1" applyBorder="1"/>
    <xf numFmtId="14" fontId="1" fillId="12" borderId="11" xfId="0" applyNumberFormat="1" applyFont="1" applyFill="1" applyBorder="1"/>
    <xf numFmtId="0" fontId="2" fillId="12" borderId="10" xfId="0" applyFont="1" applyFill="1" applyBorder="1"/>
    <xf numFmtId="0" fontId="3" fillId="12" borderId="10" xfId="0" applyFont="1" applyFill="1" applyBorder="1"/>
    <xf numFmtId="0" fontId="15" fillId="0" borderId="12" xfId="0" applyFont="1" applyBorder="1"/>
    <xf numFmtId="14" fontId="1" fillId="12" borderId="6" xfId="0" applyNumberFormat="1" applyFont="1" applyFill="1" applyBorder="1"/>
    <xf numFmtId="14" fontId="1" fillId="17" borderId="6" xfId="0" applyNumberFormat="1" applyFont="1" applyFill="1" applyBorder="1"/>
    <xf numFmtId="14" fontId="1" fillId="7" borderId="6" xfId="0" applyNumberFormat="1" applyFont="1" applyFill="1" applyBorder="1"/>
    <xf numFmtId="14" fontId="1" fillId="8" borderId="6" xfId="0" applyNumberFormat="1" applyFont="1" applyFill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 applyAlignment="1"/>
    <xf numFmtId="14" fontId="1" fillId="2" borderId="6" xfId="0" applyNumberFormat="1" applyFont="1" applyFill="1" applyBorder="1" applyAlignment="1">
      <alignment horizontal="right"/>
    </xf>
    <xf numFmtId="0" fontId="16" fillId="0" borderId="1" xfId="0" applyFont="1" applyBorder="1"/>
    <xf numFmtId="0" fontId="1" fillId="2" borderId="6" xfId="0" applyFont="1" applyFill="1" applyBorder="1" applyAlignment="1">
      <alignment horizontal="right"/>
    </xf>
    <xf numFmtId="0" fontId="17" fillId="0" borderId="1" xfId="0" applyFont="1" applyBorder="1" applyAlignment="1"/>
    <xf numFmtId="14" fontId="1" fillId="3" borderId="6" xfId="0" applyNumberFormat="1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8" fillId="0" borderId="1" xfId="0" applyFont="1" applyBorder="1" applyAlignment="1"/>
    <xf numFmtId="14" fontId="1" fillId="5" borderId="6" xfId="0" applyNumberFormat="1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14" fontId="1" fillId="4" borderId="6" xfId="0" applyNumberFormat="1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10" borderId="6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14" fontId="1" fillId="10" borderId="8" xfId="0" applyNumberFormat="1" applyFont="1" applyFill="1" applyBorder="1" applyAlignment="1">
      <alignment horizontal="right"/>
    </xf>
    <xf numFmtId="14" fontId="1" fillId="5" borderId="1" xfId="0" applyNumberFormat="1" applyFont="1" applyFill="1" applyBorder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8" borderId="10" xfId="0" applyFont="1" applyFill="1" applyBorder="1"/>
    <xf numFmtId="0" fontId="1" fillId="5" borderId="10" xfId="0" applyFont="1" applyFill="1" applyBorder="1" applyAlignment="1">
      <alignment horizontal="right"/>
    </xf>
    <xf numFmtId="0" fontId="1" fillId="5" borderId="10" xfId="0" applyFont="1" applyFill="1" applyBorder="1"/>
    <xf numFmtId="0" fontId="1" fillId="12" borderId="10" xfId="0" applyFont="1" applyFill="1" applyBorder="1" applyAlignment="1">
      <alignment horizontal="right"/>
    </xf>
    <xf numFmtId="14" fontId="1" fillId="8" borderId="11" xfId="0" applyNumberFormat="1" applyFont="1" applyFill="1" applyBorder="1" applyAlignment="1">
      <alignment horizontal="right"/>
    </xf>
    <xf numFmtId="0" fontId="1" fillId="0" borderId="12" xfId="0" applyFont="1" applyBorder="1"/>
    <xf numFmtId="14" fontId="1" fillId="13" borderId="6" xfId="0" applyNumberFormat="1" applyFont="1" applyFill="1" applyBorder="1" applyAlignment="1">
      <alignment horizontal="right"/>
    </xf>
    <xf numFmtId="14" fontId="1" fillId="7" borderId="6" xfId="0" applyNumberFormat="1" applyFont="1" applyFill="1" applyBorder="1" applyAlignment="1">
      <alignment horizontal="right"/>
    </xf>
    <xf numFmtId="0" fontId="1" fillId="14" borderId="6" xfId="0" applyFont="1" applyFill="1" applyBorder="1" applyAlignment="1">
      <alignment horizontal="right"/>
    </xf>
    <xf numFmtId="14" fontId="1" fillId="10" borderId="6" xfId="0" applyNumberFormat="1" applyFont="1" applyFill="1" applyBorder="1" applyAlignment="1">
      <alignment horizontal="right"/>
    </xf>
    <xf numFmtId="14" fontId="1" fillId="15" borderId="6" xfId="0" applyNumberFormat="1" applyFont="1" applyFill="1" applyBorder="1" applyAlignment="1">
      <alignment horizontal="right"/>
    </xf>
    <xf numFmtId="14" fontId="1" fillId="16" borderId="6" xfId="0" applyNumberFormat="1" applyFont="1" applyFill="1" applyBorder="1" applyAlignment="1">
      <alignment horizontal="right"/>
    </xf>
    <xf numFmtId="14" fontId="1" fillId="17" borderId="6" xfId="0" applyNumberFormat="1" applyFont="1" applyFill="1" applyBorder="1" applyAlignment="1">
      <alignment horizontal="right"/>
    </xf>
    <xf numFmtId="14" fontId="1" fillId="8" borderId="6" xfId="0" applyNumberFormat="1" applyFont="1" applyFill="1" applyBorder="1" applyAlignment="1">
      <alignment horizontal="right"/>
    </xf>
    <xf numFmtId="14" fontId="1" fillId="14" borderId="6" xfId="0" applyNumberFormat="1" applyFont="1" applyFill="1" applyBorder="1" applyAlignment="1">
      <alignment horizontal="right"/>
    </xf>
    <xf numFmtId="0" fontId="1" fillId="15" borderId="6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1" fillId="12" borderId="13" xfId="0" applyFont="1" applyFill="1" applyBorder="1"/>
    <xf numFmtId="0" fontId="1" fillId="0" borderId="14" xfId="0" applyFont="1" applyBorder="1" applyAlignment="1">
      <alignment horizontal="left"/>
    </xf>
    <xf numFmtId="0" fontId="1" fillId="0" borderId="14" xfId="0" applyFont="1" applyBorder="1"/>
    <xf numFmtId="14" fontId="1" fillId="0" borderId="14" xfId="0" applyNumberFormat="1" applyFont="1" applyBorder="1"/>
    <xf numFmtId="0" fontId="2" fillId="0" borderId="14" xfId="0" applyFont="1" applyBorder="1"/>
    <xf numFmtId="0" fontId="19" fillId="0" borderId="15" xfId="0" applyFont="1" applyBorder="1"/>
    <xf numFmtId="0" fontId="1" fillId="0" borderId="16" xfId="0" applyFont="1" applyBorder="1"/>
    <xf numFmtId="0" fontId="3" fillId="0" borderId="15" xfId="0" applyFont="1" applyBorder="1"/>
    <xf numFmtId="0" fontId="1" fillId="12" borderId="17" xfId="0" applyFont="1" applyFill="1" applyBorder="1"/>
    <xf numFmtId="0" fontId="1" fillId="12" borderId="18" xfId="0" applyFont="1" applyFill="1" applyBorder="1"/>
    <xf numFmtId="0" fontId="1" fillId="0" borderId="0" xfId="0" applyFont="1" applyAlignment="1">
      <alignment horizontal="left"/>
    </xf>
    <xf numFmtId="0" fontId="19" fillId="0" borderId="19" xfId="0" applyFont="1" applyBorder="1"/>
    <xf numFmtId="0" fontId="1" fillId="0" borderId="20" xfId="0" applyFont="1" applyBorder="1"/>
    <xf numFmtId="0" fontId="1" fillId="0" borderId="0" xfId="0" quotePrefix="1" applyFont="1"/>
    <xf numFmtId="0" fontId="3" fillId="0" borderId="19" xfId="0" applyFont="1" applyBorder="1"/>
    <xf numFmtId="0" fontId="1" fillId="23" borderId="17" xfId="0" applyFont="1" applyFill="1" applyBorder="1" applyAlignment="1">
      <alignment horizontal="left"/>
    </xf>
    <xf numFmtId="0" fontId="1" fillId="12" borderId="21" xfId="0" applyFont="1" applyFill="1" applyBorder="1"/>
    <xf numFmtId="0" fontId="1" fillId="0" borderId="22" xfId="0" applyFont="1" applyBorder="1" applyAlignment="1">
      <alignment horizontal="left"/>
    </xf>
    <xf numFmtId="0" fontId="1" fillId="0" borderId="22" xfId="0" applyFont="1" applyBorder="1"/>
    <xf numFmtId="14" fontId="1" fillId="0" borderId="22" xfId="0" applyNumberFormat="1" applyFont="1" applyBorder="1"/>
    <xf numFmtId="0" fontId="3" fillId="0" borderId="23" xfId="0" applyFont="1" applyBorder="1"/>
    <xf numFmtId="0" fontId="1" fillId="0" borderId="24" xfId="0" applyFont="1" applyBorder="1"/>
    <xf numFmtId="0" fontId="1" fillId="24" borderId="18" xfId="0" applyFont="1" applyFill="1" applyBorder="1"/>
    <xf numFmtId="0" fontId="1" fillId="0" borderId="25" xfId="0" applyFont="1" applyBorder="1"/>
    <xf numFmtId="0" fontId="1" fillId="25" borderId="17" xfId="0" applyFont="1" applyFill="1" applyBorder="1"/>
    <xf numFmtId="0" fontId="1" fillId="0" borderId="26" xfId="0" applyFont="1" applyBorder="1"/>
    <xf numFmtId="0" fontId="1" fillId="0" borderId="27" xfId="0" applyFont="1" applyBorder="1"/>
    <xf numFmtId="0" fontId="1" fillId="8" borderId="8" xfId="0" applyFont="1" applyFill="1" applyBorder="1"/>
    <xf numFmtId="0" fontId="1" fillId="0" borderId="28" xfId="0" applyFont="1" applyBorder="1" applyAlignment="1">
      <alignment horizontal="left"/>
    </xf>
    <xf numFmtId="0" fontId="1" fillId="0" borderId="28" xfId="0" applyFont="1" applyBorder="1"/>
    <xf numFmtId="14" fontId="1" fillId="0" borderId="28" xfId="0" applyNumberFormat="1" applyFont="1" applyBorder="1"/>
    <xf numFmtId="0" fontId="2" fillId="0" borderId="28" xfId="0" applyFont="1" applyBorder="1"/>
    <xf numFmtId="0" fontId="19" fillId="0" borderId="29" xfId="0" applyFont="1" applyBorder="1"/>
    <xf numFmtId="0" fontId="1" fillId="26" borderId="17" xfId="0" applyFont="1" applyFill="1" applyBorder="1"/>
    <xf numFmtId="0" fontId="1" fillId="8" borderId="30" xfId="0" applyFont="1" applyFill="1" applyBorder="1"/>
    <xf numFmtId="0" fontId="19" fillId="0" borderId="31" xfId="0" applyFont="1" applyBorder="1"/>
    <xf numFmtId="0" fontId="3" fillId="0" borderId="31" xfId="0" applyFont="1" applyBorder="1"/>
    <xf numFmtId="0" fontId="1" fillId="0" borderId="26" xfId="0" applyFont="1" applyBorder="1" applyAlignment="1">
      <alignment horizontal="left"/>
    </xf>
    <xf numFmtId="0" fontId="1" fillId="8" borderId="11" xfId="0" applyFont="1" applyFill="1" applyBorder="1"/>
    <xf numFmtId="0" fontId="1" fillId="0" borderId="32" xfId="0" applyFont="1" applyBorder="1" applyAlignment="1">
      <alignment horizontal="left"/>
    </xf>
    <xf numFmtId="0" fontId="1" fillId="0" borderId="32" xfId="0" applyFont="1" applyBorder="1"/>
    <xf numFmtId="14" fontId="1" fillId="0" borderId="32" xfId="0" applyNumberFormat="1" applyFont="1" applyBorder="1"/>
    <xf numFmtId="0" fontId="3" fillId="0" borderId="33" xfId="0" applyFont="1" applyBorder="1"/>
    <xf numFmtId="0" fontId="1" fillId="27" borderId="18" xfId="0" applyFont="1" applyFill="1" applyBorder="1"/>
    <xf numFmtId="0" fontId="1" fillId="27" borderId="17" xfId="0" applyFont="1" applyFill="1" applyBorder="1"/>
    <xf numFmtId="0" fontId="1" fillId="27" borderId="21" xfId="0" applyFont="1" applyFill="1" applyBorder="1"/>
    <xf numFmtId="0" fontId="2" fillId="0" borderId="22" xfId="0" applyFont="1" applyBorder="1"/>
    <xf numFmtId="0" fontId="19" fillId="0" borderId="23" xfId="0" applyFont="1" applyBorder="1"/>
    <xf numFmtId="14" fontId="1" fillId="0" borderId="34" xfId="0" applyNumberFormat="1" applyFont="1" applyBorder="1"/>
    <xf numFmtId="0" fontId="2" fillId="0" borderId="32" xfId="0" applyFont="1" applyBorder="1"/>
    <xf numFmtId="0" fontId="19" fillId="0" borderId="33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6" xfId="0" applyFont="1" applyBorder="1" applyAlignment="1">
      <alignment wrapText="1"/>
    </xf>
    <xf numFmtId="0" fontId="19" fillId="0" borderId="36" xfId="0" applyFont="1" applyBorder="1"/>
    <xf numFmtId="0" fontId="2" fillId="0" borderId="37" xfId="0" applyFont="1" applyBorder="1"/>
    <xf numFmtId="0" fontId="1" fillId="10" borderId="13" xfId="0" applyFont="1" applyFill="1" applyBorder="1"/>
    <xf numFmtId="14" fontId="1" fillId="0" borderId="0" xfId="0" applyNumberFormat="1" applyFont="1" applyAlignment="1">
      <alignment horizontal="left"/>
    </xf>
    <xf numFmtId="0" fontId="3" fillId="0" borderId="1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0" borderId="15" xfId="0" applyFont="1" applyBorder="1"/>
    <xf numFmtId="0" fontId="1" fillId="10" borderId="18" xfId="0" applyFont="1" applyFill="1" applyBorder="1"/>
    <xf numFmtId="0" fontId="19" fillId="0" borderId="0" xfId="0" applyFont="1" applyAlignment="1">
      <alignment horizontal="left"/>
    </xf>
    <xf numFmtId="0" fontId="19" fillId="0" borderId="19" xfId="0" applyFont="1" applyBorder="1" applyAlignment="1">
      <alignment horizontal="left"/>
    </xf>
    <xf numFmtId="0" fontId="1" fillId="0" borderId="19" xfId="0" applyFont="1" applyBorder="1"/>
    <xf numFmtId="0" fontId="3" fillId="0" borderId="19" xfId="0" applyFont="1" applyBorder="1" applyAlignment="1">
      <alignment horizontal="left"/>
    </xf>
    <xf numFmtId="0" fontId="1" fillId="10" borderId="17" xfId="0" applyFont="1" applyFill="1" applyBorder="1"/>
    <xf numFmtId="0" fontId="1" fillId="28" borderId="17" xfId="0" applyFont="1" applyFill="1" applyBorder="1" applyAlignment="1">
      <alignment horizontal="left"/>
    </xf>
    <xf numFmtId="0" fontId="3" fillId="28" borderId="17" xfId="0" applyFont="1" applyFill="1" applyBorder="1" applyAlignment="1">
      <alignment horizontal="left"/>
    </xf>
    <xf numFmtId="0" fontId="1" fillId="28" borderId="18" xfId="0" applyFont="1" applyFill="1" applyBorder="1" applyAlignment="1">
      <alignment horizontal="left"/>
    </xf>
    <xf numFmtId="0" fontId="3" fillId="28" borderId="38" xfId="0" applyFont="1" applyFill="1" applyBorder="1" applyAlignment="1">
      <alignment horizontal="left"/>
    </xf>
    <xf numFmtId="0" fontId="1" fillId="28" borderId="17" xfId="0" applyFont="1" applyFill="1" applyBorder="1"/>
    <xf numFmtId="0" fontId="1" fillId="28" borderId="38" xfId="0" applyFont="1" applyFill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10" borderId="21" xfId="0" applyFont="1" applyFill="1" applyBorder="1"/>
    <xf numFmtId="0" fontId="3" fillId="0" borderId="22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1" fillId="2" borderId="13" xfId="0" applyFont="1" applyFill="1" applyBorder="1"/>
    <xf numFmtId="14" fontId="1" fillId="0" borderId="28" xfId="0" applyNumberFormat="1" applyFont="1" applyBorder="1" applyAlignment="1">
      <alignment horizontal="left"/>
    </xf>
    <xf numFmtId="0" fontId="1" fillId="2" borderId="18" xfId="0" applyFont="1" applyFill="1" applyBorder="1"/>
    <xf numFmtId="0" fontId="1" fillId="0" borderId="39" xfId="0" applyFont="1" applyBorder="1"/>
    <xf numFmtId="0" fontId="1" fillId="2" borderId="21" xfId="0" applyFont="1" applyFill="1" applyBorder="1"/>
    <xf numFmtId="0" fontId="1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1" fillId="0" borderId="23" xfId="0" applyFont="1" applyBorder="1"/>
    <xf numFmtId="0" fontId="1" fillId="3" borderId="13" xfId="0" applyFont="1" applyFill="1" applyBorder="1"/>
    <xf numFmtId="0" fontId="1" fillId="3" borderId="18" xfId="0" applyFont="1" applyFill="1" applyBorder="1"/>
    <xf numFmtId="0" fontId="1" fillId="3" borderId="17" xfId="0" applyFont="1" applyFill="1" applyBorder="1"/>
    <xf numFmtId="0" fontId="3" fillId="0" borderId="19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1" fillId="3" borderId="21" xfId="0" applyFont="1" applyFill="1" applyBorder="1"/>
    <xf numFmtId="14" fontId="1" fillId="0" borderId="22" xfId="0" applyNumberFormat="1" applyFont="1" applyBorder="1" applyAlignment="1">
      <alignment horizontal="left"/>
    </xf>
    <xf numFmtId="0" fontId="1" fillId="4" borderId="13" xfId="0" applyFont="1" applyFill="1" applyBorder="1"/>
    <xf numFmtId="0" fontId="2" fillId="0" borderId="14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9" fillId="0" borderId="0" xfId="0" applyFont="1" applyAlignment="1">
      <alignment horizontal="left"/>
    </xf>
    <xf numFmtId="0" fontId="1" fillId="4" borderId="21" xfId="0" applyFont="1" applyFill="1" applyBorder="1"/>
    <xf numFmtId="0" fontId="2" fillId="0" borderId="22" xfId="0" applyFont="1" applyBorder="1" applyAlignment="1">
      <alignment horizontal="left"/>
    </xf>
    <xf numFmtId="0" fontId="19" fillId="0" borderId="22" xfId="0" applyFont="1" applyBorder="1" applyAlignment="1">
      <alignment horizontal="left"/>
    </xf>
    <xf numFmtId="0" fontId="1" fillId="4" borderId="40" xfId="0" applyFont="1" applyFill="1" applyBorder="1"/>
    <xf numFmtId="0" fontId="1" fillId="28" borderId="41" xfId="0" applyFont="1" applyFill="1" applyBorder="1" applyAlignment="1">
      <alignment horizontal="left"/>
    </xf>
    <xf numFmtId="0" fontId="3" fillId="28" borderId="41" xfId="0" applyFont="1" applyFill="1" applyBorder="1" applyAlignment="1">
      <alignment horizontal="left"/>
    </xf>
    <xf numFmtId="0" fontId="1" fillId="28" borderId="13" xfId="0" applyFont="1" applyFill="1" applyBorder="1" applyAlignment="1">
      <alignment horizontal="left"/>
    </xf>
    <xf numFmtId="0" fontId="3" fillId="28" borderId="42" xfId="0" applyFont="1" applyFill="1" applyBorder="1" applyAlignment="1">
      <alignment horizontal="left"/>
    </xf>
    <xf numFmtId="0" fontId="1" fillId="28" borderId="41" xfId="0" applyFont="1" applyFill="1" applyBorder="1"/>
    <xf numFmtId="0" fontId="1" fillId="28" borderId="42" xfId="0" applyFont="1" applyFill="1" applyBorder="1"/>
    <xf numFmtId="0" fontId="1" fillId="17" borderId="13" xfId="0" applyFont="1" applyFill="1" applyBorder="1"/>
    <xf numFmtId="14" fontId="1" fillId="0" borderId="14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17" borderId="18" xfId="0" applyFont="1" applyFill="1" applyBorder="1"/>
    <xf numFmtId="0" fontId="1" fillId="17" borderId="17" xfId="0" applyFont="1" applyFill="1" applyBorder="1"/>
    <xf numFmtId="0" fontId="1" fillId="17" borderId="21" xfId="0" applyFont="1" applyFill="1" applyBorder="1"/>
    <xf numFmtId="0" fontId="1" fillId="0" borderId="23" xfId="0" applyFont="1" applyBorder="1" applyAlignment="1">
      <alignment horizontal="left"/>
    </xf>
    <xf numFmtId="0" fontId="3" fillId="0" borderId="22" xfId="0" applyFont="1" applyBorder="1"/>
    <xf numFmtId="0" fontId="1" fillId="7" borderId="13" xfId="0" applyFont="1" applyFill="1" applyBorder="1"/>
    <xf numFmtId="0" fontId="1" fillId="7" borderId="18" xfId="0" applyFont="1" applyFill="1" applyBorder="1"/>
    <xf numFmtId="0" fontId="1" fillId="7" borderId="17" xfId="0" applyFont="1" applyFill="1" applyBorder="1"/>
    <xf numFmtId="0" fontId="1" fillId="7" borderId="21" xfId="0" applyFont="1" applyFill="1" applyBorder="1"/>
    <xf numFmtId="0" fontId="1" fillId="28" borderId="40" xfId="0" applyFont="1" applyFill="1" applyBorder="1" applyAlignment="1">
      <alignment horizontal="left"/>
    </xf>
    <xf numFmtId="0" fontId="3" fillId="28" borderId="43" xfId="0" applyFont="1" applyFill="1" applyBorder="1" applyAlignment="1">
      <alignment horizontal="left"/>
    </xf>
    <xf numFmtId="0" fontId="1" fillId="8" borderId="18" xfId="0" applyFont="1" applyFill="1" applyBorder="1"/>
    <xf numFmtId="0" fontId="19" fillId="0" borderId="15" xfId="0" applyFont="1" applyBorder="1" applyAlignment="1">
      <alignment horizontal="left"/>
    </xf>
    <xf numFmtId="0" fontId="1" fillId="8" borderId="13" xfId="0" applyFont="1" applyFill="1" applyBorder="1"/>
    <xf numFmtId="0" fontId="1" fillId="8" borderId="42" xfId="0" applyFont="1" applyFill="1" applyBorder="1"/>
    <xf numFmtId="0" fontId="1" fillId="28" borderId="18" xfId="0" applyFont="1" applyFill="1" applyBorder="1"/>
    <xf numFmtId="0" fontId="3" fillId="28" borderId="17" xfId="0" applyFont="1" applyFill="1" applyBorder="1"/>
    <xf numFmtId="0" fontId="3" fillId="28" borderId="38" xfId="0" applyFont="1" applyFill="1" applyBorder="1"/>
    <xf numFmtId="0" fontId="1" fillId="8" borderId="21" xfId="0" applyFont="1" applyFill="1" applyBorder="1"/>
    <xf numFmtId="0" fontId="2" fillId="0" borderId="44" xfId="0" applyFont="1" applyBorder="1"/>
    <xf numFmtId="0" fontId="2" fillId="0" borderId="45" xfId="0" applyFont="1" applyBorder="1" applyAlignment="1">
      <alignment horizontal="left" wrapText="1"/>
    </xf>
    <xf numFmtId="0" fontId="2" fillId="0" borderId="45" xfId="0" applyFont="1" applyBorder="1"/>
    <xf numFmtId="0" fontId="2" fillId="0" borderId="45" xfId="0" applyFont="1" applyBorder="1" applyAlignment="1">
      <alignment wrapText="1"/>
    </xf>
    <xf numFmtId="0" fontId="2" fillId="0" borderId="46" xfId="0" applyFont="1" applyBorder="1" applyAlignment="1">
      <alignment wrapText="1"/>
    </xf>
    <xf numFmtId="0" fontId="2" fillId="0" borderId="47" xfId="0" applyFont="1" applyBorder="1"/>
    <xf numFmtId="0" fontId="2" fillId="0" borderId="48" xfId="0" applyFont="1" applyBorder="1" applyAlignment="1">
      <alignment wrapText="1"/>
    </xf>
    <xf numFmtId="0" fontId="1" fillId="12" borderId="49" xfId="0" applyFont="1" applyFill="1" applyBorder="1"/>
    <xf numFmtId="0" fontId="1" fillId="23" borderId="40" xfId="0" applyFont="1" applyFill="1" applyBorder="1" applyAlignment="1">
      <alignment horizontal="left"/>
    </xf>
    <xf numFmtId="0" fontId="1" fillId="12" borderId="40" xfId="0" applyFont="1" applyFill="1" applyBorder="1"/>
    <xf numFmtId="0" fontId="1" fillId="24" borderId="21" xfId="0" applyFont="1" applyFill="1" applyBorder="1"/>
    <xf numFmtId="0" fontId="1" fillId="25" borderId="40" xfId="0" applyFont="1" applyFill="1" applyBorder="1"/>
    <xf numFmtId="0" fontId="19" fillId="0" borderId="50" xfId="0" applyFont="1" applyBorder="1"/>
    <xf numFmtId="0" fontId="19" fillId="0" borderId="14" xfId="0" applyFont="1" applyBorder="1"/>
    <xf numFmtId="0" fontId="1" fillId="26" borderId="42" xfId="0" applyFont="1" applyFill="1" applyBorder="1"/>
    <xf numFmtId="0" fontId="19" fillId="0" borderId="0" xfId="0" applyFont="1"/>
    <xf numFmtId="0" fontId="1" fillId="26" borderId="18" xfId="0" applyFont="1" applyFill="1" applyBorder="1"/>
    <xf numFmtId="0" fontId="1" fillId="26" borderId="38" xfId="0" applyFont="1" applyFill="1" applyBorder="1"/>
    <xf numFmtId="0" fontId="1" fillId="12" borderId="51" xfId="0" applyFont="1" applyFill="1" applyBorder="1"/>
    <xf numFmtId="0" fontId="1" fillId="25" borderId="13" xfId="0" applyFont="1" applyFill="1" applyBorder="1"/>
    <xf numFmtId="0" fontId="1" fillId="25" borderId="52" xfId="0" applyFont="1" applyFill="1" applyBorder="1"/>
    <xf numFmtId="0" fontId="19" fillId="0" borderId="22" xfId="0" applyFont="1" applyBorder="1"/>
    <xf numFmtId="0" fontId="3" fillId="0" borderId="27" xfId="0" applyFont="1" applyBorder="1"/>
    <xf numFmtId="0" fontId="1" fillId="25" borderId="18" xfId="0" applyFont="1" applyFill="1" applyBorder="1"/>
    <xf numFmtId="0" fontId="1" fillId="25" borderId="49" xfId="0" applyFont="1" applyFill="1" applyBorder="1"/>
    <xf numFmtId="0" fontId="1" fillId="27" borderId="43" xfId="0" applyFont="1" applyFill="1" applyBorder="1"/>
    <xf numFmtId="0" fontId="1" fillId="25" borderId="21" xfId="0" applyFont="1" applyFill="1" applyBorder="1"/>
    <xf numFmtId="0" fontId="1" fillId="25" borderId="51" xfId="0" applyFont="1" applyFill="1" applyBorder="1"/>
    <xf numFmtId="0" fontId="1" fillId="26" borderId="52" xfId="0" applyFont="1" applyFill="1" applyBorder="1"/>
    <xf numFmtId="0" fontId="1" fillId="26" borderId="49" xfId="0" applyFont="1" applyFill="1" applyBorder="1"/>
    <xf numFmtId="0" fontId="1" fillId="26" borderId="51" xfId="0" applyFont="1" applyFill="1" applyBorder="1"/>
    <xf numFmtId="0" fontId="1" fillId="27" borderId="52" xfId="0" applyFont="1" applyFill="1" applyBorder="1"/>
    <xf numFmtId="0" fontId="1" fillId="27" borderId="49" xfId="0" applyFont="1" applyFill="1" applyBorder="1"/>
    <xf numFmtId="0" fontId="1" fillId="27" borderId="51" xfId="0" applyFont="1" applyFill="1" applyBorder="1"/>
    <xf numFmtId="0" fontId="19" fillId="0" borderId="16" xfId="0" applyFont="1" applyBorder="1"/>
    <xf numFmtId="0" fontId="3" fillId="0" borderId="20" xfId="0" applyFont="1" applyBorder="1"/>
    <xf numFmtId="0" fontId="19" fillId="0" borderId="20" xfId="0" applyFont="1" applyBorder="1"/>
    <xf numFmtId="0" fontId="1" fillId="12" borderId="38" xfId="0" applyFont="1" applyFill="1" applyBorder="1"/>
    <xf numFmtId="0" fontId="19" fillId="0" borderId="24" xfId="0" applyFont="1" applyBorder="1"/>
    <xf numFmtId="0" fontId="1" fillId="24" borderId="13" xfId="0" applyFont="1" applyFill="1" applyBorder="1"/>
    <xf numFmtId="0" fontId="1" fillId="25" borderId="42" xfId="0" applyFont="1" applyFill="1" applyBorder="1"/>
    <xf numFmtId="0" fontId="1" fillId="25" borderId="38" xfId="0" applyFont="1" applyFill="1" applyBorder="1"/>
    <xf numFmtId="0" fontId="1" fillId="26" borderId="21" xfId="0" applyFont="1" applyFill="1" applyBorder="1"/>
    <xf numFmtId="0" fontId="1" fillId="26" borderId="43" xfId="0" applyFont="1" applyFill="1" applyBorder="1"/>
    <xf numFmtId="0" fontId="1" fillId="27" borderId="13" xfId="0" applyFont="1" applyFill="1" applyBorder="1"/>
    <xf numFmtId="0" fontId="1" fillId="27" borderId="38" xfId="0" applyFont="1" applyFill="1" applyBorder="1"/>
    <xf numFmtId="0" fontId="16" fillId="0" borderId="0" xfId="0" applyFont="1" applyAlignment="1"/>
    <xf numFmtId="0" fontId="1" fillId="0" borderId="17" xfId="0" applyFont="1" applyFill="1" applyBorder="1" applyAlignment="1"/>
    <xf numFmtId="0" fontId="9" fillId="0" borderId="3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9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WkuqWRcPLGdy3iWDV8jm-KrsE7oYCdx/view?usp=drive_link" TargetMode="External"/><Relationship Id="rId13" Type="http://schemas.openxmlformats.org/officeDocument/2006/relationships/hyperlink" Target="https://drive.google.com/file/d/14NdZv18551_zW08rHib8FGJjWRi_TOeC/view?usp=drive_link" TargetMode="External"/><Relationship Id="rId18" Type="http://schemas.openxmlformats.org/officeDocument/2006/relationships/hyperlink" Target="https://drive.google.com/file/d/1jFbTTzhHFlrK0xL2SyptPTlB-FqYSKUb/view?usp=drive_link" TargetMode="External"/><Relationship Id="rId26" Type="http://schemas.openxmlformats.org/officeDocument/2006/relationships/hyperlink" Target="https://drive.google.com/file/d/1_wbGRlRmC0D621u3nH3_mtC2Wd1yzWNd/view?usp=drive_link" TargetMode="External"/><Relationship Id="rId3" Type="http://schemas.openxmlformats.org/officeDocument/2006/relationships/hyperlink" Target="https://drive.google.com/file/d/1nOaWUGiHqjME0srHPWg-hRu_khWcfE3n/view?usp=drive_link" TargetMode="External"/><Relationship Id="rId21" Type="http://schemas.openxmlformats.org/officeDocument/2006/relationships/hyperlink" Target="https://drive.google.com/file/d/1qwgVNJndHiGcgVErl4DTQe-ZCK1n509N/view?usp=drive_link" TargetMode="External"/><Relationship Id="rId7" Type="http://schemas.openxmlformats.org/officeDocument/2006/relationships/hyperlink" Target="https://drive.google.com/file/d/1sg2jdkE2T1Qbw0NCs_hgX1JFMh2DNwp7/view?usp=drive_link" TargetMode="External"/><Relationship Id="rId12" Type="http://schemas.openxmlformats.org/officeDocument/2006/relationships/hyperlink" Target="https://drive.google.com/file/d/1mICMP59CL5jjldic4DMRqvC1J4WobqOl/view?usp=drive_link" TargetMode="External"/><Relationship Id="rId17" Type="http://schemas.openxmlformats.org/officeDocument/2006/relationships/hyperlink" Target="https://drive.google.com/file/d/1ZGGMFvs7mqcBedz1PJwrUgkv4p3BsMj4/view?usp=drive_link" TargetMode="External"/><Relationship Id="rId25" Type="http://schemas.openxmlformats.org/officeDocument/2006/relationships/hyperlink" Target="https://drive.google.com/file/d/1_rKvksHjot5igmiOLjGd6Llp9oUzydKB/view?usp=drive_link" TargetMode="External"/><Relationship Id="rId2" Type="http://schemas.openxmlformats.org/officeDocument/2006/relationships/hyperlink" Target="https://drive.google.com/file/d/1mICMP59CL5jjldic4DMRqvC1J4WobqOl/view?usp=drive_link" TargetMode="External"/><Relationship Id="rId16" Type="http://schemas.openxmlformats.org/officeDocument/2006/relationships/hyperlink" Target="https://drive.google.com/file/d/1ZCzMlDGivJpKNj34SvyBa_o5bACXlx1J/view?usp=drive_link" TargetMode="External"/><Relationship Id="rId20" Type="http://schemas.openxmlformats.org/officeDocument/2006/relationships/hyperlink" Target="https://drive.google.com/file/d/1SHKbZiGHhe_DjrBKZUD1L55bQfwlRh06/view?usp=drive_link" TargetMode="External"/><Relationship Id="rId1" Type="http://schemas.openxmlformats.org/officeDocument/2006/relationships/hyperlink" Target="https://drive.google.com/file/d/1ZDK8L1sj43umX9x7Oo_1MMRVeHJ90moh/view?usp=drive_link" TargetMode="External"/><Relationship Id="rId6" Type="http://schemas.openxmlformats.org/officeDocument/2006/relationships/hyperlink" Target="https://drive.google.com/file/d/1gOqKgnMtG6IVqJ8oe1jzbkZFFlL0Mvy0/view?usp=drive_link" TargetMode="External"/><Relationship Id="rId11" Type="http://schemas.openxmlformats.org/officeDocument/2006/relationships/hyperlink" Target="https://drive.google.com/file/d/130wDkfvDxvy3lT8X3jV3ALOMyzzUbctr/view?usp=drive_link" TargetMode="External"/><Relationship Id="rId24" Type="http://schemas.openxmlformats.org/officeDocument/2006/relationships/hyperlink" Target="https://drive.google.com/file/d/13xcVlb_NI6Hs8StOsX4qVmFqfdK8e77k/view?usp=drive_link" TargetMode="External"/><Relationship Id="rId5" Type="http://schemas.openxmlformats.org/officeDocument/2006/relationships/hyperlink" Target="https://drive.google.com/file/d/1sg2jdkE2T1Qbw0NCs_hgX1JFMh2DNwp7/view?usp=drive_link" TargetMode="External"/><Relationship Id="rId15" Type="http://schemas.openxmlformats.org/officeDocument/2006/relationships/hyperlink" Target="https://drive.google.com/file/d/1eOc1MbalOfJInztbohWmGnf1hcQwlj5x/view?usp=drive_link" TargetMode="External"/><Relationship Id="rId23" Type="http://schemas.openxmlformats.org/officeDocument/2006/relationships/hyperlink" Target="https://drive.google.com/file/d/1SHKbZiGHhe_DjrBKZUD1L55bQfwlRh06/view?usp=drive_link" TargetMode="External"/><Relationship Id="rId10" Type="http://schemas.openxmlformats.org/officeDocument/2006/relationships/hyperlink" Target="https://drive.google.com/file/d/1U1Lco6bIw0zPercplD54EbCDZ3hQhJMr/view?usp=drive_link" TargetMode="External"/><Relationship Id="rId19" Type="http://schemas.openxmlformats.org/officeDocument/2006/relationships/hyperlink" Target="https://drive.google.com/file/d/1eOc1MbalOfJInztbohWmGnf1hcQwlj5x/view?usp=drive_link" TargetMode="External"/><Relationship Id="rId4" Type="http://schemas.openxmlformats.org/officeDocument/2006/relationships/hyperlink" Target="https://drive.google.com/file/d/1gOqKgnMtG6IVqJ8oe1jzbkZFFlL0Mvy0/view?usp=drive_link" TargetMode="External"/><Relationship Id="rId9" Type="http://schemas.openxmlformats.org/officeDocument/2006/relationships/hyperlink" Target="https://drive.google.com/file/d/1smfrUFDnYWHixWkJDQwYr4FDMoa6Hv_-/view?usp=drive_link" TargetMode="External"/><Relationship Id="rId14" Type="http://schemas.openxmlformats.org/officeDocument/2006/relationships/hyperlink" Target="https://drive.google.com/file/d/17XiXrVy32-2U_8iF49p6tHCeDGIM2Z0z/view?usp=drive_link" TargetMode="External"/><Relationship Id="rId22" Type="http://schemas.openxmlformats.org/officeDocument/2006/relationships/hyperlink" Target="https://drive.google.com/file/d/1eOc1MbalOfJInztbohWmGnf1hcQwlj5x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brCnnxc7ui3eu4fj08CntJF4b5p6_a2r/view?usp=drive_link" TargetMode="External"/><Relationship Id="rId18" Type="http://schemas.openxmlformats.org/officeDocument/2006/relationships/hyperlink" Target="https://drive.google.com/file/d/1SHKbZiGHhe_DjrBKZUD1L55bQfwlRh06/view?usp=drive_link" TargetMode="External"/><Relationship Id="rId26" Type="http://schemas.openxmlformats.org/officeDocument/2006/relationships/hyperlink" Target="https://drive.google.com/file/d/1kIazOYU_NiZIBQQ7Pzal-5uKYrc5Sktl/view?usp=drive_link" TargetMode="External"/><Relationship Id="rId39" Type="http://schemas.openxmlformats.org/officeDocument/2006/relationships/hyperlink" Target="https://drive.google.com/file/d/1sg2jdkE2T1Qbw0NCs_hgX1JFMh2DNwp7/view?usp=drive_link" TargetMode="External"/><Relationship Id="rId21" Type="http://schemas.openxmlformats.org/officeDocument/2006/relationships/hyperlink" Target="https://drive.google.com/file/d/1brCnnxc7ui3eu4fj08CntJF4b5p6_a2r/view?usp=drive_link" TargetMode="External"/><Relationship Id="rId34" Type="http://schemas.openxmlformats.org/officeDocument/2006/relationships/hyperlink" Target="https://drive.google.com/file/d/1nOaWUGiHqjME0srHPWg-hRu_khWcfE3n/view?usp=drive_link" TargetMode="External"/><Relationship Id="rId42" Type="http://schemas.openxmlformats.org/officeDocument/2006/relationships/hyperlink" Target="https://drive.google.com/file/d/1eOc1MbalOfJInztbohWmGnf1hcQwlj5x/view?usp=drive_link" TargetMode="External"/><Relationship Id="rId47" Type="http://schemas.openxmlformats.org/officeDocument/2006/relationships/hyperlink" Target="https://drive.google.com/file/d/1EHDQnvbAv1b-J68mHW6tncXZOAKjQcaF/view?usp=drive_link" TargetMode="External"/><Relationship Id="rId7" Type="http://schemas.openxmlformats.org/officeDocument/2006/relationships/hyperlink" Target="https://drive.google.com/file/d/1brCnnxc7ui3eu4fj08CntJF4b5p6_a2r/view?usp=drive_link" TargetMode="External"/><Relationship Id="rId2" Type="http://schemas.openxmlformats.org/officeDocument/2006/relationships/hyperlink" Target="https://drive.google.com/file/d/1at80J28GAESaTtHc6Jm7v3YQjxD3hbTf/view?usp=drive_link" TargetMode="External"/><Relationship Id="rId16" Type="http://schemas.openxmlformats.org/officeDocument/2006/relationships/hyperlink" Target="https://drive.google.com/file/d/1u5mCgubmdjQk3qCqBEusJB3B4eVlDqYG/view?usp=drive_link" TargetMode="External"/><Relationship Id="rId29" Type="http://schemas.openxmlformats.org/officeDocument/2006/relationships/hyperlink" Target="https://drive.google.com/file/d/1jFbTTzhHFlrK0xL2SyptPTlB-FqYSKUb/view?usp=drive_link" TargetMode="External"/><Relationship Id="rId11" Type="http://schemas.openxmlformats.org/officeDocument/2006/relationships/hyperlink" Target="https://drive.google.com/file/d/17XiXrVy32-2U_8iF49p6tHCeDGIM2Z0z/view?usp=drive_link" TargetMode="External"/><Relationship Id="rId24" Type="http://schemas.openxmlformats.org/officeDocument/2006/relationships/hyperlink" Target="https://drive.google.com/file/d/1SHKbZiGHhe_DjrBKZUD1L55bQfwlRh06/view?usp=drive_link" TargetMode="External"/><Relationship Id="rId32" Type="http://schemas.openxmlformats.org/officeDocument/2006/relationships/hyperlink" Target="https://drive.google.com/file/d/1dtfCIdH4QEfPqHHxvzmiItExOVxqDmJk/view?usp=drive_link" TargetMode="External"/><Relationship Id="rId37" Type="http://schemas.openxmlformats.org/officeDocument/2006/relationships/hyperlink" Target="https://drive.google.com/file/d/1CXu1hkIFptsohe4phHiS9Zp3-2yzbFru/view?usp=drive_link" TargetMode="External"/><Relationship Id="rId40" Type="http://schemas.openxmlformats.org/officeDocument/2006/relationships/hyperlink" Target="https://drive.google.com/file/d/130wDkfvDxvy3lT8X3jV3ALOMyzzUbctr/view?usp=drive_link" TargetMode="External"/><Relationship Id="rId45" Type="http://schemas.openxmlformats.org/officeDocument/2006/relationships/hyperlink" Target="https://drive.google.com/file/d/1NXYzyz9mLl17XS1PSWpLfWGNgeuN177h/view?usp=drive_link" TargetMode="External"/><Relationship Id="rId5" Type="http://schemas.openxmlformats.org/officeDocument/2006/relationships/hyperlink" Target="https://drive.google.com/file/d/1gOqKgnMtG6IVqJ8oe1jzbkZFFlL0Mvy0/view?usp=drive_link" TargetMode="External"/><Relationship Id="rId15" Type="http://schemas.openxmlformats.org/officeDocument/2006/relationships/hyperlink" Target="https://drive.google.com/file/d/1at80J28GAESaTtHc6Jm7v3YQjxD3hbTf/view?usp=drive_link" TargetMode="External"/><Relationship Id="rId23" Type="http://schemas.openxmlformats.org/officeDocument/2006/relationships/hyperlink" Target="https://drive.google.com/file/d/1gOqKgnMtG6IVqJ8oe1jzbkZFFlL0Mvy0/view?usp=drive_link" TargetMode="External"/><Relationship Id="rId28" Type="http://schemas.openxmlformats.org/officeDocument/2006/relationships/hyperlink" Target="https://drive.google.com/file/d/1mICMP59CL5jjldic4DMRqvC1J4WobqOl/view?usp=drive_link" TargetMode="External"/><Relationship Id="rId36" Type="http://schemas.openxmlformats.org/officeDocument/2006/relationships/hyperlink" Target="https://drive.google.com/file/d/14NdZv18551_zW08rHib8FGJjWRi_TOeC/view?usp=drive_link" TargetMode="External"/><Relationship Id="rId49" Type="http://schemas.openxmlformats.org/officeDocument/2006/relationships/hyperlink" Target="https://drive.google.com/file/d/1eOc1MbalOfJInztbohWmGnf1hcQwlj5x/view?usp=drive_link" TargetMode="External"/><Relationship Id="rId10" Type="http://schemas.openxmlformats.org/officeDocument/2006/relationships/hyperlink" Target="https://drive.google.com/file/d/1U1Lco6bIw0zPercplD54EbCDZ3hQhJMr/view?usp=drive_link" TargetMode="External"/><Relationship Id="rId19" Type="http://schemas.openxmlformats.org/officeDocument/2006/relationships/hyperlink" Target="https://drive.google.com/file/d/1SHKbZiGHhe_DjrBKZUD1L55bQfwlRh06/view?usp=drive_link" TargetMode="External"/><Relationship Id="rId31" Type="http://schemas.openxmlformats.org/officeDocument/2006/relationships/hyperlink" Target="https://drive.google.com/file/d/14NdZv18551_zW08rHib8FGJjWRi_TOeC/view?usp=drive_link" TargetMode="External"/><Relationship Id="rId44" Type="http://schemas.openxmlformats.org/officeDocument/2006/relationships/hyperlink" Target="https://drive.google.com/file/d/13xcVlb_NI6Hs8StOsX4qVmFqfdK8e77k/view?usp=drive_link" TargetMode="External"/><Relationship Id="rId4" Type="http://schemas.openxmlformats.org/officeDocument/2006/relationships/hyperlink" Target="https://drive.google.com/file/d/1Xq1jTj4k6gApUzcCTlO_HLcP1AFg9Mo0/view?usp=drive_link" TargetMode="External"/><Relationship Id="rId9" Type="http://schemas.openxmlformats.org/officeDocument/2006/relationships/hyperlink" Target="https://drive.google.com/file/d/1gOqKgnMtG6IVqJ8oe1jzbkZFFlL0Mvy0/view?usp=drive_link" TargetMode="External"/><Relationship Id="rId14" Type="http://schemas.openxmlformats.org/officeDocument/2006/relationships/hyperlink" Target="https://drive.google.com/file/d/1brCnnxc7ui3eu4fj08CntJF4b5p6_a2r/view?usp=drive_link" TargetMode="External"/><Relationship Id="rId22" Type="http://schemas.openxmlformats.org/officeDocument/2006/relationships/hyperlink" Target="https://drive.google.com/file/d/1gOqKgnMtG6IVqJ8oe1jzbkZFFlL0Mvy0/view?usp=drive_link" TargetMode="External"/><Relationship Id="rId27" Type="http://schemas.openxmlformats.org/officeDocument/2006/relationships/hyperlink" Target="https://drive.google.com/file/d/1at80J28GAESaTtHc6Jm7v3YQjxD3hbTf/view?usp=drive_link" TargetMode="External"/><Relationship Id="rId30" Type="http://schemas.openxmlformats.org/officeDocument/2006/relationships/hyperlink" Target="https://drive.google.com/file/d/1sHUlHzkGb9ft6bVsxO7lkQso0jQuAc_i/view?usp=drive_link" TargetMode="External"/><Relationship Id="rId35" Type="http://schemas.openxmlformats.org/officeDocument/2006/relationships/hyperlink" Target="https://drive.google.com/file/d/1smfrUFDnYWHixWkJDQwYr4FDMoa6Hv_-/view?usp=drive_link" TargetMode="External"/><Relationship Id="rId43" Type="http://schemas.openxmlformats.org/officeDocument/2006/relationships/hyperlink" Target="https://drive.google.com/file/d/1qwgVNJndHiGcgVErl4DTQe-ZCK1n509N/view?usp=drive_link" TargetMode="External"/><Relationship Id="rId48" Type="http://schemas.openxmlformats.org/officeDocument/2006/relationships/hyperlink" Target="https://drive.google.com/file/d/1eOc1MbalOfJInztbohWmGnf1hcQwlj5x/view?usp=drive_link" TargetMode="External"/><Relationship Id="rId8" Type="http://schemas.openxmlformats.org/officeDocument/2006/relationships/hyperlink" Target="https://drive.google.com/file/d/1Xq1jTj4k6gApUzcCTlO_HLcP1AFg9Mo0/view?usp=drive_link" TargetMode="External"/><Relationship Id="rId3" Type="http://schemas.openxmlformats.org/officeDocument/2006/relationships/hyperlink" Target="https://drive.google.com/file/d/1Xq1jTj4k6gApUzcCTlO_HLcP1AFg9Mo0/view?usp=drive_link" TargetMode="External"/><Relationship Id="rId12" Type="http://schemas.openxmlformats.org/officeDocument/2006/relationships/hyperlink" Target="https://drive.google.com/file/d/1YWkuqWRcPLGdy3iWDV8jm-KrsE7oYCdx/view?usp=drive_link" TargetMode="External"/><Relationship Id="rId17" Type="http://schemas.openxmlformats.org/officeDocument/2006/relationships/hyperlink" Target="https://drive.google.com/file/d/1Xq1jTj4k6gApUzcCTlO_HLcP1AFg9Mo0/view?usp=drive_link" TargetMode="External"/><Relationship Id="rId25" Type="http://schemas.openxmlformats.org/officeDocument/2006/relationships/hyperlink" Target="https://drive.google.com/file/d/1brCnnxc7ui3eu4fj08CntJF4b5p6_a2r/view?usp=drive_link" TargetMode="External"/><Relationship Id="rId33" Type="http://schemas.openxmlformats.org/officeDocument/2006/relationships/hyperlink" Target="https://drive.google.com/file/d/130wDkfvDxvy3lT8X3jV3ALOMyzzUbctr/view?usp=drive_link" TargetMode="External"/><Relationship Id="rId38" Type="http://schemas.openxmlformats.org/officeDocument/2006/relationships/hyperlink" Target="https://drive.google.com/file/d/1dtfCIdH4QEfPqHHxvzmiItExOVxqDmJk/view?usp=drive_link" TargetMode="External"/><Relationship Id="rId46" Type="http://schemas.openxmlformats.org/officeDocument/2006/relationships/hyperlink" Target="https://drive.google.com/file/d/14NdZv18551_zW08rHib8FGJjWRi_TOeC/view?usp=drive_link" TargetMode="External"/><Relationship Id="rId20" Type="http://schemas.openxmlformats.org/officeDocument/2006/relationships/hyperlink" Target="https://drive.google.com/file/d/1brCnnxc7ui3eu4fj08CntJF4b5p6_a2r/view?usp=drive_link" TargetMode="External"/><Relationship Id="rId41" Type="http://schemas.openxmlformats.org/officeDocument/2006/relationships/hyperlink" Target="https://drive.google.com/file/d/1eOc1MbalOfJInztbohWmGnf1hcQwlj5x/view?usp=drive_link" TargetMode="External"/><Relationship Id="rId1" Type="http://schemas.openxmlformats.org/officeDocument/2006/relationships/hyperlink" Target="https://drive.google.com/file/d/1at80J28GAESaTtHc6Jm7v3YQjxD3hbTf/view?usp=drive_link" TargetMode="External"/><Relationship Id="rId6" Type="http://schemas.openxmlformats.org/officeDocument/2006/relationships/hyperlink" Target="https://drive.google.com/file/d/1brCnnxc7ui3eu4fj08CntJF4b5p6_a2r/view?usp=drive_link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U1Lco6bIw0zPercplD54EbCDZ3hQhJMr/view?usp=drive_link" TargetMode="External"/><Relationship Id="rId18" Type="http://schemas.openxmlformats.org/officeDocument/2006/relationships/hyperlink" Target="https://drive.google.com/file/d/1mICMP59CL5jjldic4DMRqvC1J4WobqOl/view?usp=drive_link" TargetMode="External"/><Relationship Id="rId26" Type="http://schemas.openxmlformats.org/officeDocument/2006/relationships/hyperlink" Target="https://drive.google.com/file/d/1UdWGAkJSr_IROsUCuB_YeFFQIXkirwoM/view?usp=drive_link" TargetMode="External"/><Relationship Id="rId39" Type="http://schemas.openxmlformats.org/officeDocument/2006/relationships/hyperlink" Target="https://drive.google.com/file/d/17XiXrVy32-2U_8iF49p6tHCeDGIM2Z0z/view?usp=drive_link" TargetMode="External"/><Relationship Id="rId21" Type="http://schemas.openxmlformats.org/officeDocument/2006/relationships/hyperlink" Target="https://drive.google.com/file/d/1U1Lco6bIw0zPercplD54EbCDZ3hQhJMr/view?usp=drive_link" TargetMode="External"/><Relationship Id="rId34" Type="http://schemas.openxmlformats.org/officeDocument/2006/relationships/hyperlink" Target="https://drive.google.com/file/d/1SHKbZiGHhe_DjrBKZUD1L55bQfwlRh06/view?usp=drive_link" TargetMode="External"/><Relationship Id="rId42" Type="http://schemas.openxmlformats.org/officeDocument/2006/relationships/hyperlink" Target="https://drive.google.com/file/d/1brCnnxc7ui3eu4fj08CntJF4b5p6_a2r/view?usp=drive_link" TargetMode="External"/><Relationship Id="rId47" Type="http://schemas.openxmlformats.org/officeDocument/2006/relationships/hyperlink" Target="https://drive.google.com/file/d/1mICMP59CL5jjldic4DMRqvC1J4WobqOl/view?usp=drive_link" TargetMode="External"/><Relationship Id="rId7" Type="http://schemas.openxmlformats.org/officeDocument/2006/relationships/hyperlink" Target="https://drive.google.com/file/d/1U1Lco6bIw0zPercplD54EbCDZ3hQhJMr/view?usp=drive_link" TargetMode="External"/><Relationship Id="rId2" Type="http://schemas.openxmlformats.org/officeDocument/2006/relationships/hyperlink" Target="https://drive.google.com/file/d/1ZKFL_NQvsiKbhAcyGOoximGFYgU6ct9u/view?usp=drive_link" TargetMode="External"/><Relationship Id="rId16" Type="http://schemas.openxmlformats.org/officeDocument/2006/relationships/hyperlink" Target="https://drive.google.com/file/d/1mICMP59CL5jjldic4DMRqvC1J4WobqOl/view?usp=drive_link" TargetMode="External"/><Relationship Id="rId29" Type="http://schemas.openxmlformats.org/officeDocument/2006/relationships/hyperlink" Target="https://drive.google.com/file/d/1at80J28GAESaTtHc6Jm7v3YQjxD3hbTf/view?usp=drive_link" TargetMode="External"/><Relationship Id="rId1" Type="http://schemas.openxmlformats.org/officeDocument/2006/relationships/hyperlink" Target="https://drive.google.com/file/d/1lB6n3PkHjjixRVPAGyL5uNAZ5E7yqDD7/view?usp=drive_link" TargetMode="External"/><Relationship Id="rId6" Type="http://schemas.openxmlformats.org/officeDocument/2006/relationships/hyperlink" Target="https://drive.google.com/file/d/1Xq1jTj4k6gApUzcCTlO_HLcP1AFg9Mo0/view?usp=drive_link" TargetMode="External"/><Relationship Id="rId11" Type="http://schemas.openxmlformats.org/officeDocument/2006/relationships/hyperlink" Target="https://drive.google.com/file/d/1brCnnxc7ui3eu4fj08CntJF4b5p6_a2r/view?usp=drive_link" TargetMode="External"/><Relationship Id="rId24" Type="http://schemas.openxmlformats.org/officeDocument/2006/relationships/hyperlink" Target="https://drive.google.com/file/d/1brCnnxc7ui3eu4fj08CntJF4b5p6_a2r/view?usp=drive_link" TargetMode="External"/><Relationship Id="rId32" Type="http://schemas.openxmlformats.org/officeDocument/2006/relationships/hyperlink" Target="https://drive.google.com/file/d/1gOqKgnMtG6IVqJ8oe1jzbkZFFlL0Mvy0/view?usp=drive_link" TargetMode="External"/><Relationship Id="rId37" Type="http://schemas.openxmlformats.org/officeDocument/2006/relationships/hyperlink" Target="https://drive.google.com/file/d/1brCnnxc7ui3eu4fj08CntJF4b5p6_a2r/view?usp=drive_link" TargetMode="External"/><Relationship Id="rId40" Type="http://schemas.openxmlformats.org/officeDocument/2006/relationships/hyperlink" Target="https://drive.google.com/file/d/1gOqKgnMtG6IVqJ8oe1jzbkZFFlL0Mvy0/view?usp=drive_link" TargetMode="External"/><Relationship Id="rId45" Type="http://schemas.openxmlformats.org/officeDocument/2006/relationships/hyperlink" Target="https://drive.google.com/file/d/1at80J28GAESaTtHc6Jm7v3YQjxD3hbTf/view?usp=drive_link" TargetMode="External"/><Relationship Id="rId5" Type="http://schemas.openxmlformats.org/officeDocument/2006/relationships/hyperlink" Target="https://drive.google.com/file/d/1at80J28GAESaTtHc6Jm7v3YQjxD3hbTf/view?usp=drive_link" TargetMode="External"/><Relationship Id="rId15" Type="http://schemas.openxmlformats.org/officeDocument/2006/relationships/hyperlink" Target="https://drive.google.com/file/d/1at80J28GAESaTtHc6Jm7v3YQjxD3hbTf/view?usp=drive_link" TargetMode="External"/><Relationship Id="rId23" Type="http://schemas.openxmlformats.org/officeDocument/2006/relationships/hyperlink" Target="https://drive.google.com/file/d/1YWkuqWRcPLGdy3iWDV8jm-KrsE7oYCdx/view?usp=drive_link" TargetMode="External"/><Relationship Id="rId28" Type="http://schemas.openxmlformats.org/officeDocument/2006/relationships/hyperlink" Target="https://drive.google.com/file/d/1ZdGsIi6FlR0cYoJlGNI_iTpjIRms0MnT/view?usp=drive_link" TargetMode="External"/><Relationship Id="rId36" Type="http://schemas.openxmlformats.org/officeDocument/2006/relationships/hyperlink" Target="https://drive.google.com/file/d/1brCnnxc7ui3eu4fj08CntJF4b5p6_a2r/view?usp=drive_link" TargetMode="External"/><Relationship Id="rId10" Type="http://schemas.openxmlformats.org/officeDocument/2006/relationships/hyperlink" Target="https://drive.google.com/file/d/1brCnnxc7ui3eu4fj08CntJF4b5p6_a2r/view?usp=drive_link" TargetMode="External"/><Relationship Id="rId19" Type="http://schemas.openxmlformats.org/officeDocument/2006/relationships/hyperlink" Target="https://drive.google.com/file/d/1Xq1jTj4k6gApUzcCTlO_HLcP1AFg9Mo0/view?usp=drive_link" TargetMode="External"/><Relationship Id="rId31" Type="http://schemas.openxmlformats.org/officeDocument/2006/relationships/hyperlink" Target="https://drive.google.com/file/d/1afi5AjWed5gTZZheC9M14zboY9-HcyiS/view?usp=drive_link" TargetMode="External"/><Relationship Id="rId44" Type="http://schemas.openxmlformats.org/officeDocument/2006/relationships/hyperlink" Target="https://drive.google.com/file/d/1kIazOYU_NiZIBQQ7Pzal-5uKYrc5Sktl/view?usp=drive_link" TargetMode="External"/><Relationship Id="rId4" Type="http://schemas.openxmlformats.org/officeDocument/2006/relationships/hyperlink" Target="https://drive.google.com/file/d/1ZS7a4Le7-7AxbjIpIPvpwIvOzwEXqpJh/view?usp=drive_link" TargetMode="External"/><Relationship Id="rId9" Type="http://schemas.openxmlformats.org/officeDocument/2006/relationships/hyperlink" Target="https://drive.google.com/file/d/1gOqKgnMtG6IVqJ8oe1jzbkZFFlL0Mvy0/view?usp=drive_link" TargetMode="External"/><Relationship Id="rId14" Type="http://schemas.openxmlformats.org/officeDocument/2006/relationships/hyperlink" Target="https://drive.google.com/file/d/12FCFjtoTYLoqjFQd8MHB-TW1EZX1rdwN/view?usp=drive_link" TargetMode="External"/><Relationship Id="rId22" Type="http://schemas.openxmlformats.org/officeDocument/2006/relationships/hyperlink" Target="https://drive.google.com/file/d/17XiXrVy32-2U_8iF49p6tHCeDGIM2Z0z/view?usp=drive_link" TargetMode="External"/><Relationship Id="rId27" Type="http://schemas.openxmlformats.org/officeDocument/2006/relationships/hyperlink" Target="https://drive.google.com/file/d/1ZdFzavbhm0xeMli7tmk3P9r2qnCXWsB5/view?usp=drive_link" TargetMode="External"/><Relationship Id="rId30" Type="http://schemas.openxmlformats.org/officeDocument/2006/relationships/hyperlink" Target="https://drive.google.com/file/d/1u5mCgubmdjQk3qCqBEusJB3B4eVlDqYG/view?usp=drive_link" TargetMode="External"/><Relationship Id="rId35" Type="http://schemas.openxmlformats.org/officeDocument/2006/relationships/hyperlink" Target="https://drive.google.com/file/d/1SHKbZiGHhe_DjrBKZUD1L55bQfwlRh06/view?usp=drive_link" TargetMode="External"/><Relationship Id="rId43" Type="http://schemas.openxmlformats.org/officeDocument/2006/relationships/hyperlink" Target="https://drive.google.com/file/d/1at80J28GAESaTtHc6Jm7v3YQjxD3hbTf/view?usp=drive_link" TargetMode="External"/><Relationship Id="rId48" Type="http://schemas.openxmlformats.org/officeDocument/2006/relationships/hyperlink" Target="https://drive.google.com/file/d/1jFbTTzhHFlrK0xL2SyptPTlB-FqYSKUb/view?usp=drive_link" TargetMode="External"/><Relationship Id="rId8" Type="http://schemas.openxmlformats.org/officeDocument/2006/relationships/hyperlink" Target="https://drive.google.com/file/d/1Xq1jTj4k6gApUzcCTlO_HLcP1AFg9Mo0/view?usp=drive_link" TargetMode="External"/><Relationship Id="rId3" Type="http://schemas.openxmlformats.org/officeDocument/2006/relationships/hyperlink" Target="https://drive.google.com/file/d/1at80J28GAESaTtHc6Jm7v3YQjxD3hbTf/view?usp=drive_link" TargetMode="External"/><Relationship Id="rId12" Type="http://schemas.openxmlformats.org/officeDocument/2006/relationships/hyperlink" Target="https://drive.google.com/file/d/1SHKbZiGHhe_DjrBKZUD1L55bQfwlRh06/view?usp=drive_link" TargetMode="External"/><Relationship Id="rId17" Type="http://schemas.openxmlformats.org/officeDocument/2006/relationships/hyperlink" Target="https://drive.google.com/file/d/1YWkuqWRcPLGdy3iWDV8jm-KrsE7oYCdx/view?usp=drive_link" TargetMode="External"/><Relationship Id="rId25" Type="http://schemas.openxmlformats.org/officeDocument/2006/relationships/hyperlink" Target="https://drive.google.com/file/d/1brCnnxc7ui3eu4fj08CntJF4b5p6_a2r/view?usp=drive_link" TargetMode="External"/><Relationship Id="rId33" Type="http://schemas.openxmlformats.org/officeDocument/2006/relationships/hyperlink" Target="https://drive.google.com/file/d/1Xq1jTj4k6gApUzcCTlO_HLcP1AFg9Mo0/view?usp=drive_link" TargetMode="External"/><Relationship Id="rId38" Type="http://schemas.openxmlformats.org/officeDocument/2006/relationships/hyperlink" Target="https://drive.google.com/file/d/1gOqKgnMtG6IVqJ8oe1jzbkZFFlL0Mvy0/view?usp=drive_link" TargetMode="External"/><Relationship Id="rId46" Type="http://schemas.openxmlformats.org/officeDocument/2006/relationships/hyperlink" Target="https://drive.google.com/file/d/1UdWGAkJSr_IROsUCuB_YeFFQIXkirwoM/view?usp=drive_link" TargetMode="External"/><Relationship Id="rId20" Type="http://schemas.openxmlformats.org/officeDocument/2006/relationships/hyperlink" Target="https://drive.google.com/file/d/1gOqKgnMtG6IVqJ8oe1jzbkZFFlL0Mvy0/view?usp=drive_link" TargetMode="External"/><Relationship Id="rId41" Type="http://schemas.openxmlformats.org/officeDocument/2006/relationships/hyperlink" Target="https://drive.google.com/file/d/1SHKbZiGHhe_DjrBKZUD1L55bQfwlRh06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4d0x0crdRdQeHFsvXbAptztia8Y5M0y2/view?usp=drive_link" TargetMode="External"/><Relationship Id="rId18" Type="http://schemas.openxmlformats.org/officeDocument/2006/relationships/hyperlink" Target="https://drive.google.com/file/d/14NdZv18551_zW08rHib8FGJjWRi_TOeC/view?usp=drive_link" TargetMode="External"/><Relationship Id="rId26" Type="http://schemas.openxmlformats.org/officeDocument/2006/relationships/hyperlink" Target="https://drive.google.com/file/d/1ioewwZcQwCsstnydY4BBaJj3x2dm5Cv_/view?usp=drive_link" TargetMode="External"/><Relationship Id="rId39" Type="http://schemas.openxmlformats.org/officeDocument/2006/relationships/hyperlink" Target="https://drive.google.com/file/d/14NdZv18551_zW08rHib8FGJjWRi_TOeC/view?usp=drive_link" TargetMode="External"/><Relationship Id="rId21" Type="http://schemas.openxmlformats.org/officeDocument/2006/relationships/hyperlink" Target="https://drive.google.com/file/d/1dtfCIdH4QEfPqHHxvzmiItExOVxqDmJk/view?usp=drive_link" TargetMode="External"/><Relationship Id="rId34" Type="http://schemas.openxmlformats.org/officeDocument/2006/relationships/hyperlink" Target="https://drive.google.com/file/d/1eOc1MbalOfJInztbohWmGnf1hcQwlj5x/view?usp=drive_link" TargetMode="External"/><Relationship Id="rId42" Type="http://schemas.openxmlformats.org/officeDocument/2006/relationships/hyperlink" Target="https://drive.google.com/file/d/1eOc1MbalOfJInztbohWmGnf1hcQwlj5x/view?usp=drive_link" TargetMode="External"/><Relationship Id="rId7" Type="http://schemas.openxmlformats.org/officeDocument/2006/relationships/hyperlink" Target="https://drive.google.com/file/d/1ioewwZcQwCsstnydY4BBaJj3x2dm5Cv_/view?usp=drive_link" TargetMode="External"/><Relationship Id="rId2" Type="http://schemas.openxmlformats.org/officeDocument/2006/relationships/hyperlink" Target="https://drive.google.com/file/d/1ioewwZcQwCsstnydY4BBaJj3x2dm5Cv_/view?usp=drive_link" TargetMode="External"/><Relationship Id="rId16" Type="http://schemas.openxmlformats.org/officeDocument/2006/relationships/hyperlink" Target="https://drive.google.com/file/d/1nOaWUGiHqjME0srHPWg-hRu_khWcfE3n/view?usp=drive_link" TargetMode="External"/><Relationship Id="rId29" Type="http://schemas.openxmlformats.org/officeDocument/2006/relationships/hyperlink" Target="https://drive.google.com/file/d/14NdZv18551_zW08rHib8FGJjWRi_TOeC/view?usp=drive_link" TargetMode="External"/><Relationship Id="rId1" Type="http://schemas.openxmlformats.org/officeDocument/2006/relationships/hyperlink" Target="https://drive.google.com/file/d/1dtfCIdH4QEfPqHHxvzmiItExOVxqDmJk/view?usp=drive_link" TargetMode="External"/><Relationship Id="rId6" Type="http://schemas.openxmlformats.org/officeDocument/2006/relationships/hyperlink" Target="https://drive.google.com/file/d/1ioewwZcQwCsstnydY4BBaJj3x2dm5Cv_/view?usp=drive_link" TargetMode="External"/><Relationship Id="rId11" Type="http://schemas.openxmlformats.org/officeDocument/2006/relationships/hyperlink" Target="https://drive.google.com/file/d/1ioewwZcQwCsstnydY4BBaJj3x2dm5Cv_/view?usp=drive_link" TargetMode="External"/><Relationship Id="rId24" Type="http://schemas.openxmlformats.org/officeDocument/2006/relationships/hyperlink" Target="https://drive.google.com/file/d/130wDkfvDxvy3lT8X3jV3ALOMyzzUbctr/view?usp=drive_link" TargetMode="External"/><Relationship Id="rId32" Type="http://schemas.openxmlformats.org/officeDocument/2006/relationships/hyperlink" Target="https://drive.google.com/file/d/1cTtWL7wMUSWYrR9WO9pktXiD3JYuQUnj/view?usp=drive_link" TargetMode="External"/><Relationship Id="rId37" Type="http://schemas.openxmlformats.org/officeDocument/2006/relationships/hyperlink" Target="https://drive.google.com/file/d/1L7kq2EW747xkabaS9ebx0qVQGqkY8vRe/view?usp=drive_link" TargetMode="External"/><Relationship Id="rId40" Type="http://schemas.openxmlformats.org/officeDocument/2006/relationships/hyperlink" Target="https://drive.google.com/file/d/1EHDQnvbAv1b-J68mHW6tncXZOAKjQcaF/view?usp=drive_link" TargetMode="External"/><Relationship Id="rId45" Type="http://schemas.openxmlformats.org/officeDocument/2006/relationships/hyperlink" Target="https://drive.google.com/file/d/10jKGzVsq0liUyOXFCI2tbRepiTWH3V8f/view?usp=drive_link" TargetMode="External"/><Relationship Id="rId5" Type="http://schemas.openxmlformats.org/officeDocument/2006/relationships/hyperlink" Target="https://drive.google.com/file/d/14NdZv18551_zW08rHib8FGJjWRi_TOeC/view?usp=drive_link" TargetMode="External"/><Relationship Id="rId15" Type="http://schemas.openxmlformats.org/officeDocument/2006/relationships/hyperlink" Target="https://drive.google.com/file/d/130wDkfvDxvy3lT8X3jV3ALOMyzzUbctr/view?usp=drive_link" TargetMode="External"/><Relationship Id="rId23" Type="http://schemas.openxmlformats.org/officeDocument/2006/relationships/hyperlink" Target="https://drive.google.com/file/d/1sg2jdkE2T1Qbw0NCs_hgX1JFMh2DNwp7/view?usp=drive_link" TargetMode="External"/><Relationship Id="rId28" Type="http://schemas.openxmlformats.org/officeDocument/2006/relationships/hyperlink" Target="https://drive.google.com/file/d/1nK-zfw7J9QQc18DIvJeRIa7k4bvIz6yM/view?usp=drive_link" TargetMode="External"/><Relationship Id="rId36" Type="http://schemas.openxmlformats.org/officeDocument/2006/relationships/hyperlink" Target="https://drive.google.com/file/d/13xcVlb_NI6Hs8StOsX4qVmFqfdK8e77k/view?usp=drive_link" TargetMode="External"/><Relationship Id="rId10" Type="http://schemas.openxmlformats.org/officeDocument/2006/relationships/hyperlink" Target="https://drive.google.com/file/d/14d0x0crdRdQeHFsvXbAptztia8Y5M0y2/view?usp=drive_link" TargetMode="External"/><Relationship Id="rId19" Type="http://schemas.openxmlformats.org/officeDocument/2006/relationships/hyperlink" Target="https://drive.google.com/file/d/1CXu1hkIFptsohe4phHiS9Zp3-2yzbFru/view?usp=drive_link" TargetMode="External"/><Relationship Id="rId31" Type="http://schemas.openxmlformats.org/officeDocument/2006/relationships/hyperlink" Target="https://drive.google.com/file/d/1nK-zfw7J9QQc18DIvJeRIa7k4bvIz6yM/view?usp=drive_link" TargetMode="External"/><Relationship Id="rId44" Type="http://schemas.openxmlformats.org/officeDocument/2006/relationships/hyperlink" Target="https://drive.google.com/file/d/1nOaWUGiHqjME0srHPWg-hRu_khWcfE3n/view?usp=drive_link" TargetMode="External"/><Relationship Id="rId4" Type="http://schemas.openxmlformats.org/officeDocument/2006/relationships/hyperlink" Target="https://drive.google.com/file/d/1sHUlHzkGb9ft6bVsxO7lkQso0jQuAc_i/view?usp=drive_link" TargetMode="External"/><Relationship Id="rId9" Type="http://schemas.openxmlformats.org/officeDocument/2006/relationships/hyperlink" Target="https://drive.google.com/file/d/1dtfCIdH4QEfPqHHxvzmiItExOVxqDmJk/view?usp=drive_link" TargetMode="External"/><Relationship Id="rId14" Type="http://schemas.openxmlformats.org/officeDocument/2006/relationships/hyperlink" Target="https://drive.google.com/file/d/14d0x0crdRdQeHFsvXbAptztia8Y5M0y2/view?usp=drive_link" TargetMode="External"/><Relationship Id="rId22" Type="http://schemas.openxmlformats.org/officeDocument/2006/relationships/hyperlink" Target="https://drive.google.com/file/d/14NdZv18551_zW08rHib8FGJjWRi_TOeC/view?usp=drive_link" TargetMode="External"/><Relationship Id="rId27" Type="http://schemas.openxmlformats.org/officeDocument/2006/relationships/hyperlink" Target="https://drive.google.com/file/d/1XecrC17KMxpuWdW15hnIBDyS3ANwZhOk/view?usp=drive_link" TargetMode="External"/><Relationship Id="rId30" Type="http://schemas.openxmlformats.org/officeDocument/2006/relationships/hyperlink" Target="https://drive.google.com/file/d/1smfrUFDnYWHixWkJDQwYr4FDMoa6Hv_-/view?usp=drive_link" TargetMode="External"/><Relationship Id="rId35" Type="http://schemas.openxmlformats.org/officeDocument/2006/relationships/hyperlink" Target="https://drive.google.com/file/d/1qwgVNJndHiGcgVErl4DTQe-ZCK1n509N/view?usp=drive_link" TargetMode="External"/><Relationship Id="rId43" Type="http://schemas.openxmlformats.org/officeDocument/2006/relationships/hyperlink" Target="https://drive.google.com/file/d/1eOc1MbalOfJInztbohWmGnf1hcQwlj5x/view?usp=drive_link" TargetMode="External"/><Relationship Id="rId8" Type="http://schemas.openxmlformats.org/officeDocument/2006/relationships/hyperlink" Target="https://drive.google.com/file/d/1dtfCIdH4QEfPqHHxvzmiItExOVxqDmJk/view?usp=drive_link" TargetMode="External"/><Relationship Id="rId3" Type="http://schemas.openxmlformats.org/officeDocument/2006/relationships/hyperlink" Target="https://drive.google.com/file/d/14NdZv18551_zW08rHib8FGJjWRi_TOeC/view?usp=drive_link" TargetMode="External"/><Relationship Id="rId12" Type="http://schemas.openxmlformats.org/officeDocument/2006/relationships/hyperlink" Target="https://drive.google.com/file/d/1L7kq2EW747xkabaS9ebx0qVQGqkY8vRe/view?usp=drive_link" TargetMode="External"/><Relationship Id="rId17" Type="http://schemas.openxmlformats.org/officeDocument/2006/relationships/hyperlink" Target="https://drive.google.com/file/d/1smfrUFDnYWHixWkJDQwYr4FDMoa6Hv_-/view?usp=drive_link" TargetMode="External"/><Relationship Id="rId25" Type="http://schemas.openxmlformats.org/officeDocument/2006/relationships/hyperlink" Target="https://drive.google.com/file/d/1eOc1MbalOfJInztbohWmGnf1hcQwlj5x/view?usp=drive_link" TargetMode="External"/><Relationship Id="rId33" Type="http://schemas.openxmlformats.org/officeDocument/2006/relationships/hyperlink" Target="https://drive.google.com/file/d/14NdZv18551_zW08rHib8FGJjWRi_TOeC/view?usp=drive_link" TargetMode="External"/><Relationship Id="rId38" Type="http://schemas.openxmlformats.org/officeDocument/2006/relationships/hyperlink" Target="https://drive.google.com/file/d/1NXYzyz9mLl17XS1PSWpLfWGNgeuN177h/view?usp=drive_link" TargetMode="External"/><Relationship Id="rId46" Type="http://schemas.openxmlformats.org/officeDocument/2006/relationships/hyperlink" Target="https://drive.google.com/file/d/1eOc1MbalOfJInztbohWmGnf1hcQwlj5x/view?usp=drive_link" TargetMode="External"/><Relationship Id="rId20" Type="http://schemas.openxmlformats.org/officeDocument/2006/relationships/hyperlink" Target="https://drive.google.com/file/d/1ioewwZcQwCsstnydY4BBaJj3x2dm5Cv_/view?usp=drive_link" TargetMode="External"/><Relationship Id="rId41" Type="http://schemas.openxmlformats.org/officeDocument/2006/relationships/hyperlink" Target="https://drive.google.com/file/d/11gokbF_PCBBsnK4LbkHKw2Uss-JLqCE1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6"/>
  <sheetViews>
    <sheetView workbookViewId="0">
      <pane ySplit="1" topLeftCell="A2" activePane="bottomLeft" state="frozen"/>
      <selection pane="bottomLeft" activeCell="B3" sqref="B3"/>
    </sheetView>
  </sheetViews>
  <sheetFormatPr defaultColWidth="10.109375" defaultRowHeight="15" customHeight="1" x14ac:dyDescent="0.2"/>
  <cols>
    <col min="1" max="3" width="11" customWidth="1"/>
    <col min="4" max="9" width="11.44140625" customWidth="1"/>
    <col min="10" max="10" width="11" customWidth="1"/>
    <col min="11" max="11" width="14" customWidth="1"/>
    <col min="12" max="12" width="15.6640625" customWidth="1"/>
    <col min="13" max="31" width="11" customWidth="1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</v>
      </c>
      <c r="K1" s="1" t="s">
        <v>9</v>
      </c>
      <c r="L1" s="1" t="s">
        <v>10</v>
      </c>
      <c r="M1" s="1" t="s">
        <v>4</v>
      </c>
      <c r="N1" s="1" t="s">
        <v>5</v>
      </c>
      <c r="O1" s="1" t="s">
        <v>6</v>
      </c>
      <c r="P1" s="1" t="s">
        <v>7</v>
      </c>
      <c r="Q1" s="1"/>
    </row>
    <row r="2" spans="1:17" ht="15" customHeight="1" x14ac:dyDescent="0.25">
      <c r="A2" s="2" t="s">
        <v>11</v>
      </c>
      <c r="B2" s="2">
        <v>10</v>
      </c>
      <c r="C2" s="2" t="s">
        <v>12</v>
      </c>
      <c r="D2" s="2">
        <v>76</v>
      </c>
      <c r="E2" s="3">
        <v>6.1</v>
      </c>
      <c r="F2" s="3">
        <f>96.8*25</f>
        <v>2420</v>
      </c>
      <c r="G2" s="2">
        <v>1.82</v>
      </c>
      <c r="H2" s="2">
        <v>0.32</v>
      </c>
      <c r="I2" s="2">
        <v>10</v>
      </c>
      <c r="J2" s="2">
        <v>82</v>
      </c>
      <c r="K2" s="2">
        <v>40</v>
      </c>
      <c r="L2" s="2" t="s">
        <v>13</v>
      </c>
      <c r="M2" s="4">
        <v>2.4</v>
      </c>
      <c r="N2" s="4">
        <f>16*25</f>
        <v>400</v>
      </c>
      <c r="O2" s="2">
        <v>1.53</v>
      </c>
      <c r="P2" s="2">
        <v>0.53</v>
      </c>
      <c r="Q2" s="2"/>
    </row>
    <row r="3" spans="1:17" ht="15" customHeight="1" x14ac:dyDescent="0.25">
      <c r="A3" s="2" t="s">
        <v>11</v>
      </c>
      <c r="B3" s="2">
        <v>10</v>
      </c>
      <c r="C3" s="2" t="s">
        <v>14</v>
      </c>
      <c r="D3" s="2">
        <v>11</v>
      </c>
      <c r="E3" s="3">
        <v>6.8</v>
      </c>
      <c r="F3" s="3">
        <f>41.3*25</f>
        <v>1032.5</v>
      </c>
      <c r="G3" s="2">
        <v>2.0099999999999998</v>
      </c>
      <c r="H3" s="2">
        <v>0.52</v>
      </c>
      <c r="I3" s="2">
        <v>10</v>
      </c>
      <c r="J3" s="2">
        <v>93</v>
      </c>
      <c r="K3" s="2">
        <v>40</v>
      </c>
      <c r="L3" s="2" t="s">
        <v>15</v>
      </c>
      <c r="M3" s="4">
        <v>2.5</v>
      </c>
      <c r="N3" s="3">
        <f>31.9*60</f>
        <v>1914</v>
      </c>
      <c r="O3" s="2">
        <v>1.86</v>
      </c>
      <c r="P3" s="2">
        <v>0.39</v>
      </c>
      <c r="Q3" s="2"/>
    </row>
    <row r="4" spans="1:17" ht="15" customHeight="1" x14ac:dyDescent="0.25">
      <c r="A4" s="2" t="s">
        <v>11</v>
      </c>
      <c r="B4" s="2">
        <v>10</v>
      </c>
      <c r="C4" s="2" t="s">
        <v>16</v>
      </c>
      <c r="D4" s="2">
        <v>10</v>
      </c>
      <c r="E4" s="3">
        <v>6.6</v>
      </c>
      <c r="F4" s="3">
        <f>63.9*25</f>
        <v>1597.5</v>
      </c>
      <c r="G4" s="2">
        <v>1.86</v>
      </c>
      <c r="H4" s="2">
        <v>0.62</v>
      </c>
      <c r="I4" s="2">
        <v>10</v>
      </c>
      <c r="J4" s="5">
        <v>128</v>
      </c>
      <c r="K4" s="2">
        <v>40</v>
      </c>
      <c r="L4" s="2" t="s">
        <v>17</v>
      </c>
      <c r="M4" s="6">
        <v>2.7</v>
      </c>
      <c r="N4" s="3">
        <f>16.9*60</f>
        <v>1013.9999999999999</v>
      </c>
      <c r="O4" s="5">
        <v>1.67</v>
      </c>
      <c r="P4" s="5">
        <v>0.48</v>
      </c>
      <c r="Q4" s="2"/>
    </row>
    <row r="5" spans="1:17" ht="15" customHeight="1" x14ac:dyDescent="0.25">
      <c r="A5" s="2" t="s">
        <v>11</v>
      </c>
      <c r="B5" s="2">
        <v>10</v>
      </c>
      <c r="C5" s="2" t="s">
        <v>18</v>
      </c>
      <c r="D5" s="7" t="s">
        <v>19</v>
      </c>
      <c r="E5" s="4">
        <v>2.8</v>
      </c>
      <c r="F5" s="3">
        <f>121.4*25</f>
        <v>3035</v>
      </c>
      <c r="G5" s="2">
        <v>1.94</v>
      </c>
      <c r="H5" s="2">
        <v>0.42</v>
      </c>
      <c r="I5" s="2">
        <v>10</v>
      </c>
      <c r="J5" s="2">
        <v>74</v>
      </c>
      <c r="K5" s="2">
        <v>40</v>
      </c>
      <c r="L5" s="2" t="s">
        <v>20</v>
      </c>
      <c r="M5" s="4">
        <v>2.9</v>
      </c>
      <c r="N5" s="3">
        <f>8.9*60</f>
        <v>534</v>
      </c>
      <c r="O5" s="2">
        <v>2.41</v>
      </c>
      <c r="P5" s="2">
        <v>0.4</v>
      </c>
      <c r="Q5" s="2"/>
    </row>
    <row r="6" spans="1:17" ht="15" customHeight="1" x14ac:dyDescent="0.2">
      <c r="A6" s="2" t="s">
        <v>11</v>
      </c>
      <c r="B6" s="2">
        <v>10</v>
      </c>
      <c r="C6" s="2" t="s">
        <v>21</v>
      </c>
      <c r="D6" s="2">
        <v>9</v>
      </c>
      <c r="E6" s="4">
        <v>3.5</v>
      </c>
      <c r="F6" s="4">
        <f>3.6*25</f>
        <v>90</v>
      </c>
      <c r="G6" s="2">
        <v>1.68</v>
      </c>
      <c r="H6" s="2">
        <v>2.0099999999999998</v>
      </c>
      <c r="I6" s="2">
        <v>10</v>
      </c>
      <c r="J6" s="2">
        <v>70</v>
      </c>
      <c r="K6" s="2">
        <v>40</v>
      </c>
      <c r="L6" s="2" t="s">
        <v>22</v>
      </c>
      <c r="M6" s="4">
        <v>4</v>
      </c>
      <c r="N6" s="4">
        <f>13.4*25</f>
        <v>335</v>
      </c>
      <c r="O6" s="2">
        <v>2.15</v>
      </c>
      <c r="P6" s="2">
        <v>0.4</v>
      </c>
      <c r="Q6" s="2"/>
    </row>
    <row r="7" spans="1:17" ht="15" customHeight="1" x14ac:dyDescent="0.25">
      <c r="A7" s="8" t="s">
        <v>23</v>
      </c>
      <c r="B7" s="8"/>
      <c r="C7" s="8" t="s">
        <v>24</v>
      </c>
      <c r="D7" s="8">
        <v>48</v>
      </c>
      <c r="E7" s="9">
        <v>7</v>
      </c>
      <c r="F7" s="9">
        <f>26*25</f>
        <v>650</v>
      </c>
      <c r="G7" s="8">
        <v>1.94</v>
      </c>
      <c r="H7" s="8">
        <v>0.66</v>
      </c>
      <c r="I7" s="8">
        <v>10</v>
      </c>
      <c r="J7" s="8">
        <v>83</v>
      </c>
      <c r="K7" s="8">
        <v>10</v>
      </c>
      <c r="L7" s="8" t="s">
        <v>25</v>
      </c>
      <c r="M7" s="10">
        <v>1.2</v>
      </c>
      <c r="N7" s="10">
        <f>7.2*25</f>
        <v>180</v>
      </c>
      <c r="O7" s="8">
        <v>1.61</v>
      </c>
      <c r="P7" s="8">
        <v>0.64</v>
      </c>
      <c r="Q7" s="8"/>
    </row>
    <row r="8" spans="1:17" ht="15" customHeight="1" x14ac:dyDescent="0.25">
      <c r="A8" s="8" t="s">
        <v>23</v>
      </c>
      <c r="B8" s="8"/>
      <c r="C8" s="8" t="s">
        <v>26</v>
      </c>
      <c r="D8" s="8">
        <v>57</v>
      </c>
      <c r="E8" s="10">
        <v>5.2</v>
      </c>
      <c r="F8" s="9">
        <f>31.9*25</f>
        <v>797.5</v>
      </c>
      <c r="G8" s="8">
        <v>1.82</v>
      </c>
      <c r="H8" s="8">
        <v>0.89</v>
      </c>
      <c r="I8" s="8">
        <v>10</v>
      </c>
      <c r="J8" s="8">
        <v>69</v>
      </c>
      <c r="K8" s="8">
        <v>10</v>
      </c>
      <c r="L8" s="8" t="s">
        <v>27</v>
      </c>
      <c r="M8" s="10">
        <v>3.8</v>
      </c>
      <c r="N8" s="10">
        <f>8.9*25</f>
        <v>222.5</v>
      </c>
      <c r="O8" s="8">
        <v>2.16</v>
      </c>
      <c r="P8" s="8">
        <v>0.59</v>
      </c>
      <c r="Q8" s="8"/>
    </row>
    <row r="9" spans="1:17" ht="15" customHeight="1" x14ac:dyDescent="0.25">
      <c r="A9" s="8" t="s">
        <v>23</v>
      </c>
      <c r="B9" s="8"/>
      <c r="C9" s="8" t="s">
        <v>28</v>
      </c>
      <c r="D9" s="8">
        <v>52</v>
      </c>
      <c r="E9" s="9">
        <v>7.6</v>
      </c>
      <c r="F9" s="9">
        <f>40.7*25</f>
        <v>1017.5000000000001</v>
      </c>
      <c r="G9" s="8">
        <v>1.56</v>
      </c>
      <c r="H9" s="8">
        <v>0.63</v>
      </c>
      <c r="I9" s="8">
        <v>10</v>
      </c>
      <c r="J9" s="8">
        <v>94</v>
      </c>
      <c r="K9" s="8">
        <v>10</v>
      </c>
      <c r="L9" s="8" t="s">
        <v>29</v>
      </c>
      <c r="M9" s="10">
        <v>5.0999999999999996</v>
      </c>
      <c r="N9" s="9">
        <f>8.8*60</f>
        <v>528</v>
      </c>
      <c r="O9" s="8">
        <v>1.85</v>
      </c>
      <c r="P9" s="8">
        <v>0.56999999999999995</v>
      </c>
      <c r="Q9" s="8"/>
    </row>
    <row r="10" spans="1:17" ht="15" customHeight="1" x14ac:dyDescent="0.25">
      <c r="A10" s="8" t="s">
        <v>23</v>
      </c>
      <c r="B10" s="8"/>
      <c r="C10" s="8" t="s">
        <v>30</v>
      </c>
      <c r="D10" s="8">
        <v>28</v>
      </c>
      <c r="E10" s="9">
        <v>8.3000000000000007</v>
      </c>
      <c r="F10" s="9">
        <f>31.8*25</f>
        <v>795</v>
      </c>
      <c r="G10" s="8">
        <v>2.11</v>
      </c>
      <c r="H10" s="8">
        <v>1.22</v>
      </c>
      <c r="I10" s="8">
        <v>10</v>
      </c>
      <c r="J10" s="8">
        <v>73</v>
      </c>
      <c r="K10" s="8">
        <v>10</v>
      </c>
      <c r="L10" s="8" t="s">
        <v>31</v>
      </c>
      <c r="M10" s="9">
        <v>7.7</v>
      </c>
      <c r="N10" s="10">
        <f>3.7*55</f>
        <v>203.5</v>
      </c>
      <c r="O10" s="8">
        <v>2.5099999999999998</v>
      </c>
      <c r="P10" s="8">
        <v>0.24</v>
      </c>
      <c r="Q10" s="8"/>
    </row>
    <row r="11" spans="1:17" ht="15" customHeight="1" x14ac:dyDescent="0.25">
      <c r="A11" s="8" t="s">
        <v>23</v>
      </c>
      <c r="B11" s="8"/>
      <c r="C11" s="8" t="s">
        <v>32</v>
      </c>
      <c r="D11" s="8">
        <v>36</v>
      </c>
      <c r="E11" s="9">
        <v>6.1</v>
      </c>
      <c r="F11" s="9">
        <f>50.4*25</f>
        <v>1260</v>
      </c>
      <c r="G11" s="8">
        <v>1.83</v>
      </c>
      <c r="H11" s="8">
        <v>0.65</v>
      </c>
      <c r="I11" s="8">
        <v>10</v>
      </c>
      <c r="J11" s="11">
        <v>130</v>
      </c>
      <c r="K11" s="8">
        <v>10</v>
      </c>
      <c r="L11" s="8" t="s">
        <v>33</v>
      </c>
      <c r="M11" s="12">
        <v>2.9</v>
      </c>
      <c r="N11" s="9">
        <f>28.8*60</f>
        <v>1728</v>
      </c>
      <c r="O11" s="11">
        <v>1.77</v>
      </c>
      <c r="P11" s="11">
        <v>0.48</v>
      </c>
      <c r="Q11" s="8"/>
    </row>
    <row r="12" spans="1:17" ht="15" customHeight="1" x14ac:dyDescent="0.25">
      <c r="A12" s="2" t="s">
        <v>23</v>
      </c>
      <c r="B12" s="2"/>
      <c r="C12" s="2" t="s">
        <v>34</v>
      </c>
      <c r="D12" s="2">
        <v>32</v>
      </c>
      <c r="E12" s="3">
        <v>7.8</v>
      </c>
      <c r="F12" s="3">
        <f>35.3*25</f>
        <v>882.49999999999989</v>
      </c>
      <c r="G12" s="2">
        <v>1.89</v>
      </c>
      <c r="H12" s="2">
        <v>0.65</v>
      </c>
      <c r="I12" s="2">
        <v>10</v>
      </c>
      <c r="J12" s="5">
        <v>129</v>
      </c>
      <c r="K12" s="2">
        <v>40</v>
      </c>
      <c r="L12" s="2" t="s">
        <v>35</v>
      </c>
      <c r="M12" s="6">
        <v>2.8</v>
      </c>
      <c r="N12" s="3">
        <f>21.7*60</f>
        <v>1302</v>
      </c>
      <c r="O12" s="5">
        <v>1.73</v>
      </c>
      <c r="P12" s="5">
        <v>0.48</v>
      </c>
      <c r="Q12" s="2"/>
    </row>
    <row r="13" spans="1:17" ht="15" customHeight="1" x14ac:dyDescent="0.25">
      <c r="A13" s="2" t="s">
        <v>23</v>
      </c>
      <c r="B13" s="2"/>
      <c r="C13" s="2" t="s">
        <v>36</v>
      </c>
      <c r="D13" s="2">
        <v>40</v>
      </c>
      <c r="E13" s="4">
        <v>5.8</v>
      </c>
      <c r="F13" s="3">
        <f>26.2*25</f>
        <v>655</v>
      </c>
      <c r="G13" s="2">
        <v>1.75</v>
      </c>
      <c r="H13" s="2">
        <v>0.52</v>
      </c>
      <c r="I13" s="2">
        <v>10</v>
      </c>
      <c r="J13" s="2">
        <v>90.1</v>
      </c>
      <c r="K13" s="2">
        <v>40</v>
      </c>
      <c r="L13" s="2" t="s">
        <v>37</v>
      </c>
      <c r="M13" s="13">
        <v>2.9</v>
      </c>
      <c r="N13" s="3">
        <f>39*40</f>
        <v>1560</v>
      </c>
      <c r="O13" s="2">
        <v>1.83</v>
      </c>
      <c r="P13" s="2">
        <v>0.44</v>
      </c>
      <c r="Q13" s="2"/>
    </row>
    <row r="14" spans="1:17" ht="15" customHeight="1" x14ac:dyDescent="0.2">
      <c r="A14" s="2" t="s">
        <v>23</v>
      </c>
      <c r="B14" s="2"/>
      <c r="C14" s="2" t="s">
        <v>38</v>
      </c>
      <c r="D14" s="2">
        <v>44</v>
      </c>
      <c r="E14" s="4">
        <v>3.5</v>
      </c>
      <c r="F14" s="4">
        <f>12.5*25</f>
        <v>312.5</v>
      </c>
      <c r="G14" s="2">
        <v>1.68</v>
      </c>
      <c r="H14" s="2">
        <v>0.43</v>
      </c>
      <c r="I14" s="2">
        <v>10</v>
      </c>
      <c r="J14" s="2">
        <v>127</v>
      </c>
      <c r="K14" s="2">
        <v>40</v>
      </c>
      <c r="L14" s="2" t="s">
        <v>39</v>
      </c>
      <c r="M14" s="4">
        <v>2.6</v>
      </c>
      <c r="N14" s="4">
        <f>6.6*60</f>
        <v>396</v>
      </c>
      <c r="O14" s="2">
        <v>2</v>
      </c>
      <c r="P14" s="2">
        <v>0.42</v>
      </c>
      <c r="Q14" s="2"/>
    </row>
    <row r="15" spans="1:17" ht="15" customHeight="1" x14ac:dyDescent="0.25">
      <c r="A15" s="2" t="s">
        <v>23</v>
      </c>
      <c r="B15" s="2"/>
      <c r="C15" s="2" t="s">
        <v>40</v>
      </c>
      <c r="D15" s="2">
        <v>56</v>
      </c>
      <c r="E15" s="3">
        <v>6</v>
      </c>
      <c r="F15" s="3">
        <f>29.2*25</f>
        <v>730</v>
      </c>
      <c r="G15" s="2">
        <v>1.68</v>
      </c>
      <c r="H15" s="2">
        <v>0.68</v>
      </c>
      <c r="I15" s="2">
        <v>10</v>
      </c>
      <c r="J15" s="2">
        <v>100</v>
      </c>
      <c r="K15" s="2">
        <v>40</v>
      </c>
      <c r="L15" s="2" t="s">
        <v>41</v>
      </c>
      <c r="M15" s="4">
        <v>5.3</v>
      </c>
      <c r="N15" s="3">
        <f>21.3*60</f>
        <v>1278</v>
      </c>
      <c r="O15" s="2">
        <v>1.75</v>
      </c>
      <c r="P15" s="2">
        <v>0.54</v>
      </c>
      <c r="Q15" s="2"/>
    </row>
    <row r="16" spans="1:17" ht="15" customHeight="1" x14ac:dyDescent="0.25">
      <c r="A16" s="2" t="s">
        <v>23</v>
      </c>
      <c r="B16" s="2"/>
      <c r="C16" s="2" t="s">
        <v>42</v>
      </c>
      <c r="D16" s="2">
        <v>24</v>
      </c>
      <c r="E16" s="4">
        <v>1.9</v>
      </c>
      <c r="F16" s="4">
        <f>17*25</f>
        <v>425</v>
      </c>
      <c r="G16" s="2">
        <v>1.81</v>
      </c>
      <c r="H16" s="2">
        <v>0.5</v>
      </c>
      <c r="I16" s="2">
        <v>10</v>
      </c>
      <c r="J16" s="5">
        <v>134</v>
      </c>
      <c r="K16" s="2">
        <v>40</v>
      </c>
      <c r="L16" s="2" t="s">
        <v>43</v>
      </c>
      <c r="M16" s="6">
        <v>1.6</v>
      </c>
      <c r="N16" s="3">
        <f>15.1*60</f>
        <v>906</v>
      </c>
      <c r="O16" s="5">
        <v>1.82</v>
      </c>
      <c r="P16" s="5">
        <v>0.43</v>
      </c>
      <c r="Q16" s="2"/>
    </row>
    <row r="17" spans="1:18" ht="15" customHeight="1" x14ac:dyDescent="0.25">
      <c r="A17" s="8" t="s">
        <v>11</v>
      </c>
      <c r="B17" s="8">
        <v>10</v>
      </c>
      <c r="C17" s="8" t="s">
        <v>44</v>
      </c>
      <c r="D17" s="14" t="s">
        <v>45</v>
      </c>
      <c r="E17" s="10">
        <v>2.2999999999999998</v>
      </c>
      <c r="F17" s="9">
        <f>154*25</f>
        <v>3850</v>
      </c>
      <c r="G17" s="8">
        <v>1.93</v>
      </c>
      <c r="H17" s="8">
        <v>0.42</v>
      </c>
      <c r="I17" s="8">
        <v>10</v>
      </c>
      <c r="J17" s="11">
        <v>131</v>
      </c>
      <c r="K17" s="8">
        <v>10</v>
      </c>
      <c r="L17" s="8" t="s">
        <v>46</v>
      </c>
      <c r="M17" s="12">
        <v>5.4</v>
      </c>
      <c r="N17" s="9">
        <f>13.8*60</f>
        <v>828</v>
      </c>
      <c r="O17" s="11">
        <v>1.91</v>
      </c>
      <c r="P17" s="11">
        <v>0.92</v>
      </c>
      <c r="Q17" s="8"/>
    </row>
    <row r="18" spans="1:18" ht="15" customHeight="1" x14ac:dyDescent="0.25">
      <c r="A18" s="8" t="s">
        <v>11</v>
      </c>
      <c r="B18" s="8">
        <v>10</v>
      </c>
      <c r="C18" s="8" t="s">
        <v>47</v>
      </c>
      <c r="D18" s="8">
        <v>1</v>
      </c>
      <c r="E18" s="10">
        <v>3.3</v>
      </c>
      <c r="F18" s="10">
        <f>9.8*25</f>
        <v>245.00000000000003</v>
      </c>
      <c r="G18" s="8">
        <v>1.97</v>
      </c>
      <c r="H18" s="8">
        <v>0.78</v>
      </c>
      <c r="I18" s="8">
        <v>10</v>
      </c>
      <c r="J18" s="8">
        <v>125</v>
      </c>
      <c r="K18" s="8">
        <v>10</v>
      </c>
      <c r="L18" s="8" t="s">
        <v>48</v>
      </c>
      <c r="M18" s="10">
        <v>2.6</v>
      </c>
      <c r="N18" s="15">
        <f>13.3*60</f>
        <v>798</v>
      </c>
      <c r="O18" s="8">
        <v>1.81</v>
      </c>
      <c r="P18" s="8">
        <v>0.47</v>
      </c>
      <c r="Q18" s="8"/>
    </row>
    <row r="19" spans="1:18" ht="15" customHeight="1" x14ac:dyDescent="0.25">
      <c r="A19" s="8" t="s">
        <v>11</v>
      </c>
      <c r="B19" s="8">
        <v>10</v>
      </c>
      <c r="C19" s="8" t="s">
        <v>49</v>
      </c>
      <c r="D19" s="8">
        <v>19</v>
      </c>
      <c r="E19" s="10">
        <v>3.6</v>
      </c>
      <c r="F19" s="9">
        <f>101.5*25</f>
        <v>2537.5</v>
      </c>
      <c r="G19" s="8">
        <v>1.81</v>
      </c>
      <c r="H19" s="8">
        <v>0.62</v>
      </c>
      <c r="I19" s="8">
        <v>10</v>
      </c>
      <c r="J19" s="11">
        <v>136</v>
      </c>
      <c r="K19" s="8">
        <v>10</v>
      </c>
      <c r="L19" s="8" t="s">
        <v>50</v>
      </c>
      <c r="M19" s="12">
        <v>4.9000000000000004</v>
      </c>
      <c r="N19" s="9">
        <f>13.5*60</f>
        <v>810</v>
      </c>
      <c r="O19" s="11">
        <v>1.9</v>
      </c>
      <c r="P19" s="11">
        <v>0.46</v>
      </c>
      <c r="Q19" s="8"/>
    </row>
    <row r="20" spans="1:18" ht="15" customHeight="1" x14ac:dyDescent="0.25">
      <c r="A20" s="8" t="s">
        <v>11</v>
      </c>
      <c r="B20" s="8">
        <v>10</v>
      </c>
      <c r="C20" s="8" t="s">
        <v>51</v>
      </c>
      <c r="D20" s="8">
        <v>68</v>
      </c>
      <c r="E20" s="10">
        <v>5.4</v>
      </c>
      <c r="F20" s="9">
        <f>175*25</f>
        <v>4375</v>
      </c>
      <c r="G20" s="8">
        <v>1.96</v>
      </c>
      <c r="H20" s="8">
        <v>0.85</v>
      </c>
      <c r="I20" s="8">
        <v>10</v>
      </c>
      <c r="J20" s="11">
        <v>135</v>
      </c>
      <c r="K20" s="8">
        <v>10</v>
      </c>
      <c r="L20" s="8" t="s">
        <v>52</v>
      </c>
      <c r="M20" s="12">
        <v>3.7</v>
      </c>
      <c r="N20" s="9">
        <f>18.2*60</f>
        <v>1092</v>
      </c>
      <c r="O20" s="11">
        <v>1.87</v>
      </c>
      <c r="P20" s="11">
        <v>0.76</v>
      </c>
      <c r="Q20" s="8"/>
    </row>
    <row r="21" spans="1:18" ht="15" customHeight="1" x14ac:dyDescent="0.25">
      <c r="A21" s="8" t="s">
        <v>11</v>
      </c>
      <c r="B21" s="8">
        <v>10</v>
      </c>
      <c r="C21" s="8" t="s">
        <v>53</v>
      </c>
      <c r="D21" s="8">
        <v>18</v>
      </c>
      <c r="E21" s="10">
        <v>2.9</v>
      </c>
      <c r="F21" s="9">
        <f>67*25</f>
        <v>1675</v>
      </c>
      <c r="G21" s="8">
        <v>1.63</v>
      </c>
      <c r="H21" s="8">
        <v>0.51</v>
      </c>
      <c r="I21" s="8">
        <v>10</v>
      </c>
      <c r="J21" s="8">
        <v>68</v>
      </c>
      <c r="K21" s="8">
        <v>10</v>
      </c>
      <c r="L21" s="8" t="s">
        <v>54</v>
      </c>
      <c r="M21" s="10">
        <v>2.4</v>
      </c>
      <c r="N21" s="10">
        <f>7.6*25</f>
        <v>190</v>
      </c>
      <c r="O21" s="8">
        <v>1.89</v>
      </c>
      <c r="P21" s="8">
        <v>0.52</v>
      </c>
      <c r="Q21" s="8"/>
    </row>
    <row r="22" spans="1:18" ht="15.75" x14ac:dyDescent="0.25">
      <c r="A22" s="16" t="s">
        <v>55</v>
      </c>
      <c r="B22" s="16">
        <v>40</v>
      </c>
      <c r="C22" s="16" t="s">
        <v>12</v>
      </c>
      <c r="D22" s="16">
        <v>12</v>
      </c>
      <c r="E22" s="17">
        <v>7</v>
      </c>
      <c r="F22" s="17">
        <f>42.3*25</f>
        <v>1057.5</v>
      </c>
      <c r="G22" s="16">
        <v>1.58</v>
      </c>
      <c r="H22" s="16">
        <v>0.61</v>
      </c>
      <c r="I22" s="16">
        <v>40</v>
      </c>
      <c r="J22" s="16">
        <v>84</v>
      </c>
      <c r="K22" s="16">
        <v>40</v>
      </c>
      <c r="L22" s="18" t="s">
        <v>56</v>
      </c>
      <c r="M22" s="19">
        <v>8</v>
      </c>
      <c r="N22" s="19">
        <f>30.6*25</f>
        <v>765</v>
      </c>
      <c r="O22" s="18">
        <v>1.5</v>
      </c>
      <c r="P22" s="18">
        <v>0.49</v>
      </c>
      <c r="Q22" s="20"/>
    </row>
    <row r="23" spans="1:18" ht="15.75" x14ac:dyDescent="0.25">
      <c r="A23" s="16" t="s">
        <v>55</v>
      </c>
      <c r="B23" s="16">
        <v>40</v>
      </c>
      <c r="C23" s="16" t="s">
        <v>14</v>
      </c>
      <c r="D23" s="16">
        <v>3</v>
      </c>
      <c r="E23" s="17">
        <v>7.6</v>
      </c>
      <c r="F23" s="17">
        <f>23.5*25</f>
        <v>587.5</v>
      </c>
      <c r="G23" s="16">
        <v>2.08</v>
      </c>
      <c r="H23" s="16">
        <v>1.34</v>
      </c>
      <c r="I23" s="16">
        <v>40</v>
      </c>
      <c r="J23" s="16">
        <v>123</v>
      </c>
      <c r="K23" s="16">
        <v>40</v>
      </c>
      <c r="L23" s="18" t="s">
        <v>57</v>
      </c>
      <c r="M23" s="19">
        <v>6.9</v>
      </c>
      <c r="N23" s="19">
        <f>9*60</f>
        <v>540</v>
      </c>
      <c r="O23" s="18">
        <v>1.95</v>
      </c>
      <c r="P23" s="18">
        <v>0.86</v>
      </c>
      <c r="Q23" s="21"/>
    </row>
    <row r="24" spans="1:18" ht="15.75" x14ac:dyDescent="0.25">
      <c r="A24" s="16" t="s">
        <v>55</v>
      </c>
      <c r="B24" s="16">
        <v>40</v>
      </c>
      <c r="C24" s="16" t="s">
        <v>16</v>
      </c>
      <c r="D24" s="16">
        <v>21</v>
      </c>
      <c r="E24" s="17">
        <v>6.8</v>
      </c>
      <c r="F24" s="17">
        <f>39.2*25</f>
        <v>980.00000000000011</v>
      </c>
      <c r="G24" s="16">
        <v>1.87</v>
      </c>
      <c r="H24" s="16">
        <v>0.51</v>
      </c>
      <c r="I24" s="16">
        <v>40</v>
      </c>
      <c r="J24" s="16">
        <v>102</v>
      </c>
      <c r="K24" s="16">
        <v>40</v>
      </c>
      <c r="L24" s="18" t="s">
        <v>58</v>
      </c>
      <c r="M24" s="19">
        <v>6.4</v>
      </c>
      <c r="N24" s="19">
        <f>25.5*60</f>
        <v>1530</v>
      </c>
      <c r="O24" s="18">
        <v>1.89</v>
      </c>
      <c r="P24" s="18">
        <v>0.56999999999999995</v>
      </c>
      <c r="Q24" s="22"/>
    </row>
    <row r="25" spans="1:18" x14ac:dyDescent="0.2">
      <c r="A25" s="16" t="s">
        <v>55</v>
      </c>
      <c r="B25" s="16">
        <v>40</v>
      </c>
      <c r="C25" s="16" t="s">
        <v>18</v>
      </c>
      <c r="D25" s="16">
        <v>77</v>
      </c>
      <c r="E25" s="23">
        <v>5.8</v>
      </c>
      <c r="F25" s="23">
        <f>9.9*25</f>
        <v>247.5</v>
      </c>
      <c r="G25" s="16">
        <v>1.75</v>
      </c>
      <c r="H25" s="16">
        <v>0.42</v>
      </c>
      <c r="I25" s="16">
        <v>40</v>
      </c>
      <c r="J25" s="16">
        <v>95</v>
      </c>
      <c r="K25" s="16">
        <v>40</v>
      </c>
      <c r="L25" s="16" t="s">
        <v>59</v>
      </c>
      <c r="M25" s="23">
        <v>4.4000000000000004</v>
      </c>
      <c r="N25" s="23">
        <f>4.1*60</f>
        <v>245.99999999999997</v>
      </c>
      <c r="O25" s="16">
        <v>1.96</v>
      </c>
      <c r="P25" s="16">
        <v>0.45</v>
      </c>
      <c r="Q25" s="16"/>
    </row>
    <row r="26" spans="1:18" ht="15.75" x14ac:dyDescent="0.25">
      <c r="A26" s="16" t="s">
        <v>55</v>
      </c>
      <c r="B26" s="16">
        <v>40</v>
      </c>
      <c r="C26" s="16" t="s">
        <v>21</v>
      </c>
      <c r="D26" s="16">
        <v>2</v>
      </c>
      <c r="E26" s="23">
        <v>5.6</v>
      </c>
      <c r="F26" s="17">
        <f>19.1*25</f>
        <v>477.50000000000006</v>
      </c>
      <c r="G26" s="16">
        <v>1.99</v>
      </c>
      <c r="H26" s="16">
        <v>0.67</v>
      </c>
      <c r="I26" s="16">
        <v>40</v>
      </c>
      <c r="J26" s="16">
        <v>75</v>
      </c>
      <c r="K26" s="16">
        <v>40</v>
      </c>
      <c r="L26" s="18" t="s">
        <v>60</v>
      </c>
      <c r="M26" s="19">
        <v>7.2</v>
      </c>
      <c r="N26" s="24">
        <f>3.8*55</f>
        <v>209</v>
      </c>
      <c r="O26" s="18">
        <v>2.33</v>
      </c>
      <c r="P26" s="18">
        <v>0.25</v>
      </c>
      <c r="Q26" s="25"/>
    </row>
    <row r="27" spans="1:18" ht="15.75" x14ac:dyDescent="0.25">
      <c r="A27" s="26" t="s">
        <v>23</v>
      </c>
      <c r="B27" s="26"/>
      <c r="C27" s="26" t="s">
        <v>34</v>
      </c>
      <c r="D27" s="26">
        <v>49</v>
      </c>
      <c r="E27" s="27">
        <v>8.3000000000000007</v>
      </c>
      <c r="F27" s="27">
        <f>25*25</f>
        <v>625</v>
      </c>
      <c r="G27" s="26">
        <v>2</v>
      </c>
      <c r="H27" s="26">
        <v>0.86</v>
      </c>
      <c r="I27" s="26">
        <v>40</v>
      </c>
      <c r="J27" s="26">
        <v>79</v>
      </c>
      <c r="K27" s="26">
        <v>10</v>
      </c>
      <c r="L27" s="18" t="s">
        <v>61</v>
      </c>
      <c r="M27" s="24">
        <v>0</v>
      </c>
      <c r="N27" s="19">
        <f>23.2*33</f>
        <v>765.6</v>
      </c>
      <c r="O27" s="18">
        <v>1.72</v>
      </c>
      <c r="P27" s="18">
        <v>0.56000000000000005</v>
      </c>
      <c r="Q27" s="20"/>
    </row>
    <row r="28" spans="1:18" ht="15.75" x14ac:dyDescent="0.25">
      <c r="A28" s="26" t="s">
        <v>23</v>
      </c>
      <c r="B28" s="26"/>
      <c r="C28" s="26" t="s">
        <v>36</v>
      </c>
      <c r="D28" s="26">
        <v>25</v>
      </c>
      <c r="E28" s="27">
        <v>8.1999999999999993</v>
      </c>
      <c r="F28" s="27">
        <f>51.8*25</f>
        <v>1295</v>
      </c>
      <c r="G28" s="26">
        <v>2.14</v>
      </c>
      <c r="H28" s="26">
        <v>1.58</v>
      </c>
      <c r="I28" s="26">
        <v>40</v>
      </c>
      <c r="J28" s="28" t="s">
        <v>62</v>
      </c>
      <c r="K28" s="26">
        <v>10</v>
      </c>
      <c r="L28" s="18" t="s">
        <v>63</v>
      </c>
      <c r="M28" s="19">
        <v>8.5</v>
      </c>
      <c r="N28" s="18"/>
      <c r="O28" s="18"/>
      <c r="P28" s="18"/>
      <c r="Q28" s="21"/>
      <c r="R28" s="29" t="s">
        <v>64</v>
      </c>
    </row>
    <row r="29" spans="1:18" ht="15.75" x14ac:dyDescent="0.25">
      <c r="A29" s="26" t="s">
        <v>23</v>
      </c>
      <c r="B29" s="26"/>
      <c r="C29" s="26" t="s">
        <v>38</v>
      </c>
      <c r="D29" s="26">
        <v>59</v>
      </c>
      <c r="E29" s="27">
        <v>7.4</v>
      </c>
      <c r="F29" s="27">
        <f>23.4*25</f>
        <v>585</v>
      </c>
      <c r="G29" s="26">
        <v>1.92</v>
      </c>
      <c r="H29" s="26">
        <v>0.86</v>
      </c>
      <c r="I29" s="26">
        <v>40</v>
      </c>
      <c r="J29" s="26">
        <v>81</v>
      </c>
      <c r="K29" s="26">
        <v>10</v>
      </c>
      <c r="L29" s="18" t="s">
        <v>65</v>
      </c>
      <c r="M29" s="19">
        <v>7.4</v>
      </c>
      <c r="N29" s="24">
        <f>2.1*25</f>
        <v>52.5</v>
      </c>
      <c r="O29" s="18">
        <v>2.2400000000000002</v>
      </c>
      <c r="P29" s="18">
        <v>1.01</v>
      </c>
      <c r="Q29" s="22"/>
    </row>
    <row r="30" spans="1:18" x14ac:dyDescent="0.2">
      <c r="A30" s="26" t="s">
        <v>23</v>
      </c>
      <c r="B30" s="26"/>
      <c r="C30" s="26" t="s">
        <v>40</v>
      </c>
      <c r="D30" s="26">
        <v>60</v>
      </c>
      <c r="E30" s="30">
        <v>3.2</v>
      </c>
      <c r="F30" s="30">
        <f>17.7*25</f>
        <v>442.5</v>
      </c>
      <c r="G30" s="26">
        <v>1.84</v>
      </c>
      <c r="H30" s="26">
        <v>0.76</v>
      </c>
      <c r="I30" s="26">
        <v>40</v>
      </c>
      <c r="J30" s="26"/>
      <c r="K30" s="26">
        <v>10</v>
      </c>
      <c r="L30" s="26" t="s">
        <v>66</v>
      </c>
      <c r="M30" s="26" t="s">
        <v>67</v>
      </c>
      <c r="N30" s="26"/>
      <c r="O30" s="26"/>
      <c r="P30" s="26"/>
      <c r="Q30" s="26"/>
    </row>
    <row r="31" spans="1:18" ht="15.75" x14ac:dyDescent="0.25">
      <c r="A31" s="26" t="s">
        <v>23</v>
      </c>
      <c r="B31" s="26"/>
      <c r="C31" s="26" t="s">
        <v>42</v>
      </c>
      <c r="D31" s="26">
        <v>45</v>
      </c>
      <c r="E31" s="27">
        <v>6.3</v>
      </c>
      <c r="F31" s="30">
        <f>18.5*25</f>
        <v>462.5</v>
      </c>
      <c r="G31" s="26">
        <v>1.76</v>
      </c>
      <c r="H31" s="26">
        <v>0.51</v>
      </c>
      <c r="I31" s="26">
        <v>40</v>
      </c>
      <c r="J31" s="26">
        <v>91</v>
      </c>
      <c r="K31" s="26">
        <v>10</v>
      </c>
      <c r="L31" s="18" t="s">
        <v>68</v>
      </c>
      <c r="M31" s="31">
        <v>7.6</v>
      </c>
      <c r="N31" s="19">
        <f>18.2*30</f>
        <v>546</v>
      </c>
      <c r="O31" s="18">
        <v>1.83</v>
      </c>
      <c r="P31" s="18">
        <v>0.52</v>
      </c>
      <c r="Q31" s="25"/>
    </row>
    <row r="32" spans="1:18" x14ac:dyDescent="0.2">
      <c r="A32" s="16" t="s">
        <v>55</v>
      </c>
      <c r="B32" s="16">
        <v>40</v>
      </c>
      <c r="C32" s="16" t="s">
        <v>44</v>
      </c>
      <c r="D32" s="16">
        <v>13</v>
      </c>
      <c r="E32" s="23">
        <v>1.4</v>
      </c>
      <c r="F32" s="23">
        <f>7*25</f>
        <v>175</v>
      </c>
      <c r="G32" s="16">
        <v>1.58</v>
      </c>
      <c r="H32" s="16">
        <v>0.65</v>
      </c>
      <c r="I32" s="16">
        <v>40</v>
      </c>
      <c r="J32" s="16"/>
      <c r="K32" s="16">
        <v>40</v>
      </c>
      <c r="L32" s="16" t="s">
        <v>69</v>
      </c>
      <c r="M32" s="26" t="s">
        <v>67</v>
      </c>
      <c r="N32" s="16"/>
      <c r="O32" s="16"/>
      <c r="P32" s="16"/>
      <c r="Q32" s="16"/>
    </row>
    <row r="33" spans="1:18" ht="15.75" x14ac:dyDescent="0.25">
      <c r="A33" s="16" t="s">
        <v>55</v>
      </c>
      <c r="B33" s="16">
        <v>40</v>
      </c>
      <c r="C33" s="16" t="s">
        <v>47</v>
      </c>
      <c r="D33" s="16">
        <v>73</v>
      </c>
      <c r="E33" s="23">
        <v>4</v>
      </c>
      <c r="F33" s="17">
        <f>294.8*25</f>
        <v>7370</v>
      </c>
      <c r="G33" s="16">
        <v>1.84</v>
      </c>
      <c r="H33" s="16">
        <v>0.42</v>
      </c>
      <c r="I33" s="16">
        <v>40</v>
      </c>
      <c r="J33" s="16">
        <v>71</v>
      </c>
      <c r="K33" s="16">
        <v>40</v>
      </c>
      <c r="L33" s="16" t="s">
        <v>70</v>
      </c>
      <c r="M33" s="23">
        <v>1.1000000000000001</v>
      </c>
      <c r="N33" s="23">
        <f>4.5*25</f>
        <v>112.5</v>
      </c>
      <c r="O33" s="16">
        <v>1.97</v>
      </c>
      <c r="P33" s="16">
        <v>0.41</v>
      </c>
      <c r="Q33" s="16"/>
    </row>
    <row r="34" spans="1:18" ht="15.75" x14ac:dyDescent="0.25">
      <c r="A34" s="16" t="s">
        <v>55</v>
      </c>
      <c r="B34" s="16">
        <v>40</v>
      </c>
      <c r="C34" s="16" t="s">
        <v>49</v>
      </c>
      <c r="D34" s="16">
        <v>70</v>
      </c>
      <c r="E34" s="23">
        <v>2.9</v>
      </c>
      <c r="F34" s="17">
        <f>242.9*25</f>
        <v>6072.5</v>
      </c>
      <c r="G34" s="16">
        <v>1.89</v>
      </c>
      <c r="H34" s="16">
        <v>0.4</v>
      </c>
      <c r="I34" s="16">
        <v>40</v>
      </c>
      <c r="J34" s="16">
        <v>118</v>
      </c>
      <c r="K34" s="16">
        <v>40</v>
      </c>
      <c r="L34" s="18" t="s">
        <v>71</v>
      </c>
      <c r="M34" s="24">
        <v>5.0999999999999996</v>
      </c>
      <c r="N34" s="19">
        <f>14.7*60</f>
        <v>882</v>
      </c>
      <c r="O34" s="18">
        <v>1.78</v>
      </c>
      <c r="P34" s="18">
        <v>0.35</v>
      </c>
      <c r="Q34" s="32"/>
    </row>
    <row r="35" spans="1:18" ht="15.75" x14ac:dyDescent="0.25">
      <c r="A35" s="16" t="s">
        <v>55</v>
      </c>
      <c r="B35" s="16">
        <v>40</v>
      </c>
      <c r="C35" s="16" t="s">
        <v>51</v>
      </c>
      <c r="D35" s="16">
        <v>7</v>
      </c>
      <c r="E35" s="23">
        <v>3.7</v>
      </c>
      <c r="F35" s="23">
        <f>12.5*25</f>
        <v>312.5</v>
      </c>
      <c r="G35" s="16">
        <v>1.96</v>
      </c>
      <c r="H35" s="16">
        <v>0.74</v>
      </c>
      <c r="I35" s="16">
        <v>40</v>
      </c>
      <c r="J35" s="33">
        <v>132</v>
      </c>
      <c r="K35" s="16">
        <v>40</v>
      </c>
      <c r="L35" s="16" t="s">
        <v>72</v>
      </c>
      <c r="M35" s="34">
        <v>7.7</v>
      </c>
      <c r="N35" s="17">
        <f>17.1*60</f>
        <v>1026</v>
      </c>
      <c r="O35" s="33">
        <v>1.91</v>
      </c>
      <c r="P35" s="33">
        <v>0.92</v>
      </c>
      <c r="Q35" s="16"/>
    </row>
    <row r="36" spans="1:18" ht="15.75" x14ac:dyDescent="0.25">
      <c r="A36" s="16" t="s">
        <v>55</v>
      </c>
      <c r="B36" s="16">
        <v>40</v>
      </c>
      <c r="C36" s="16" t="s">
        <v>53</v>
      </c>
      <c r="D36" s="16">
        <v>20</v>
      </c>
      <c r="E36" s="17">
        <v>7.5</v>
      </c>
      <c r="F36" s="17">
        <f>78.4*25</f>
        <v>1960.0000000000002</v>
      </c>
      <c r="G36" s="16">
        <v>1.9</v>
      </c>
      <c r="H36" s="16">
        <v>0.62</v>
      </c>
      <c r="I36" s="16">
        <v>40</v>
      </c>
      <c r="J36" s="16">
        <v>108</v>
      </c>
      <c r="K36" s="16">
        <v>40</v>
      </c>
      <c r="L36" s="18" t="s">
        <v>73</v>
      </c>
      <c r="M36" s="19">
        <v>8.6999999999999993</v>
      </c>
      <c r="N36" s="19">
        <f>9*60</f>
        <v>540</v>
      </c>
      <c r="O36" s="18">
        <v>1.88</v>
      </c>
      <c r="P36" s="18">
        <v>0.64</v>
      </c>
      <c r="Q36" s="35"/>
    </row>
    <row r="37" spans="1:18" ht="15.75" x14ac:dyDescent="0.25">
      <c r="A37" s="26" t="s">
        <v>23</v>
      </c>
      <c r="B37" s="26"/>
      <c r="C37" s="26" t="s">
        <v>24</v>
      </c>
      <c r="D37" s="26">
        <v>29</v>
      </c>
      <c r="E37" s="30">
        <v>3.8</v>
      </c>
      <c r="F37" s="27">
        <f>29.4*25</f>
        <v>735</v>
      </c>
      <c r="G37" s="26">
        <v>1.83</v>
      </c>
      <c r="H37" s="26">
        <v>0.44</v>
      </c>
      <c r="I37" s="26">
        <v>40</v>
      </c>
      <c r="J37" s="36">
        <v>133</v>
      </c>
      <c r="K37" s="26">
        <v>10</v>
      </c>
      <c r="L37" s="26" t="s">
        <v>74</v>
      </c>
      <c r="M37" s="37">
        <v>2.8</v>
      </c>
      <c r="N37" s="27">
        <f>36.3*60</f>
        <v>2178</v>
      </c>
      <c r="O37" s="36">
        <v>1.8</v>
      </c>
      <c r="P37" s="36">
        <v>0.46</v>
      </c>
      <c r="Q37" s="26"/>
    </row>
    <row r="38" spans="1:18" ht="15.75" x14ac:dyDescent="0.25">
      <c r="A38" s="26" t="s">
        <v>23</v>
      </c>
      <c r="B38" s="26"/>
      <c r="C38" s="26" t="s">
        <v>26</v>
      </c>
      <c r="D38" s="26">
        <v>53</v>
      </c>
      <c r="E38" s="30"/>
      <c r="F38" s="30">
        <f>14.3*25</f>
        <v>357.5</v>
      </c>
      <c r="G38" s="26">
        <v>0.81</v>
      </c>
      <c r="H38" s="26"/>
      <c r="I38" s="26">
        <v>40</v>
      </c>
      <c r="J38" s="36">
        <v>126</v>
      </c>
      <c r="K38" s="26">
        <v>10</v>
      </c>
      <c r="L38" s="26" t="s">
        <v>75</v>
      </c>
      <c r="M38" s="30">
        <v>2.4</v>
      </c>
      <c r="N38" s="27">
        <f>10.7*60</f>
        <v>642</v>
      </c>
      <c r="O38" s="26">
        <v>2</v>
      </c>
      <c r="P38" s="26">
        <v>0.44</v>
      </c>
      <c r="Q38" s="26"/>
    </row>
    <row r="39" spans="1:18" ht="15.75" x14ac:dyDescent="0.25">
      <c r="A39" s="1" t="s">
        <v>23</v>
      </c>
      <c r="B39" s="1"/>
      <c r="C39" s="26" t="s">
        <v>28</v>
      </c>
      <c r="D39" s="26">
        <v>37</v>
      </c>
      <c r="E39" s="27">
        <v>8.3000000000000007</v>
      </c>
      <c r="F39" s="27">
        <f>24*25</f>
        <v>600</v>
      </c>
      <c r="G39" s="26">
        <v>1.98</v>
      </c>
      <c r="H39" s="26">
        <v>1.04</v>
      </c>
      <c r="I39" s="26">
        <v>40</v>
      </c>
      <c r="J39" s="26">
        <v>103</v>
      </c>
      <c r="K39" s="26">
        <v>10</v>
      </c>
      <c r="L39" s="18" t="s">
        <v>76</v>
      </c>
      <c r="M39" s="38">
        <v>1</v>
      </c>
      <c r="N39" s="24">
        <f>7.8*60</f>
        <v>468</v>
      </c>
      <c r="O39" s="18">
        <v>1.96</v>
      </c>
      <c r="P39" s="18">
        <v>0.56999999999999995</v>
      </c>
      <c r="Q39" s="21"/>
      <c r="R39" s="29" t="s">
        <v>77</v>
      </c>
    </row>
    <row r="40" spans="1:18" x14ac:dyDescent="0.2">
      <c r="A40" s="26" t="s">
        <v>23</v>
      </c>
      <c r="B40" s="26"/>
      <c r="C40" s="26" t="s">
        <v>30</v>
      </c>
      <c r="D40" s="26">
        <v>41</v>
      </c>
      <c r="E40" s="30">
        <v>0</v>
      </c>
      <c r="F40" s="30">
        <f>6*25</f>
        <v>150</v>
      </c>
      <c r="G40" s="26">
        <v>1.48</v>
      </c>
      <c r="H40" s="26">
        <v>0.32</v>
      </c>
      <c r="I40" s="26">
        <v>40</v>
      </c>
      <c r="J40" s="26">
        <v>72</v>
      </c>
      <c r="K40" s="26">
        <v>10</v>
      </c>
      <c r="L40" s="26" t="s">
        <v>78</v>
      </c>
      <c r="M40" s="30">
        <v>0</v>
      </c>
      <c r="N40" s="30">
        <f>2.2*60</f>
        <v>132</v>
      </c>
      <c r="O40" s="26">
        <v>2.54</v>
      </c>
      <c r="P40" s="26">
        <v>0.36</v>
      </c>
      <c r="Q40" s="26"/>
    </row>
    <row r="41" spans="1:18" ht="15.75" x14ac:dyDescent="0.25">
      <c r="A41" s="26" t="s">
        <v>23</v>
      </c>
      <c r="B41" s="26"/>
      <c r="C41" s="26" t="s">
        <v>32</v>
      </c>
      <c r="D41" s="26">
        <v>33</v>
      </c>
      <c r="E41" s="27">
        <v>6.5</v>
      </c>
      <c r="F41" s="27">
        <f>83.2*25</f>
        <v>2080</v>
      </c>
      <c r="G41" s="26">
        <v>1.71</v>
      </c>
      <c r="H41" s="26">
        <v>0.87</v>
      </c>
      <c r="I41" s="26">
        <v>40</v>
      </c>
      <c r="J41" s="26">
        <v>67</v>
      </c>
      <c r="K41" s="26">
        <v>10</v>
      </c>
      <c r="L41" s="18" t="s">
        <v>79</v>
      </c>
      <c r="M41" s="24">
        <v>2.9</v>
      </c>
      <c r="N41" s="24">
        <f>3.7*25</f>
        <v>92.5</v>
      </c>
      <c r="O41" s="18">
        <v>2.5299999999999998</v>
      </c>
      <c r="P41" s="18">
        <v>0.31</v>
      </c>
      <c r="Q41" s="35"/>
    </row>
    <row r="42" spans="1:18" x14ac:dyDescent="0.2">
      <c r="A42" s="1" t="s">
        <v>0</v>
      </c>
      <c r="B42" s="1"/>
      <c r="C42" s="1" t="s">
        <v>2</v>
      </c>
      <c r="D42" s="1"/>
      <c r="E42" s="1"/>
      <c r="F42" s="1"/>
      <c r="G42" s="1"/>
      <c r="H42" s="1"/>
      <c r="I42" s="1" t="s">
        <v>8</v>
      </c>
      <c r="J42" s="1"/>
      <c r="K42" s="1" t="s">
        <v>9</v>
      </c>
      <c r="L42" s="1" t="s">
        <v>80</v>
      </c>
      <c r="M42" s="1"/>
      <c r="N42" s="1"/>
      <c r="O42" s="1"/>
      <c r="P42" s="1"/>
      <c r="Q42" s="1"/>
    </row>
    <row r="43" spans="1:18" ht="15.75" x14ac:dyDescent="0.25">
      <c r="A43" s="39" t="s">
        <v>81</v>
      </c>
      <c r="B43" s="39">
        <v>40</v>
      </c>
      <c r="C43" s="39" t="s">
        <v>12</v>
      </c>
      <c r="D43" s="39">
        <v>85</v>
      </c>
      <c r="E43" s="40">
        <v>8.8000000000000007</v>
      </c>
      <c r="F43" s="41">
        <f>13.8*25</f>
        <v>345</v>
      </c>
      <c r="G43" s="39">
        <v>1.9</v>
      </c>
      <c r="H43" s="39">
        <v>0.7</v>
      </c>
      <c r="I43" s="39">
        <v>40</v>
      </c>
      <c r="J43" s="42" t="s">
        <v>67</v>
      </c>
      <c r="K43" s="39">
        <v>40</v>
      </c>
      <c r="L43" s="22" t="s">
        <v>82</v>
      </c>
      <c r="M43" s="43" t="s">
        <v>67</v>
      </c>
      <c r="N43" s="18"/>
      <c r="O43" s="18"/>
      <c r="P43" s="18"/>
      <c r="Q43" s="18"/>
    </row>
    <row r="44" spans="1:18" ht="15.75" x14ac:dyDescent="0.25">
      <c r="A44" s="39" t="s">
        <v>81</v>
      </c>
      <c r="B44" s="39">
        <v>40</v>
      </c>
      <c r="C44" s="39" t="s">
        <v>14</v>
      </c>
      <c r="D44" s="39">
        <v>5</v>
      </c>
      <c r="E44" s="41">
        <v>0</v>
      </c>
      <c r="F44" s="40">
        <f>91.6*25</f>
        <v>2290</v>
      </c>
      <c r="G44" s="39">
        <v>2.1</v>
      </c>
      <c r="H44" s="39">
        <v>1.59</v>
      </c>
      <c r="I44" s="39">
        <v>40</v>
      </c>
      <c r="J44" s="39">
        <v>77</v>
      </c>
      <c r="K44" s="39">
        <v>40</v>
      </c>
      <c r="L44" s="44" t="s">
        <v>83</v>
      </c>
      <c r="M44" s="24">
        <v>3.1</v>
      </c>
      <c r="N44" s="19">
        <f>23.2*33</f>
        <v>765.6</v>
      </c>
      <c r="O44" s="18">
        <v>2.0299999999999998</v>
      </c>
      <c r="P44" s="18">
        <v>0.39</v>
      </c>
      <c r="Q44" s="18"/>
    </row>
    <row r="45" spans="1:18" ht="15.75" x14ac:dyDescent="0.25">
      <c r="A45" s="39" t="s">
        <v>81</v>
      </c>
      <c r="B45" s="39">
        <v>40</v>
      </c>
      <c r="C45" s="39" t="s">
        <v>16</v>
      </c>
      <c r="D45" s="39">
        <v>16</v>
      </c>
      <c r="E45" s="40">
        <v>6.9</v>
      </c>
      <c r="F45" s="41">
        <f>11.3*25</f>
        <v>282.5</v>
      </c>
      <c r="G45" s="39">
        <v>1.78</v>
      </c>
      <c r="H45" s="39">
        <v>0.62</v>
      </c>
      <c r="I45" s="39">
        <v>40</v>
      </c>
      <c r="J45" s="39">
        <v>65</v>
      </c>
      <c r="K45" s="39">
        <v>40</v>
      </c>
      <c r="L45" s="21" t="s">
        <v>84</v>
      </c>
      <c r="M45" s="24">
        <v>3</v>
      </c>
      <c r="N45" s="24">
        <f>8.4*25</f>
        <v>210</v>
      </c>
      <c r="O45" s="18">
        <v>1.87</v>
      </c>
      <c r="P45" s="18">
        <v>0.37</v>
      </c>
      <c r="Q45" s="18"/>
    </row>
    <row r="46" spans="1:18" ht="15.75" x14ac:dyDescent="0.25">
      <c r="A46" s="39" t="s">
        <v>81</v>
      </c>
      <c r="B46" s="39">
        <v>40</v>
      </c>
      <c r="C46" s="39" t="s">
        <v>18</v>
      </c>
      <c r="D46" s="39">
        <v>6</v>
      </c>
      <c r="E46" s="40">
        <v>7</v>
      </c>
      <c r="F46" s="40">
        <f>25.7*25</f>
        <v>642.5</v>
      </c>
      <c r="G46" s="39">
        <v>2.0099999999999998</v>
      </c>
      <c r="H46" s="39">
        <v>0.63</v>
      </c>
      <c r="I46" s="39">
        <v>40</v>
      </c>
      <c r="J46" s="39">
        <v>101</v>
      </c>
      <c r="K46" s="39">
        <v>40</v>
      </c>
      <c r="L46" s="45" t="s">
        <v>85</v>
      </c>
      <c r="M46" s="24">
        <v>2.6</v>
      </c>
      <c r="N46" s="18">
        <f>15.1*60</f>
        <v>906</v>
      </c>
      <c r="O46" s="18">
        <v>1.84</v>
      </c>
      <c r="P46" s="18">
        <v>0.49</v>
      </c>
      <c r="Q46" s="18"/>
    </row>
    <row r="47" spans="1:18" ht="15.75" x14ac:dyDescent="0.25">
      <c r="A47" s="39" t="s">
        <v>81</v>
      </c>
      <c r="B47" s="39">
        <v>40</v>
      </c>
      <c r="C47" s="39" t="s">
        <v>21</v>
      </c>
      <c r="D47" s="39">
        <v>72</v>
      </c>
      <c r="E47" s="41">
        <v>4.5</v>
      </c>
      <c r="F47" s="40">
        <f>90.7*25</f>
        <v>2267.5</v>
      </c>
      <c r="G47" s="39">
        <v>1.85</v>
      </c>
      <c r="H47" s="39">
        <v>0.56999999999999995</v>
      </c>
      <c r="I47" s="39">
        <v>40</v>
      </c>
      <c r="J47" s="39">
        <v>104</v>
      </c>
      <c r="K47" s="39">
        <v>40</v>
      </c>
      <c r="L47" s="26" t="s">
        <v>86</v>
      </c>
      <c r="M47" s="38">
        <v>2.2000000000000002</v>
      </c>
      <c r="N47" s="18">
        <f>41*60</f>
        <v>2460</v>
      </c>
      <c r="O47" s="18">
        <v>1.69</v>
      </c>
      <c r="P47" s="18">
        <v>0.44</v>
      </c>
      <c r="Q47" s="18"/>
    </row>
    <row r="48" spans="1:18" ht="15.75" x14ac:dyDescent="0.25">
      <c r="A48" s="39" t="s">
        <v>81</v>
      </c>
      <c r="B48" s="39">
        <v>40</v>
      </c>
      <c r="C48" s="39" t="s">
        <v>44</v>
      </c>
      <c r="D48" s="39">
        <v>77</v>
      </c>
      <c r="E48" s="41">
        <v>2.9</v>
      </c>
      <c r="F48" s="40">
        <f>349.8*25</f>
        <v>8745</v>
      </c>
      <c r="G48" s="39">
        <v>1.82</v>
      </c>
      <c r="H48" s="39">
        <v>0.62</v>
      </c>
      <c r="I48" s="39">
        <v>40</v>
      </c>
      <c r="J48" s="39">
        <v>85</v>
      </c>
      <c r="K48" s="39">
        <v>40</v>
      </c>
      <c r="L48" s="46" t="s">
        <v>87</v>
      </c>
      <c r="M48" s="24">
        <v>1.4</v>
      </c>
      <c r="N48" s="24">
        <f>3.8*25</f>
        <v>95</v>
      </c>
      <c r="O48" s="18">
        <v>1.82</v>
      </c>
      <c r="P48" s="18">
        <v>0.51</v>
      </c>
      <c r="Q48" s="18"/>
    </row>
    <row r="49" spans="1:17" ht="15.75" x14ac:dyDescent="0.25">
      <c r="A49" s="39" t="s">
        <v>81</v>
      </c>
      <c r="B49" s="39">
        <v>40</v>
      </c>
      <c r="C49" s="39" t="s">
        <v>47</v>
      </c>
      <c r="D49" s="39">
        <v>17</v>
      </c>
      <c r="E49" s="41">
        <v>2.4</v>
      </c>
      <c r="F49" s="40">
        <f>77.2*25</f>
        <v>1930</v>
      </c>
      <c r="G49" s="39">
        <v>1.96</v>
      </c>
      <c r="H49" s="39">
        <v>0.62</v>
      </c>
      <c r="I49" s="39">
        <v>40</v>
      </c>
      <c r="J49" s="39">
        <v>113</v>
      </c>
      <c r="K49" s="39">
        <v>40</v>
      </c>
      <c r="L49" s="47" t="s">
        <v>88</v>
      </c>
      <c r="M49" s="24">
        <v>1</v>
      </c>
      <c r="N49" s="18">
        <f>9.6*60</f>
        <v>576</v>
      </c>
      <c r="O49" s="18">
        <v>1.78</v>
      </c>
      <c r="P49" s="18">
        <v>0.46</v>
      </c>
      <c r="Q49" s="18"/>
    </row>
    <row r="50" spans="1:17" ht="15.75" x14ac:dyDescent="0.25">
      <c r="A50" s="48" t="s">
        <v>89</v>
      </c>
      <c r="B50" s="48"/>
      <c r="C50" s="48" t="s">
        <v>34</v>
      </c>
      <c r="D50" s="48">
        <v>54</v>
      </c>
      <c r="E50" s="48"/>
      <c r="F50" s="49">
        <f>23.6*25</f>
        <v>590</v>
      </c>
      <c r="G50" s="48">
        <v>2.09</v>
      </c>
      <c r="H50" s="48">
        <v>1.36</v>
      </c>
      <c r="I50" s="48">
        <v>10</v>
      </c>
      <c r="J50" s="48">
        <v>62</v>
      </c>
      <c r="K50" s="48">
        <v>40</v>
      </c>
      <c r="L50" s="18" t="s">
        <v>90</v>
      </c>
      <c r="M50" s="24">
        <v>2.4</v>
      </c>
      <c r="N50" s="24">
        <f>13.4*25</f>
        <v>335</v>
      </c>
      <c r="O50" s="18">
        <v>1.91</v>
      </c>
      <c r="P50" s="18">
        <v>0.37</v>
      </c>
      <c r="Q50" s="20"/>
    </row>
    <row r="51" spans="1:17" ht="15.75" x14ac:dyDescent="0.25">
      <c r="A51" s="48" t="s">
        <v>89</v>
      </c>
      <c r="B51" s="48"/>
      <c r="C51" s="48" t="s">
        <v>36</v>
      </c>
      <c r="D51" s="48">
        <v>30</v>
      </c>
      <c r="E51" s="49">
        <v>6.2</v>
      </c>
      <c r="F51" s="50">
        <f>9.4*25</f>
        <v>235</v>
      </c>
      <c r="G51" s="48">
        <v>2.08</v>
      </c>
      <c r="H51" s="48">
        <v>82</v>
      </c>
      <c r="I51" s="48">
        <v>10</v>
      </c>
      <c r="J51" s="48">
        <v>86</v>
      </c>
      <c r="K51" s="48">
        <v>40</v>
      </c>
      <c r="L51" s="18" t="s">
        <v>91</v>
      </c>
      <c r="M51" s="24">
        <v>2</v>
      </c>
      <c r="N51" s="24">
        <f>4.5*25</f>
        <v>112.5</v>
      </c>
      <c r="O51" s="18">
        <v>1.82</v>
      </c>
      <c r="P51" s="18">
        <v>0.46</v>
      </c>
      <c r="Q51" s="21"/>
    </row>
    <row r="52" spans="1:17" ht="15.75" x14ac:dyDescent="0.25">
      <c r="A52" s="48" t="s">
        <v>89</v>
      </c>
      <c r="B52" s="48"/>
      <c r="C52" s="48" t="s">
        <v>38</v>
      </c>
      <c r="D52" s="48">
        <v>26</v>
      </c>
      <c r="E52" s="49">
        <v>6.1</v>
      </c>
      <c r="F52" s="49">
        <f>65.2*25</f>
        <v>1630</v>
      </c>
      <c r="G52" s="48">
        <v>1.65</v>
      </c>
      <c r="H52" s="48">
        <v>0.65</v>
      </c>
      <c r="I52" s="48">
        <v>10</v>
      </c>
      <c r="J52" s="48">
        <v>76</v>
      </c>
      <c r="K52" s="48">
        <v>40</v>
      </c>
      <c r="L52" s="18" t="s">
        <v>92</v>
      </c>
      <c r="M52" s="24">
        <v>3.3</v>
      </c>
      <c r="N52" s="19">
        <f>42.4*33</f>
        <v>1399.2</v>
      </c>
      <c r="O52" s="18">
        <v>2.1800000000000002</v>
      </c>
      <c r="P52" s="18">
        <v>0.51</v>
      </c>
      <c r="Q52" s="22"/>
    </row>
    <row r="53" spans="1:17" ht="15.75" x14ac:dyDescent="0.25">
      <c r="A53" s="48" t="s">
        <v>89</v>
      </c>
      <c r="B53" s="48"/>
      <c r="C53" s="48" t="s">
        <v>40</v>
      </c>
      <c r="D53" s="48">
        <v>55</v>
      </c>
      <c r="E53" s="49">
        <v>7.8</v>
      </c>
      <c r="F53" s="49">
        <f>28.8*25</f>
        <v>720</v>
      </c>
      <c r="G53" s="48">
        <v>2.16</v>
      </c>
      <c r="H53" s="48">
        <v>1.24</v>
      </c>
      <c r="I53" s="48">
        <v>10</v>
      </c>
      <c r="J53" s="48">
        <v>99</v>
      </c>
      <c r="K53" s="48">
        <v>40</v>
      </c>
      <c r="L53" s="18" t="s">
        <v>93</v>
      </c>
      <c r="M53" s="24">
        <v>4.0999999999999996</v>
      </c>
      <c r="N53" s="19">
        <f>45.5*60</f>
        <v>2730</v>
      </c>
      <c r="O53" s="18">
        <v>2.11</v>
      </c>
      <c r="P53" s="18">
        <v>0.59</v>
      </c>
      <c r="Q53" s="51"/>
    </row>
    <row r="54" spans="1:17" ht="15.75" x14ac:dyDescent="0.25">
      <c r="A54" s="48" t="s">
        <v>89</v>
      </c>
      <c r="B54" s="48"/>
      <c r="C54" s="48" t="s">
        <v>42</v>
      </c>
      <c r="D54" s="48">
        <v>46</v>
      </c>
      <c r="E54" s="49">
        <v>7.6</v>
      </c>
      <c r="F54" s="49">
        <f>26*25</f>
        <v>650</v>
      </c>
      <c r="G54" s="48">
        <v>1.87</v>
      </c>
      <c r="H54" s="48">
        <v>0.53</v>
      </c>
      <c r="I54" s="48">
        <v>10</v>
      </c>
      <c r="J54" s="48">
        <v>117</v>
      </c>
      <c r="K54" s="48">
        <v>40</v>
      </c>
      <c r="L54" s="18" t="s">
        <v>94</v>
      </c>
      <c r="M54" s="19">
        <v>7</v>
      </c>
      <c r="N54" s="19">
        <f>58.7*60</f>
        <v>3522</v>
      </c>
      <c r="O54" s="18">
        <v>1.8</v>
      </c>
      <c r="P54" s="18">
        <v>0.4</v>
      </c>
      <c r="Q54" s="52"/>
    </row>
    <row r="55" spans="1:17" ht="15.75" x14ac:dyDescent="0.25">
      <c r="A55" s="48" t="s">
        <v>89</v>
      </c>
      <c r="B55" s="48"/>
      <c r="C55" s="48" t="s">
        <v>32</v>
      </c>
      <c r="D55" s="48">
        <v>42</v>
      </c>
      <c r="E55" s="49">
        <v>8.5</v>
      </c>
      <c r="F55" s="49">
        <f>26.8*25</f>
        <v>670</v>
      </c>
      <c r="G55" s="48">
        <v>1.96</v>
      </c>
      <c r="H55" s="48">
        <v>0.78</v>
      </c>
      <c r="I55" s="48">
        <v>10</v>
      </c>
      <c r="J55" s="48">
        <v>114</v>
      </c>
      <c r="K55" s="48">
        <v>40</v>
      </c>
      <c r="L55" s="18" t="s">
        <v>95</v>
      </c>
      <c r="M55" s="19">
        <v>7.8</v>
      </c>
      <c r="N55" s="19">
        <f>34.7*60</f>
        <v>2082</v>
      </c>
      <c r="O55" s="18">
        <v>1.69</v>
      </c>
      <c r="P55" s="18">
        <v>0.53</v>
      </c>
      <c r="Q55" s="46"/>
    </row>
    <row r="56" spans="1:17" ht="15.75" x14ac:dyDescent="0.25">
      <c r="A56" s="48" t="s">
        <v>89</v>
      </c>
      <c r="B56" s="48"/>
      <c r="C56" s="48" t="s">
        <v>30</v>
      </c>
      <c r="D56" s="48">
        <v>50</v>
      </c>
      <c r="E56" s="48"/>
      <c r="F56" s="50">
        <f>14.1*25</f>
        <v>352.5</v>
      </c>
      <c r="G56" s="48">
        <v>2.02</v>
      </c>
      <c r="H56" s="48">
        <v>0.33</v>
      </c>
      <c r="I56" s="48">
        <v>10</v>
      </c>
      <c r="J56" s="53">
        <v>124</v>
      </c>
      <c r="K56" s="48">
        <v>40</v>
      </c>
      <c r="L56" s="48" t="s">
        <v>96</v>
      </c>
      <c r="M56" s="54">
        <v>1.3</v>
      </c>
      <c r="N56" s="49">
        <f>8.6*60</f>
        <v>516</v>
      </c>
      <c r="O56" s="48">
        <v>1.71</v>
      </c>
      <c r="P56" s="48">
        <v>0.4</v>
      </c>
      <c r="Q56" s="48"/>
    </row>
    <row r="57" spans="1:17" ht="15.75" x14ac:dyDescent="0.25">
      <c r="A57" s="48" t="s">
        <v>89</v>
      </c>
      <c r="B57" s="48"/>
      <c r="C57" s="48" t="s">
        <v>28</v>
      </c>
      <c r="D57" s="48">
        <v>34</v>
      </c>
      <c r="E57" s="49">
        <v>6.4</v>
      </c>
      <c r="F57" s="49">
        <f>36.9*25</f>
        <v>922.5</v>
      </c>
      <c r="G57" s="48">
        <v>1.54</v>
      </c>
      <c r="H57" s="48">
        <v>0.61</v>
      </c>
      <c r="I57" s="48">
        <v>10</v>
      </c>
      <c r="J57" s="48">
        <v>64</v>
      </c>
      <c r="K57" s="48">
        <v>40</v>
      </c>
      <c r="L57" s="48" t="s">
        <v>97</v>
      </c>
      <c r="M57" s="50">
        <v>2.4</v>
      </c>
      <c r="N57" s="50">
        <f>15.1*25</f>
        <v>377.5</v>
      </c>
      <c r="O57" s="48">
        <v>1.85</v>
      </c>
      <c r="P57" s="48">
        <v>0.51</v>
      </c>
      <c r="Q57" s="48"/>
    </row>
    <row r="58" spans="1:17" x14ac:dyDescent="0.2">
      <c r="A58" s="48" t="s">
        <v>89</v>
      </c>
      <c r="B58" s="48"/>
      <c r="C58" s="48" t="s">
        <v>26</v>
      </c>
      <c r="D58" s="48">
        <v>58</v>
      </c>
      <c r="E58" s="48"/>
      <c r="F58" s="50">
        <f>8.6*25</f>
        <v>215</v>
      </c>
      <c r="G58" s="48">
        <v>1.97</v>
      </c>
      <c r="H58" s="48">
        <v>0.57999999999999996</v>
      </c>
      <c r="I58" s="48">
        <v>10</v>
      </c>
      <c r="J58" s="48">
        <v>96</v>
      </c>
      <c r="K58" s="48">
        <v>40</v>
      </c>
      <c r="L58" s="48" t="s">
        <v>98</v>
      </c>
      <c r="M58" s="50">
        <v>2.1</v>
      </c>
      <c r="N58" s="50">
        <f>4.4*60</f>
        <v>264</v>
      </c>
      <c r="O58" s="48">
        <v>1.8</v>
      </c>
      <c r="P58" s="48">
        <v>0.41</v>
      </c>
      <c r="Q58" s="48"/>
    </row>
    <row r="59" spans="1:17" ht="15.75" x14ac:dyDescent="0.25">
      <c r="A59" s="48" t="s">
        <v>89</v>
      </c>
      <c r="B59" s="48"/>
      <c r="C59" s="48" t="s">
        <v>24</v>
      </c>
      <c r="D59" s="48">
        <v>38</v>
      </c>
      <c r="E59" s="50">
        <v>2.2999999999999998</v>
      </c>
      <c r="F59" s="49">
        <f>30.1*25</f>
        <v>752.5</v>
      </c>
      <c r="G59" s="48">
        <v>1.92</v>
      </c>
      <c r="H59" s="48">
        <v>0.41</v>
      </c>
      <c r="I59" s="48">
        <v>10</v>
      </c>
      <c r="J59" s="48">
        <v>61</v>
      </c>
      <c r="K59" s="48">
        <v>40</v>
      </c>
      <c r="L59" s="48" t="s">
        <v>99</v>
      </c>
      <c r="M59" s="50">
        <v>1.6</v>
      </c>
      <c r="N59" s="50">
        <f>19.6*25</f>
        <v>490.00000000000006</v>
      </c>
      <c r="O59" s="48">
        <v>1.95</v>
      </c>
      <c r="P59" s="48">
        <v>0.46</v>
      </c>
      <c r="Q59" s="48"/>
    </row>
    <row r="60" spans="1:17" ht="15.75" x14ac:dyDescent="0.25">
      <c r="A60" s="21" t="s">
        <v>89</v>
      </c>
      <c r="B60" s="21"/>
      <c r="C60" s="21" t="s">
        <v>34</v>
      </c>
      <c r="D60" s="21">
        <v>35</v>
      </c>
      <c r="E60" s="55">
        <v>8.6999999999999993</v>
      </c>
      <c r="F60" s="55">
        <f>86.1*25</f>
        <v>2152.5</v>
      </c>
      <c r="G60" s="21">
        <v>1.78</v>
      </c>
      <c r="H60" s="21">
        <v>0.9</v>
      </c>
      <c r="I60" s="21">
        <v>40</v>
      </c>
      <c r="J60" s="21">
        <v>87</v>
      </c>
      <c r="K60" s="21">
        <v>10</v>
      </c>
      <c r="L60" s="22" t="s">
        <v>100</v>
      </c>
      <c r="M60" s="24">
        <v>4.0999999999999996</v>
      </c>
      <c r="N60" s="24">
        <f>4.9*25</f>
        <v>122.50000000000001</v>
      </c>
      <c r="O60" s="18">
        <v>1.79</v>
      </c>
      <c r="P60" s="18">
        <v>0.55000000000000004</v>
      </c>
      <c r="Q60" s="18"/>
    </row>
    <row r="61" spans="1:17" ht="15.75" x14ac:dyDescent="0.25">
      <c r="A61" s="21" t="s">
        <v>89</v>
      </c>
      <c r="B61" s="21"/>
      <c r="C61" s="21" t="s">
        <v>36</v>
      </c>
      <c r="D61" s="21">
        <v>27</v>
      </c>
      <c r="E61" s="55">
        <v>6.6</v>
      </c>
      <c r="F61" s="55">
        <f>54.6*25</f>
        <v>1365</v>
      </c>
      <c r="G61" s="21">
        <v>2.08</v>
      </c>
      <c r="H61" s="21">
        <v>1.3</v>
      </c>
      <c r="I61" s="21">
        <v>40</v>
      </c>
      <c r="J61" s="56" t="s">
        <v>67</v>
      </c>
      <c r="K61" s="21">
        <v>10</v>
      </c>
      <c r="L61" s="44" t="s">
        <v>101</v>
      </c>
      <c r="M61" s="43" t="s">
        <v>67</v>
      </c>
      <c r="N61" s="18"/>
      <c r="O61" s="18"/>
      <c r="P61" s="18"/>
      <c r="Q61" s="18"/>
    </row>
    <row r="62" spans="1:17" ht="15.75" x14ac:dyDescent="0.25">
      <c r="A62" s="21" t="s">
        <v>89</v>
      </c>
      <c r="B62" s="21"/>
      <c r="C62" s="21" t="s">
        <v>38</v>
      </c>
      <c r="D62" s="21">
        <v>47</v>
      </c>
      <c r="E62" s="57">
        <v>5.7</v>
      </c>
      <c r="F62" s="55">
        <f>20.7*25</f>
        <v>517.5</v>
      </c>
      <c r="G62" s="21">
        <v>1.84</v>
      </c>
      <c r="H62" s="21">
        <v>0.54</v>
      </c>
      <c r="I62" s="21">
        <v>40</v>
      </c>
      <c r="J62" s="21">
        <v>66</v>
      </c>
      <c r="K62" s="21">
        <v>10</v>
      </c>
      <c r="L62" s="21" t="s">
        <v>102</v>
      </c>
      <c r="M62" s="19">
        <v>6.1</v>
      </c>
      <c r="N62" s="24">
        <f>13.7*25</f>
        <v>342.5</v>
      </c>
      <c r="O62" s="18">
        <v>2.06</v>
      </c>
      <c r="P62" s="18">
        <v>0.95</v>
      </c>
      <c r="Q62" s="18"/>
    </row>
    <row r="63" spans="1:17" x14ac:dyDescent="0.2">
      <c r="A63" s="21" t="s">
        <v>89</v>
      </c>
      <c r="B63" s="21"/>
      <c r="C63" s="21" t="s">
        <v>40</v>
      </c>
      <c r="D63" s="21">
        <v>51</v>
      </c>
      <c r="E63" s="57">
        <v>4.2</v>
      </c>
      <c r="F63" s="57">
        <f>16.4*25</f>
        <v>409.99999999999994</v>
      </c>
      <c r="G63" s="21">
        <v>1.96</v>
      </c>
      <c r="H63" s="21">
        <v>0.54</v>
      </c>
      <c r="I63" s="21">
        <v>40</v>
      </c>
      <c r="J63" s="56" t="s">
        <v>67</v>
      </c>
      <c r="K63" s="21">
        <v>10</v>
      </c>
      <c r="L63" s="45" t="s">
        <v>103</v>
      </c>
      <c r="M63" s="43" t="s">
        <v>67</v>
      </c>
      <c r="N63" s="18"/>
      <c r="O63" s="18"/>
      <c r="P63" s="18"/>
      <c r="Q63" s="18"/>
    </row>
    <row r="64" spans="1:17" ht="15.75" x14ac:dyDescent="0.25">
      <c r="A64" s="21" t="s">
        <v>89</v>
      </c>
      <c r="B64" s="21"/>
      <c r="C64" s="21" t="s">
        <v>42</v>
      </c>
      <c r="D64" s="21">
        <v>31</v>
      </c>
      <c r="E64" s="55">
        <v>7.6</v>
      </c>
      <c r="F64" s="55">
        <f>38.9*25</f>
        <v>972.5</v>
      </c>
      <c r="G64" s="21">
        <v>2.0699999999999998</v>
      </c>
      <c r="H64" s="21">
        <v>1.19</v>
      </c>
      <c r="I64" s="21">
        <v>40</v>
      </c>
      <c r="J64" s="21">
        <v>78</v>
      </c>
      <c r="K64" s="21">
        <v>10</v>
      </c>
      <c r="L64" s="26" t="s">
        <v>104</v>
      </c>
      <c r="M64" s="19">
        <v>6.1</v>
      </c>
      <c r="N64" s="24">
        <f>12.2*33</f>
        <v>402.59999999999997</v>
      </c>
      <c r="O64" s="18">
        <v>1.8</v>
      </c>
      <c r="P64" s="18">
        <v>0.39</v>
      </c>
      <c r="Q64" s="18"/>
    </row>
    <row r="65" spans="1:18" ht="15.75" x14ac:dyDescent="0.25">
      <c r="A65" s="21" t="s">
        <v>89</v>
      </c>
      <c r="B65" s="21"/>
      <c r="C65" s="21" t="s">
        <v>24</v>
      </c>
      <c r="D65" s="21">
        <v>43</v>
      </c>
      <c r="E65" s="55">
        <v>8.4</v>
      </c>
      <c r="F65" s="55">
        <f>22.5*25</f>
        <v>562.5</v>
      </c>
      <c r="G65" s="21">
        <v>1.97</v>
      </c>
      <c r="H65" s="21">
        <v>0.68</v>
      </c>
      <c r="I65" s="21">
        <v>40</v>
      </c>
      <c r="J65" s="56" t="s">
        <v>67</v>
      </c>
      <c r="K65" s="21">
        <v>10</v>
      </c>
      <c r="L65" s="46" t="s">
        <v>105</v>
      </c>
      <c r="M65" s="43" t="s">
        <v>67</v>
      </c>
      <c r="N65" s="18"/>
      <c r="O65" s="18"/>
      <c r="P65" s="18"/>
      <c r="Q65" s="18"/>
    </row>
    <row r="66" spans="1:18" ht="15.75" x14ac:dyDescent="0.25">
      <c r="A66" s="21" t="s">
        <v>89</v>
      </c>
      <c r="B66" s="21"/>
      <c r="C66" s="21" t="s">
        <v>26</v>
      </c>
      <c r="D66" s="21">
        <v>39</v>
      </c>
      <c r="E66" s="55">
        <v>7.5</v>
      </c>
      <c r="F66" s="55">
        <f>22.8*25</f>
        <v>570</v>
      </c>
      <c r="G66" s="21">
        <v>1.65</v>
      </c>
      <c r="H66" s="21">
        <v>0.65</v>
      </c>
      <c r="I66" s="21">
        <v>40</v>
      </c>
      <c r="J66" s="56" t="s">
        <v>67</v>
      </c>
      <c r="K66" s="21">
        <v>10</v>
      </c>
      <c r="L66" s="47" t="s">
        <v>106</v>
      </c>
      <c r="M66" s="43" t="s">
        <v>67</v>
      </c>
      <c r="N66" s="18"/>
      <c r="O66" s="18"/>
      <c r="P66" s="18"/>
      <c r="Q66" s="18"/>
    </row>
    <row r="67" spans="1:18" ht="15.75" x14ac:dyDescent="0.25">
      <c r="A67" s="22" t="s">
        <v>107</v>
      </c>
      <c r="B67" s="22">
        <v>10</v>
      </c>
      <c r="C67" s="22" t="s">
        <v>44</v>
      </c>
      <c r="D67" s="22">
        <v>86</v>
      </c>
      <c r="E67" s="58">
        <v>0</v>
      </c>
      <c r="F67" s="58">
        <f>13.1*25</f>
        <v>327.5</v>
      </c>
      <c r="G67" s="22">
        <v>2.11</v>
      </c>
      <c r="H67" s="22">
        <v>69</v>
      </c>
      <c r="I67" s="22">
        <v>10</v>
      </c>
      <c r="J67" s="22">
        <v>63</v>
      </c>
      <c r="K67" s="22">
        <v>10</v>
      </c>
      <c r="L67" s="22" t="s">
        <v>108</v>
      </c>
      <c r="M67" s="59">
        <v>7.6</v>
      </c>
      <c r="N67" s="59">
        <f>61.1*25</f>
        <v>1527.5</v>
      </c>
      <c r="O67" s="22">
        <v>2.16</v>
      </c>
      <c r="P67" s="22">
        <v>2.04</v>
      </c>
      <c r="Q67" s="22"/>
    </row>
    <row r="68" spans="1:18" ht="15.75" x14ac:dyDescent="0.25">
      <c r="A68" s="22" t="s">
        <v>107</v>
      </c>
      <c r="B68" s="22">
        <v>10</v>
      </c>
      <c r="C68" s="22" t="s">
        <v>47</v>
      </c>
      <c r="D68" s="22">
        <v>91</v>
      </c>
      <c r="E68" s="58">
        <v>2.2999999999999998</v>
      </c>
      <c r="F68" s="59">
        <f>89.8*25</f>
        <v>2245</v>
      </c>
      <c r="G68" s="22">
        <v>2.08</v>
      </c>
      <c r="H68" s="22">
        <v>0.6</v>
      </c>
      <c r="I68" s="22">
        <v>10</v>
      </c>
      <c r="J68" s="22">
        <v>88</v>
      </c>
      <c r="K68" s="22">
        <v>10</v>
      </c>
      <c r="L68" s="22" t="s">
        <v>109</v>
      </c>
      <c r="M68" s="58">
        <v>1.2</v>
      </c>
      <c r="N68" s="58">
        <f>1.2*25</f>
        <v>30</v>
      </c>
      <c r="O68" s="22">
        <v>2.65</v>
      </c>
      <c r="P68" s="22">
        <v>15.08</v>
      </c>
      <c r="Q68" s="22"/>
    </row>
    <row r="69" spans="1:18" ht="15.75" x14ac:dyDescent="0.25">
      <c r="A69" s="22" t="s">
        <v>107</v>
      </c>
      <c r="B69" s="22">
        <v>10</v>
      </c>
      <c r="C69" s="22" t="s">
        <v>49</v>
      </c>
      <c r="D69" s="22">
        <v>22</v>
      </c>
      <c r="E69" s="58">
        <v>2.2000000000000002</v>
      </c>
      <c r="F69" s="58">
        <f>10*25</f>
        <v>250</v>
      </c>
      <c r="G69" s="22">
        <v>1.92</v>
      </c>
      <c r="H69" s="22">
        <v>0.43</v>
      </c>
      <c r="I69" s="22">
        <v>10</v>
      </c>
      <c r="J69" s="22">
        <v>89.1</v>
      </c>
      <c r="K69" s="22">
        <v>10</v>
      </c>
      <c r="L69" s="22" t="s">
        <v>110</v>
      </c>
      <c r="M69" s="60">
        <v>1.8</v>
      </c>
      <c r="N69" s="59">
        <f>31.7*40</f>
        <v>1268</v>
      </c>
      <c r="O69" s="22">
        <v>1.86</v>
      </c>
      <c r="P69" s="22">
        <v>0.45</v>
      </c>
      <c r="Q69" s="22"/>
    </row>
    <row r="70" spans="1:18" ht="15.75" x14ac:dyDescent="0.25">
      <c r="A70" s="22" t="s">
        <v>107</v>
      </c>
      <c r="B70" s="22">
        <v>10</v>
      </c>
      <c r="C70" s="22" t="s">
        <v>51</v>
      </c>
      <c r="D70" s="22">
        <v>14</v>
      </c>
      <c r="E70" s="58">
        <v>5.7</v>
      </c>
      <c r="F70" s="59">
        <f>29.7*25</f>
        <v>742.5</v>
      </c>
      <c r="G70" s="22">
        <v>1.9</v>
      </c>
      <c r="H70" s="22">
        <v>0.47</v>
      </c>
      <c r="I70" s="22">
        <v>10</v>
      </c>
      <c r="J70" s="22">
        <v>92</v>
      </c>
      <c r="K70" s="22">
        <v>10</v>
      </c>
      <c r="L70" s="18" t="s">
        <v>111</v>
      </c>
      <c r="M70" s="24">
        <v>2.7</v>
      </c>
      <c r="N70" s="19">
        <f>10.7*60</f>
        <v>642</v>
      </c>
      <c r="O70" s="18">
        <v>2.0699999999999998</v>
      </c>
      <c r="P70" s="18">
        <v>1.2</v>
      </c>
      <c r="Q70" s="61"/>
    </row>
    <row r="71" spans="1:18" ht="15.75" x14ac:dyDescent="0.25">
      <c r="A71" s="22" t="s">
        <v>107</v>
      </c>
      <c r="B71" s="22">
        <v>10</v>
      </c>
      <c r="C71" s="22" t="s">
        <v>53</v>
      </c>
      <c r="D71" s="22">
        <v>78</v>
      </c>
      <c r="E71" s="58">
        <v>2</v>
      </c>
      <c r="F71" s="59">
        <f>260*25</f>
        <v>6500</v>
      </c>
      <c r="G71" s="22">
        <v>1.8</v>
      </c>
      <c r="H71" s="22">
        <v>5.2</v>
      </c>
      <c r="I71" s="22">
        <v>10</v>
      </c>
      <c r="J71" s="22">
        <v>97</v>
      </c>
      <c r="K71" s="22">
        <v>10</v>
      </c>
      <c r="L71" s="18" t="s">
        <v>112</v>
      </c>
      <c r="M71" s="19">
        <v>7.3</v>
      </c>
      <c r="N71" s="19">
        <f>11.2*60</f>
        <v>672</v>
      </c>
      <c r="O71" s="18">
        <v>1.8</v>
      </c>
      <c r="P71" s="18">
        <v>0.5</v>
      </c>
      <c r="Q71" s="46"/>
    </row>
    <row r="72" spans="1:18" ht="15.75" x14ac:dyDescent="0.25">
      <c r="A72" s="22" t="s">
        <v>107</v>
      </c>
      <c r="B72" s="22">
        <v>10</v>
      </c>
      <c r="C72" s="22" t="s">
        <v>12</v>
      </c>
      <c r="D72" s="22">
        <v>23</v>
      </c>
      <c r="E72" s="59">
        <v>7</v>
      </c>
      <c r="F72" s="58">
        <f>15.6*25</f>
        <v>390</v>
      </c>
      <c r="G72" s="22">
        <v>1.91</v>
      </c>
      <c r="H72" s="22">
        <v>1.17</v>
      </c>
      <c r="I72" s="22">
        <v>10</v>
      </c>
      <c r="J72" s="22">
        <v>122</v>
      </c>
      <c r="K72" s="22">
        <v>10</v>
      </c>
      <c r="L72" s="18" t="s">
        <v>113</v>
      </c>
      <c r="M72" s="24">
        <v>1</v>
      </c>
      <c r="N72" s="18">
        <f>31*60</f>
        <v>1860</v>
      </c>
      <c r="O72" s="18">
        <v>2.08</v>
      </c>
      <c r="P72" s="18">
        <v>1.33</v>
      </c>
      <c r="Q72" s="20"/>
      <c r="R72" s="29" t="s">
        <v>114</v>
      </c>
    </row>
    <row r="73" spans="1:18" ht="15.75" x14ac:dyDescent="0.25">
      <c r="A73" s="22" t="s">
        <v>107</v>
      </c>
      <c r="B73" s="22">
        <v>10</v>
      </c>
      <c r="C73" s="22" t="s">
        <v>14</v>
      </c>
      <c r="D73" s="22">
        <v>15</v>
      </c>
      <c r="E73" s="59">
        <v>8.4</v>
      </c>
      <c r="F73" s="59">
        <f>21.9*25</f>
        <v>547.5</v>
      </c>
      <c r="G73" s="22">
        <v>2.0099999999999998</v>
      </c>
      <c r="H73" s="22">
        <v>0.68</v>
      </c>
      <c r="I73" s="22">
        <v>10</v>
      </c>
      <c r="J73" s="62" t="s">
        <v>67</v>
      </c>
      <c r="K73" s="22">
        <v>10</v>
      </c>
      <c r="L73" s="18" t="s">
        <v>115</v>
      </c>
      <c r="M73" s="63" t="s">
        <v>67</v>
      </c>
      <c r="N73" s="18"/>
      <c r="O73" s="18"/>
      <c r="P73" s="18"/>
      <c r="Q73" s="21"/>
    </row>
    <row r="74" spans="1:18" x14ac:dyDescent="0.2">
      <c r="A74" s="22" t="s">
        <v>107</v>
      </c>
      <c r="B74" s="22">
        <v>10</v>
      </c>
      <c r="C74" s="22" t="s">
        <v>16</v>
      </c>
      <c r="D74" s="22">
        <v>84</v>
      </c>
      <c r="E74" s="22">
        <v>5.3</v>
      </c>
      <c r="F74" s="22">
        <f>14.4*25</f>
        <v>360</v>
      </c>
      <c r="G74" s="22">
        <v>1.78</v>
      </c>
      <c r="H74" s="22">
        <v>0.52</v>
      </c>
      <c r="I74" s="22">
        <v>10</v>
      </c>
      <c r="J74" s="22">
        <v>109</v>
      </c>
      <c r="K74" s="22">
        <v>10</v>
      </c>
      <c r="L74" s="18" t="s">
        <v>116</v>
      </c>
      <c r="M74" s="38">
        <v>2.7</v>
      </c>
      <c r="N74" s="18">
        <f>14.7*60</f>
        <v>882</v>
      </c>
      <c r="O74" s="18">
        <v>1.83</v>
      </c>
      <c r="P74" s="18">
        <v>0.5</v>
      </c>
      <c r="Q74" s="22"/>
    </row>
    <row r="75" spans="1:18" ht="15.75" x14ac:dyDescent="0.25">
      <c r="A75" s="22" t="s">
        <v>107</v>
      </c>
      <c r="B75" s="22">
        <v>10</v>
      </c>
      <c r="C75" s="22" t="s">
        <v>18</v>
      </c>
      <c r="D75" s="22">
        <v>4</v>
      </c>
      <c r="E75" s="59">
        <v>7.5</v>
      </c>
      <c r="F75" s="59">
        <f>22.3*25</f>
        <v>557.5</v>
      </c>
      <c r="G75" s="22">
        <v>1.91</v>
      </c>
      <c r="H75" s="22">
        <v>0.86</v>
      </c>
      <c r="I75" s="22">
        <v>10</v>
      </c>
      <c r="J75" s="62" t="s">
        <v>67</v>
      </c>
      <c r="K75" s="22">
        <v>10</v>
      </c>
      <c r="L75" s="18" t="s">
        <v>117</v>
      </c>
      <c r="M75" s="63" t="s">
        <v>67</v>
      </c>
      <c r="N75" s="18"/>
      <c r="O75" s="18"/>
      <c r="P75" s="18"/>
      <c r="Q75" s="51"/>
    </row>
    <row r="76" spans="1:18" ht="15.75" x14ac:dyDescent="0.25">
      <c r="A76" s="22" t="s">
        <v>107</v>
      </c>
      <c r="B76" s="22">
        <v>10</v>
      </c>
      <c r="C76" s="22" t="s">
        <v>21</v>
      </c>
      <c r="D76" s="22">
        <v>10</v>
      </c>
      <c r="E76" s="59">
        <v>7.9</v>
      </c>
      <c r="F76" s="58">
        <f>15.6*25</f>
        <v>390</v>
      </c>
      <c r="G76" s="22">
        <v>1.99</v>
      </c>
      <c r="H76" s="22">
        <v>0.66</v>
      </c>
      <c r="I76" s="22">
        <v>10</v>
      </c>
      <c r="J76" s="22">
        <v>98</v>
      </c>
      <c r="K76" s="22">
        <v>10</v>
      </c>
      <c r="L76" s="18" t="s">
        <v>118</v>
      </c>
      <c r="M76" s="19">
        <v>7.6</v>
      </c>
      <c r="N76" s="19">
        <f>28.3*60</f>
        <v>1698</v>
      </c>
      <c r="O76" s="18">
        <v>2.0699999999999998</v>
      </c>
      <c r="P76" s="18">
        <v>0.98</v>
      </c>
      <c r="Q76" s="6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8"/>
  <sheetViews>
    <sheetView workbookViewId="0">
      <selection activeCell="F23" activeCellId="1" sqref="F19:F20 F23"/>
    </sheetView>
  </sheetViews>
  <sheetFormatPr defaultColWidth="10.109375" defaultRowHeight="15" customHeight="1" x14ac:dyDescent="0.2"/>
  <cols>
    <col min="1" max="3" width="8.44140625" customWidth="1"/>
    <col min="4" max="4" width="12.109375" customWidth="1"/>
    <col min="5" max="5" width="16.88671875" customWidth="1"/>
    <col min="6" max="6" width="11.5546875" customWidth="1"/>
    <col min="7" max="7" width="11.33203125" customWidth="1"/>
    <col min="8" max="8" width="8.44140625" customWidth="1"/>
    <col min="9" max="9" width="7.33203125" customWidth="1"/>
    <col min="10" max="11" width="8.44140625" customWidth="1"/>
    <col min="12" max="12" width="12.6640625" customWidth="1"/>
    <col min="13" max="13" width="8.44140625" customWidth="1"/>
    <col min="14" max="14" width="16.109375" customWidth="1"/>
    <col min="15" max="15" width="17.33203125" customWidth="1"/>
    <col min="16" max="33" width="8.44140625" customWidth="1"/>
  </cols>
  <sheetData>
    <row r="1" spans="1:22" x14ac:dyDescent="0.2">
      <c r="A1" s="65" t="s">
        <v>119</v>
      </c>
    </row>
    <row r="3" spans="1:22" x14ac:dyDescent="0.2">
      <c r="A3" s="1" t="s">
        <v>0</v>
      </c>
      <c r="B3" s="1" t="s">
        <v>2</v>
      </c>
      <c r="C3" s="1" t="s">
        <v>3</v>
      </c>
      <c r="D3" s="1" t="s">
        <v>120</v>
      </c>
      <c r="E3" s="1" t="s">
        <v>121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3</v>
      </c>
      <c r="L3" s="1" t="s">
        <v>120</v>
      </c>
      <c r="M3" s="1" t="s">
        <v>9</v>
      </c>
      <c r="N3" s="1" t="s">
        <v>10</v>
      </c>
      <c r="O3" s="1" t="s">
        <v>121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122</v>
      </c>
    </row>
    <row r="4" spans="1:22" ht="15" customHeight="1" x14ac:dyDescent="0.25">
      <c r="A4" s="16" t="s">
        <v>23</v>
      </c>
      <c r="B4" s="16" t="s">
        <v>14</v>
      </c>
      <c r="C4" s="16">
        <v>3</v>
      </c>
      <c r="D4" s="16" t="s">
        <v>123</v>
      </c>
      <c r="E4" s="66" t="s">
        <v>124</v>
      </c>
      <c r="F4" s="17">
        <v>7.6</v>
      </c>
      <c r="G4" s="17">
        <f>23.5*25</f>
        <v>587.5</v>
      </c>
      <c r="H4" s="16">
        <v>2.08</v>
      </c>
      <c r="I4" s="16">
        <v>1.34</v>
      </c>
      <c r="J4" s="16">
        <v>40</v>
      </c>
      <c r="K4" s="16">
        <v>123</v>
      </c>
      <c r="L4" s="16" t="s">
        <v>125</v>
      </c>
      <c r="M4" s="16">
        <v>40</v>
      </c>
      <c r="N4" s="18" t="s">
        <v>57</v>
      </c>
      <c r="O4" s="66" t="s">
        <v>126</v>
      </c>
      <c r="P4" s="19">
        <v>6.9</v>
      </c>
      <c r="Q4" s="19">
        <f>9*60</f>
        <v>540</v>
      </c>
      <c r="R4" s="18">
        <v>1.95</v>
      </c>
      <c r="S4" s="18">
        <v>0.86</v>
      </c>
      <c r="T4" s="21" t="s">
        <v>127</v>
      </c>
      <c r="U4" s="29"/>
    </row>
    <row r="5" spans="1:22" ht="15" customHeight="1" x14ac:dyDescent="0.25">
      <c r="A5" s="26" t="s">
        <v>23</v>
      </c>
      <c r="B5" s="26" t="s">
        <v>36</v>
      </c>
      <c r="C5" s="26">
        <v>25</v>
      </c>
      <c r="D5" s="67">
        <v>45088</v>
      </c>
      <c r="E5" s="66" t="s">
        <v>128</v>
      </c>
      <c r="F5" s="27">
        <v>8.1999999999999993</v>
      </c>
      <c r="G5" s="27">
        <f t="shared" ref="G5:G6" si="0">51.8*25</f>
        <v>1295</v>
      </c>
      <c r="H5" s="26">
        <v>2.14</v>
      </c>
      <c r="I5" s="26">
        <v>1.58</v>
      </c>
      <c r="J5" s="26">
        <v>40</v>
      </c>
      <c r="K5" s="28" t="s">
        <v>62</v>
      </c>
      <c r="L5" s="67">
        <v>45536</v>
      </c>
      <c r="M5" s="26">
        <v>10</v>
      </c>
      <c r="N5" s="18" t="s">
        <v>63</v>
      </c>
      <c r="O5" s="66" t="s">
        <v>129</v>
      </c>
      <c r="P5" s="19">
        <v>8.5</v>
      </c>
      <c r="Q5" s="18"/>
      <c r="R5" s="18"/>
      <c r="S5" s="18"/>
      <c r="T5" s="21" t="s">
        <v>130</v>
      </c>
      <c r="U5" s="29" t="s">
        <v>64</v>
      </c>
    </row>
    <row r="6" spans="1:22" ht="15.75" x14ac:dyDescent="0.25">
      <c r="A6" s="26" t="s">
        <v>23</v>
      </c>
      <c r="B6" s="26" t="s">
        <v>36</v>
      </c>
      <c r="C6" s="26">
        <v>25</v>
      </c>
      <c r="D6" s="67">
        <v>45088</v>
      </c>
      <c r="E6" s="66" t="s">
        <v>128</v>
      </c>
      <c r="F6" s="27">
        <v>8.1999999999999993</v>
      </c>
      <c r="G6" s="27">
        <f t="shared" si="0"/>
        <v>1295</v>
      </c>
      <c r="H6" s="26">
        <v>2.14</v>
      </c>
      <c r="I6" s="26">
        <v>1.58</v>
      </c>
      <c r="J6" s="26">
        <v>40</v>
      </c>
      <c r="K6" s="28" t="s">
        <v>131</v>
      </c>
      <c r="L6" s="67">
        <v>45536</v>
      </c>
      <c r="M6" s="26">
        <v>10</v>
      </c>
      <c r="N6" s="18" t="s">
        <v>63</v>
      </c>
      <c r="O6" s="66" t="s">
        <v>129</v>
      </c>
      <c r="P6" s="19">
        <v>9</v>
      </c>
      <c r="Q6" s="18"/>
      <c r="R6" s="18"/>
      <c r="S6" s="18"/>
      <c r="T6" s="21" t="s">
        <v>130</v>
      </c>
      <c r="U6" s="29" t="s">
        <v>132</v>
      </c>
    </row>
    <row r="7" spans="1:22" ht="15.75" x14ac:dyDescent="0.25">
      <c r="A7" s="68"/>
      <c r="B7" s="68"/>
      <c r="C7" s="68"/>
      <c r="D7" s="29"/>
      <c r="E7" s="29"/>
      <c r="F7" s="69"/>
      <c r="G7" s="69"/>
      <c r="H7" s="68"/>
      <c r="I7" s="68"/>
      <c r="J7" s="68"/>
      <c r="K7" s="70"/>
      <c r="L7" s="70"/>
      <c r="M7" s="29"/>
      <c r="N7" s="29"/>
      <c r="O7" s="29"/>
      <c r="P7" s="71"/>
      <c r="Q7" s="29"/>
      <c r="R7" s="29"/>
      <c r="S7" s="29"/>
      <c r="T7" s="29"/>
      <c r="U7" s="29"/>
    </row>
    <row r="8" spans="1:22" ht="15" customHeight="1" x14ac:dyDescent="0.25">
      <c r="A8" s="16" t="s">
        <v>23</v>
      </c>
      <c r="B8" s="16" t="s">
        <v>16</v>
      </c>
      <c r="C8" s="16">
        <v>21</v>
      </c>
      <c r="D8" s="16" t="s">
        <v>133</v>
      </c>
      <c r="E8" s="66" t="s">
        <v>134</v>
      </c>
      <c r="F8" s="17">
        <v>6.8</v>
      </c>
      <c r="G8" s="17">
        <f>39.2*25</f>
        <v>980.00000000000011</v>
      </c>
      <c r="H8" s="16">
        <v>1.87</v>
      </c>
      <c r="I8" s="16">
        <v>0.51</v>
      </c>
      <c r="J8" s="16">
        <v>40</v>
      </c>
      <c r="K8" s="16">
        <v>102</v>
      </c>
      <c r="L8" s="16" t="s">
        <v>135</v>
      </c>
      <c r="M8" s="16">
        <v>40</v>
      </c>
      <c r="N8" s="18" t="s">
        <v>58</v>
      </c>
      <c r="O8" s="66" t="s">
        <v>136</v>
      </c>
      <c r="P8" s="19">
        <v>6.4</v>
      </c>
      <c r="Q8" s="19">
        <f>25.5*60</f>
        <v>1530</v>
      </c>
      <c r="R8" s="18">
        <v>1.89</v>
      </c>
      <c r="S8" s="18">
        <v>0.56999999999999995</v>
      </c>
      <c r="T8" s="22" t="s">
        <v>137</v>
      </c>
      <c r="U8" s="29"/>
    </row>
    <row r="9" spans="1:22" ht="15.75" x14ac:dyDescent="0.25">
      <c r="A9" s="26" t="s">
        <v>23</v>
      </c>
      <c r="B9" s="26" t="s">
        <v>38</v>
      </c>
      <c r="C9" s="26">
        <v>59</v>
      </c>
      <c r="D9" s="26" t="s">
        <v>138</v>
      </c>
      <c r="E9" s="66" t="s">
        <v>139</v>
      </c>
      <c r="F9" s="27">
        <v>7.4</v>
      </c>
      <c r="G9" s="27">
        <f>23.4*25</f>
        <v>585</v>
      </c>
      <c r="H9" s="26">
        <v>1.92</v>
      </c>
      <c r="I9" s="26">
        <v>0.86</v>
      </c>
      <c r="J9" s="26">
        <v>40</v>
      </c>
      <c r="K9" s="26">
        <v>81</v>
      </c>
      <c r="L9" s="67">
        <v>45388</v>
      </c>
      <c r="M9" s="26">
        <v>10</v>
      </c>
      <c r="N9" s="18" t="s">
        <v>65</v>
      </c>
      <c r="O9" s="66" t="s">
        <v>140</v>
      </c>
      <c r="P9" s="19">
        <v>7.4</v>
      </c>
      <c r="Q9" s="24">
        <f>2.1*25</f>
        <v>52.5</v>
      </c>
      <c r="R9" s="18">
        <v>2.2400000000000002</v>
      </c>
      <c r="S9" s="18">
        <v>1.01</v>
      </c>
      <c r="T9" s="22" t="s">
        <v>141</v>
      </c>
      <c r="U9" s="29"/>
    </row>
    <row r="10" spans="1:22" x14ac:dyDescent="0.2">
      <c r="U10" s="29"/>
    </row>
    <row r="11" spans="1:22" ht="15" customHeight="1" x14ac:dyDescent="0.25">
      <c r="A11" s="16" t="s">
        <v>23</v>
      </c>
      <c r="B11" s="16" t="s">
        <v>21</v>
      </c>
      <c r="C11" s="16">
        <v>2</v>
      </c>
      <c r="D11" s="16" t="s">
        <v>142</v>
      </c>
      <c r="E11" s="66" t="s">
        <v>124</v>
      </c>
      <c r="F11" s="23">
        <v>5.6</v>
      </c>
      <c r="G11" s="17">
        <f>19.1*25</f>
        <v>477.50000000000006</v>
      </c>
      <c r="H11" s="16">
        <v>1.99</v>
      </c>
      <c r="I11" s="16">
        <v>0.67</v>
      </c>
      <c r="J11" s="16">
        <v>40</v>
      </c>
      <c r="K11" s="16">
        <v>75</v>
      </c>
      <c r="L11" s="16" t="s">
        <v>143</v>
      </c>
      <c r="M11" s="16">
        <v>40</v>
      </c>
      <c r="N11" s="18" t="s">
        <v>60</v>
      </c>
      <c r="O11" s="66" t="s">
        <v>144</v>
      </c>
      <c r="P11" s="19">
        <v>7.2</v>
      </c>
      <c r="Q11" s="24">
        <f>3.8*55</f>
        <v>209</v>
      </c>
      <c r="R11" s="18">
        <v>2.33</v>
      </c>
      <c r="S11" s="18">
        <v>0.25</v>
      </c>
      <c r="T11" s="25" t="s">
        <v>145</v>
      </c>
      <c r="U11" s="29"/>
    </row>
    <row r="12" spans="1:22" ht="15" customHeight="1" x14ac:dyDescent="0.25">
      <c r="A12" s="26" t="s">
        <v>23</v>
      </c>
      <c r="B12" s="26" t="s">
        <v>42</v>
      </c>
      <c r="C12" s="26">
        <v>45</v>
      </c>
      <c r="D12" s="26" t="s">
        <v>146</v>
      </c>
      <c r="E12" s="66" t="s">
        <v>147</v>
      </c>
      <c r="F12" s="27">
        <v>6.3</v>
      </c>
      <c r="G12" s="30">
        <f>18.5*25</f>
        <v>462.5</v>
      </c>
      <c r="H12" s="26">
        <v>1.76</v>
      </c>
      <c r="I12" s="26">
        <v>0.51</v>
      </c>
      <c r="J12" s="26">
        <v>40</v>
      </c>
      <c r="K12" s="26">
        <v>91</v>
      </c>
      <c r="L12" s="67">
        <v>45572</v>
      </c>
      <c r="M12" s="26">
        <v>10</v>
      </c>
      <c r="N12" s="18" t="s">
        <v>68</v>
      </c>
      <c r="O12" s="66" t="s">
        <v>148</v>
      </c>
      <c r="P12" s="31">
        <v>7.6</v>
      </c>
      <c r="Q12" s="19">
        <f>18.2*30</f>
        <v>546</v>
      </c>
      <c r="R12" s="18">
        <v>1.83</v>
      </c>
      <c r="S12" s="18">
        <v>0.52</v>
      </c>
      <c r="T12" s="25" t="s">
        <v>149</v>
      </c>
      <c r="U12" s="29"/>
    </row>
    <row r="13" spans="1:22" ht="15" customHeight="1" x14ac:dyDescent="0.25">
      <c r="A13" s="29"/>
      <c r="B13" s="29"/>
      <c r="C13" s="29"/>
      <c r="D13" s="29"/>
      <c r="E13" s="72"/>
      <c r="F13" s="71"/>
      <c r="G13" s="73"/>
      <c r="H13" s="29"/>
      <c r="I13" s="29"/>
      <c r="J13" s="29"/>
      <c r="K13" s="29"/>
      <c r="L13" s="29"/>
      <c r="M13" s="29"/>
      <c r="N13" s="29"/>
      <c r="O13" s="72"/>
      <c r="P13" s="74"/>
      <c r="Q13" s="71"/>
      <c r="R13" s="29"/>
      <c r="S13" s="29"/>
      <c r="T13" s="29"/>
      <c r="U13" s="29"/>
      <c r="V13" s="29"/>
    </row>
    <row r="14" spans="1:22" ht="15" customHeight="1" x14ac:dyDescent="0.2">
      <c r="A14" s="29"/>
    </row>
    <row r="15" spans="1:22" ht="15" customHeight="1" x14ac:dyDescent="0.2">
      <c r="A15" s="65" t="s">
        <v>150</v>
      </c>
    </row>
    <row r="16" spans="1:22" ht="15" customHeight="1" x14ac:dyDescent="0.2">
      <c r="A16" s="65" t="s">
        <v>151</v>
      </c>
    </row>
    <row r="18" spans="1:21" x14ac:dyDescent="0.2">
      <c r="A18" s="1" t="s">
        <v>0</v>
      </c>
      <c r="B18" s="1" t="s">
        <v>2</v>
      </c>
      <c r="C18" s="1" t="s">
        <v>3</v>
      </c>
      <c r="D18" s="1" t="s">
        <v>120</v>
      </c>
      <c r="E18" s="1" t="s">
        <v>121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3</v>
      </c>
      <c r="L18" s="1" t="s">
        <v>120</v>
      </c>
      <c r="M18" s="1" t="s">
        <v>9</v>
      </c>
      <c r="N18" s="1" t="s">
        <v>10</v>
      </c>
      <c r="O18" s="1" t="s">
        <v>121</v>
      </c>
      <c r="P18" s="1" t="s">
        <v>4</v>
      </c>
      <c r="Q18" s="1" t="s">
        <v>5</v>
      </c>
      <c r="R18" s="1" t="s">
        <v>6</v>
      </c>
      <c r="S18" s="1" t="s">
        <v>7</v>
      </c>
      <c r="T18" s="1" t="s">
        <v>122</v>
      </c>
    </row>
    <row r="19" spans="1:21" ht="15.75" x14ac:dyDescent="0.25">
      <c r="A19" s="22" t="s">
        <v>89</v>
      </c>
      <c r="B19" s="22" t="s">
        <v>21</v>
      </c>
      <c r="C19" s="22">
        <v>10</v>
      </c>
      <c r="D19" s="22" t="s">
        <v>152</v>
      </c>
      <c r="E19" s="66" t="s">
        <v>153</v>
      </c>
      <c r="F19" s="59">
        <v>7.9</v>
      </c>
      <c r="G19" s="58">
        <f>15.6*25</f>
        <v>390</v>
      </c>
      <c r="H19" s="22">
        <v>1.99</v>
      </c>
      <c r="I19" s="22">
        <v>0.66</v>
      </c>
      <c r="J19" s="22">
        <v>10</v>
      </c>
      <c r="K19" s="22">
        <v>98</v>
      </c>
      <c r="L19" s="22" t="s">
        <v>154</v>
      </c>
      <c r="M19" s="22">
        <v>10</v>
      </c>
      <c r="N19" s="18" t="s">
        <v>118</v>
      </c>
      <c r="O19" s="66" t="s">
        <v>148</v>
      </c>
      <c r="P19" s="19">
        <v>7.6</v>
      </c>
      <c r="Q19" s="19">
        <f>28.3*60</f>
        <v>1698</v>
      </c>
      <c r="R19" s="18">
        <v>2.0699999999999998</v>
      </c>
      <c r="S19" s="18">
        <v>0.98</v>
      </c>
      <c r="T19" s="64" t="s">
        <v>155</v>
      </c>
      <c r="U19" s="29" t="s">
        <v>156</v>
      </c>
    </row>
    <row r="20" spans="1:21" ht="15" customHeight="1" x14ac:dyDescent="0.25">
      <c r="A20" s="48" t="s">
        <v>89</v>
      </c>
      <c r="B20" s="48" t="s">
        <v>42</v>
      </c>
      <c r="C20" s="48">
        <v>46</v>
      </c>
      <c r="D20" s="48" t="s">
        <v>146</v>
      </c>
      <c r="E20" s="66" t="s">
        <v>157</v>
      </c>
      <c r="F20" s="49">
        <v>7.6</v>
      </c>
      <c r="G20" s="49">
        <f>26*25</f>
        <v>650</v>
      </c>
      <c r="H20" s="48">
        <v>1.87</v>
      </c>
      <c r="I20" s="48">
        <v>0.53</v>
      </c>
      <c r="J20" s="48">
        <v>10</v>
      </c>
      <c r="K20" s="48">
        <v>117</v>
      </c>
      <c r="L20" s="75">
        <v>45634</v>
      </c>
      <c r="M20" s="48">
        <v>40</v>
      </c>
      <c r="N20" s="18" t="s">
        <v>94</v>
      </c>
      <c r="O20" s="66" t="s">
        <v>158</v>
      </c>
      <c r="P20" s="19">
        <v>7</v>
      </c>
      <c r="Q20" s="19">
        <f>58.7*60</f>
        <v>3522</v>
      </c>
      <c r="R20" s="18">
        <v>1.8</v>
      </c>
      <c r="S20" s="18">
        <v>0.4</v>
      </c>
      <c r="T20" s="52" t="s">
        <v>159</v>
      </c>
    </row>
    <row r="22" spans="1:21" ht="15.75" x14ac:dyDescent="0.25">
      <c r="A22" s="22" t="s">
        <v>89</v>
      </c>
      <c r="B22" s="22" t="s">
        <v>53</v>
      </c>
      <c r="C22" s="22">
        <v>78</v>
      </c>
      <c r="D22" s="22" t="s">
        <v>160</v>
      </c>
      <c r="E22" s="22"/>
      <c r="F22" s="58">
        <v>2</v>
      </c>
      <c r="G22" s="59">
        <f>260*25</f>
        <v>6500</v>
      </c>
      <c r="H22" s="22">
        <v>1.8</v>
      </c>
      <c r="I22" s="22">
        <v>5.2</v>
      </c>
      <c r="J22" s="22">
        <v>10</v>
      </c>
      <c r="K22" s="22">
        <v>97</v>
      </c>
      <c r="L22" s="22" t="s">
        <v>154</v>
      </c>
      <c r="M22" s="22">
        <v>10</v>
      </c>
      <c r="N22" s="18" t="s">
        <v>112</v>
      </c>
      <c r="O22" s="66" t="s">
        <v>148</v>
      </c>
      <c r="P22" s="19">
        <v>7.3</v>
      </c>
      <c r="Q22" s="19">
        <f>11.2*60</f>
        <v>672</v>
      </c>
      <c r="R22" s="18">
        <v>1.8</v>
      </c>
      <c r="S22" s="18">
        <v>0.5</v>
      </c>
      <c r="T22" s="46" t="s">
        <v>161</v>
      </c>
    </row>
    <row r="23" spans="1:21" ht="15.75" x14ac:dyDescent="0.25">
      <c r="A23" s="48" t="s">
        <v>89</v>
      </c>
      <c r="B23" s="48" t="s">
        <v>32</v>
      </c>
      <c r="C23" s="48">
        <v>42</v>
      </c>
      <c r="D23" s="48" t="s">
        <v>146</v>
      </c>
      <c r="E23" s="66" t="s">
        <v>157</v>
      </c>
      <c r="F23" s="49">
        <v>8.5</v>
      </c>
      <c r="G23" s="49">
        <f>26.8*25</f>
        <v>670</v>
      </c>
      <c r="H23" s="48">
        <v>1.96</v>
      </c>
      <c r="I23" s="48">
        <v>0.78</v>
      </c>
      <c r="J23" s="48">
        <v>10</v>
      </c>
      <c r="K23" s="48">
        <v>114</v>
      </c>
      <c r="L23" s="75">
        <v>45481</v>
      </c>
      <c r="M23" s="48">
        <v>40</v>
      </c>
      <c r="N23" s="18" t="s">
        <v>95</v>
      </c>
      <c r="O23" s="66" t="s">
        <v>162</v>
      </c>
      <c r="P23" s="19">
        <v>7.8</v>
      </c>
      <c r="Q23" s="19">
        <f>34.7*60</f>
        <v>2082</v>
      </c>
      <c r="R23" s="18">
        <v>1.69</v>
      </c>
      <c r="S23" s="18">
        <v>0.53</v>
      </c>
      <c r="T23" s="46" t="s">
        <v>163</v>
      </c>
    </row>
    <row r="25" spans="1:21" ht="15" customHeight="1" x14ac:dyDescent="0.2">
      <c r="B25" s="29"/>
      <c r="C25" s="29"/>
      <c r="D25" s="29"/>
      <c r="E25" s="29"/>
      <c r="F25" s="29"/>
      <c r="G25" s="29"/>
    </row>
    <row r="26" spans="1:21" ht="15" customHeight="1" x14ac:dyDescent="0.2">
      <c r="A26" s="29"/>
      <c r="B26" s="29"/>
      <c r="C26" s="29"/>
      <c r="D26" s="29"/>
      <c r="E26" s="29"/>
      <c r="F26" s="29"/>
      <c r="G26" s="29"/>
    </row>
    <row r="27" spans="1:21" ht="15" customHeight="1" x14ac:dyDescent="0.2">
      <c r="A27" s="29" t="s">
        <v>164</v>
      </c>
      <c r="B27" s="29"/>
      <c r="G27" s="29"/>
    </row>
    <row r="28" spans="1:21" ht="15.75" customHeight="1" x14ac:dyDescent="0.2">
      <c r="H28" s="29"/>
    </row>
    <row r="29" spans="1:21" ht="15.75" customHeight="1" x14ac:dyDescent="0.2">
      <c r="A29" s="330" t="s">
        <v>165</v>
      </c>
      <c r="B29" s="331"/>
      <c r="C29" s="331"/>
      <c r="D29" s="331"/>
      <c r="E29" s="331"/>
      <c r="F29" s="332"/>
      <c r="I29" s="29"/>
    </row>
    <row r="30" spans="1:21" ht="15.75" customHeight="1" x14ac:dyDescent="0.25">
      <c r="A30" s="333" t="s">
        <v>166</v>
      </c>
      <c r="B30" s="331"/>
      <c r="C30" s="331"/>
      <c r="D30" s="331"/>
      <c r="E30" s="331"/>
      <c r="F30" s="332"/>
      <c r="I30" s="29"/>
    </row>
    <row r="31" spans="1:21" ht="51.75" customHeight="1" x14ac:dyDescent="0.25">
      <c r="A31" s="76" t="s">
        <v>165</v>
      </c>
      <c r="B31" s="76" t="s">
        <v>165</v>
      </c>
      <c r="C31" s="76" t="s">
        <v>165</v>
      </c>
      <c r="D31" s="76"/>
      <c r="E31" s="76" t="s">
        <v>165</v>
      </c>
      <c r="F31" s="76" t="s">
        <v>165</v>
      </c>
      <c r="I31" s="29"/>
    </row>
    <row r="32" spans="1:21" ht="48" customHeight="1" x14ac:dyDescent="0.25">
      <c r="A32" s="77" t="s">
        <v>167</v>
      </c>
      <c r="B32" s="78" t="s">
        <v>168</v>
      </c>
      <c r="C32" s="78" t="s">
        <v>169</v>
      </c>
      <c r="D32" s="78"/>
      <c r="E32" s="77" t="s">
        <v>170</v>
      </c>
      <c r="F32" s="77" t="s">
        <v>171</v>
      </c>
      <c r="I32" s="29"/>
    </row>
    <row r="33" spans="1:9" ht="15.75" customHeight="1" x14ac:dyDescent="0.25">
      <c r="A33" s="77" t="s">
        <v>172</v>
      </c>
      <c r="B33" s="77" t="s">
        <v>173</v>
      </c>
      <c r="C33" s="77" t="s">
        <v>174</v>
      </c>
      <c r="D33" s="77"/>
      <c r="E33" s="77" t="s">
        <v>175</v>
      </c>
      <c r="F33" s="77" t="s">
        <v>176</v>
      </c>
      <c r="I33" s="29"/>
    </row>
    <row r="34" spans="1:9" ht="15.75" customHeight="1" x14ac:dyDescent="0.2">
      <c r="B34" s="29"/>
      <c r="C34" s="29"/>
      <c r="D34" s="29"/>
      <c r="E34" s="29"/>
      <c r="F34" s="29"/>
      <c r="G34" s="29"/>
    </row>
    <row r="35" spans="1:9" ht="15.75" customHeight="1" x14ac:dyDescent="0.2">
      <c r="A35" s="79" t="s">
        <v>177</v>
      </c>
      <c r="B35" s="79" t="s">
        <v>172</v>
      </c>
      <c r="C35" s="79" t="s">
        <v>173</v>
      </c>
      <c r="D35" s="79"/>
      <c r="E35" s="79" t="s">
        <v>178</v>
      </c>
      <c r="F35" s="79" t="s">
        <v>175</v>
      </c>
      <c r="G35" s="79" t="s">
        <v>176</v>
      </c>
    </row>
    <row r="36" spans="1:9" ht="15.75" customHeight="1" x14ac:dyDescent="0.25">
      <c r="A36" s="80">
        <v>1</v>
      </c>
      <c r="B36" s="81"/>
      <c r="C36" s="81"/>
      <c r="D36" s="81"/>
      <c r="E36" s="81"/>
      <c r="F36" s="81"/>
      <c r="G36" s="81"/>
    </row>
    <row r="37" spans="1:9" ht="15.75" customHeight="1" x14ac:dyDescent="0.25">
      <c r="A37" s="80">
        <v>2</v>
      </c>
      <c r="B37" s="81"/>
      <c r="C37" s="81"/>
      <c r="D37" s="81"/>
      <c r="E37" s="81"/>
      <c r="F37" s="81"/>
      <c r="G37" s="81"/>
    </row>
    <row r="38" spans="1:9" ht="44.25" customHeight="1" x14ac:dyDescent="0.25">
      <c r="A38" s="80">
        <v>3</v>
      </c>
      <c r="B38" s="81"/>
      <c r="C38" s="81"/>
      <c r="D38" s="81"/>
      <c r="E38" s="82" t="s">
        <v>179</v>
      </c>
      <c r="F38" s="81"/>
      <c r="G38" s="81"/>
    </row>
    <row r="39" spans="1:9" ht="15.75" customHeight="1" x14ac:dyDescent="0.25">
      <c r="A39" s="80">
        <v>4</v>
      </c>
      <c r="B39" s="81"/>
      <c r="C39" s="81"/>
      <c r="D39" s="81"/>
      <c r="E39" s="81"/>
      <c r="F39" s="81"/>
      <c r="G39" s="81"/>
    </row>
    <row r="40" spans="1:9" ht="15.75" customHeight="1" x14ac:dyDescent="0.2"/>
    <row r="41" spans="1:9" ht="15.75" customHeight="1" x14ac:dyDescent="0.2">
      <c r="A41" s="65" t="s">
        <v>180</v>
      </c>
      <c r="E41" s="65" t="s">
        <v>181</v>
      </c>
    </row>
    <row r="42" spans="1:9" ht="15.75" customHeight="1" x14ac:dyDescent="0.2"/>
    <row r="43" spans="1:9" ht="15.75" customHeight="1" x14ac:dyDescent="0.2">
      <c r="A43" s="29" t="s">
        <v>182</v>
      </c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2">
    <mergeCell ref="A29:F29"/>
    <mergeCell ref="A30:F30"/>
  </mergeCells>
  <hyperlinks>
    <hyperlink ref="A1" r:id="rId1" xr:uid="{00000000-0004-0000-0100-000000000000}"/>
    <hyperlink ref="E4" r:id="rId2" xr:uid="{00000000-0004-0000-0100-000001000000}"/>
    <hyperlink ref="O4" r:id="rId3" xr:uid="{00000000-0004-0000-0100-000002000000}"/>
    <hyperlink ref="E5" r:id="rId4" xr:uid="{00000000-0004-0000-0100-000003000000}"/>
    <hyperlink ref="O5" r:id="rId5" xr:uid="{00000000-0004-0000-0100-000004000000}"/>
    <hyperlink ref="E6" r:id="rId6" xr:uid="{00000000-0004-0000-0100-000005000000}"/>
    <hyperlink ref="O6" r:id="rId7" xr:uid="{00000000-0004-0000-0100-000006000000}"/>
    <hyperlink ref="E8" r:id="rId8" xr:uid="{00000000-0004-0000-0100-000007000000}"/>
    <hyperlink ref="O8" r:id="rId9" xr:uid="{00000000-0004-0000-0100-000008000000}"/>
    <hyperlink ref="E9" r:id="rId10" xr:uid="{00000000-0004-0000-0100-000009000000}"/>
    <hyperlink ref="O9" r:id="rId11" xr:uid="{00000000-0004-0000-0100-00000A000000}"/>
    <hyperlink ref="E11" r:id="rId12" xr:uid="{00000000-0004-0000-0100-00000B000000}"/>
    <hyperlink ref="O11" r:id="rId13" xr:uid="{00000000-0004-0000-0100-00000C000000}"/>
    <hyperlink ref="E12" r:id="rId14" xr:uid="{00000000-0004-0000-0100-00000D000000}"/>
    <hyperlink ref="O12" r:id="rId15" xr:uid="{00000000-0004-0000-0100-00000E000000}"/>
    <hyperlink ref="A15" r:id="rId16" xr:uid="{00000000-0004-0000-0100-00000F000000}"/>
    <hyperlink ref="A16" r:id="rId17" xr:uid="{00000000-0004-0000-0100-000010000000}"/>
    <hyperlink ref="E19" r:id="rId18" xr:uid="{00000000-0004-0000-0100-000011000000}"/>
    <hyperlink ref="O19" r:id="rId19" xr:uid="{00000000-0004-0000-0100-000012000000}"/>
    <hyperlink ref="E20" r:id="rId20" xr:uid="{00000000-0004-0000-0100-000013000000}"/>
    <hyperlink ref="O20" r:id="rId21" xr:uid="{00000000-0004-0000-0100-000014000000}"/>
    <hyperlink ref="O22" r:id="rId22" xr:uid="{00000000-0004-0000-0100-000015000000}"/>
    <hyperlink ref="E23" r:id="rId23" xr:uid="{00000000-0004-0000-0100-000016000000}"/>
    <hyperlink ref="O23" r:id="rId24" xr:uid="{00000000-0004-0000-0100-000017000000}"/>
    <hyperlink ref="A41" r:id="rId25" xr:uid="{00000000-0004-0000-0100-000018000000}"/>
    <hyperlink ref="E41" r:id="rId26" xr:uid="{00000000-0004-0000-0100-000019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6013-39CE-4E59-8C7D-40669DF5EA9F}">
  <dimension ref="A1:M54"/>
  <sheetViews>
    <sheetView tabSelected="1" topLeftCell="A7" workbookViewId="0">
      <selection activeCell="M22" sqref="M22"/>
    </sheetView>
  </sheetViews>
  <sheetFormatPr defaultRowHeight="15" x14ac:dyDescent="0.2"/>
  <cols>
    <col min="3" max="3" width="15.5546875" customWidth="1"/>
    <col min="5" max="5" width="11.109375" customWidth="1"/>
    <col min="6" max="6" width="11.33203125" customWidth="1"/>
    <col min="10" max="10" width="23.6640625" customWidth="1"/>
    <col min="11" max="11" width="25.6640625" customWidth="1"/>
    <col min="12" max="12" width="19.44140625" customWidth="1"/>
  </cols>
  <sheetData>
    <row r="1" spans="1:11" x14ac:dyDescent="0.2">
      <c r="A1" s="328" t="s">
        <v>504</v>
      </c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29" t="s">
        <v>120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183</v>
      </c>
      <c r="K2" s="83" t="s">
        <v>184</v>
      </c>
    </row>
    <row r="3" spans="1:11" ht="15.75" x14ac:dyDescent="0.25">
      <c r="A3" s="2" t="s">
        <v>11</v>
      </c>
      <c r="B3" s="2">
        <v>10</v>
      </c>
      <c r="C3" s="2" t="s">
        <v>14</v>
      </c>
      <c r="D3" s="2">
        <v>11</v>
      </c>
      <c r="E3" s="84">
        <v>45224</v>
      </c>
      <c r="F3" s="3">
        <v>6.8</v>
      </c>
      <c r="G3" s="3">
        <v>1032.5</v>
      </c>
      <c r="H3" s="2">
        <v>2.0099999999999998</v>
      </c>
      <c r="I3" s="2">
        <v>0.52</v>
      </c>
      <c r="J3" s="66" t="s">
        <v>187</v>
      </c>
      <c r="K3" s="92" t="s">
        <v>188</v>
      </c>
    </row>
    <row r="4" spans="1:11" ht="15.75" x14ac:dyDescent="0.25">
      <c r="A4" s="2" t="s">
        <v>11</v>
      </c>
      <c r="B4" s="2">
        <v>10</v>
      </c>
      <c r="C4" s="2" t="s">
        <v>16</v>
      </c>
      <c r="D4" s="2">
        <v>10</v>
      </c>
      <c r="E4" s="84">
        <v>45224</v>
      </c>
      <c r="F4" s="3">
        <v>6.6</v>
      </c>
      <c r="G4" s="3">
        <v>1597.5</v>
      </c>
      <c r="H4" s="2">
        <v>1.86</v>
      </c>
      <c r="I4" s="2">
        <v>0.62</v>
      </c>
      <c r="J4" s="66" t="s">
        <v>187</v>
      </c>
      <c r="K4" s="92" t="s">
        <v>188</v>
      </c>
    </row>
    <row r="5" spans="1:11" ht="15.75" x14ac:dyDescent="0.25">
      <c r="A5" s="8" t="s">
        <v>23</v>
      </c>
      <c r="B5" s="8">
        <v>10</v>
      </c>
      <c r="C5" s="8" t="s">
        <v>24</v>
      </c>
      <c r="D5" s="8">
        <v>48</v>
      </c>
      <c r="E5" s="88">
        <v>45244</v>
      </c>
      <c r="F5" s="9">
        <v>7</v>
      </c>
      <c r="G5" s="9">
        <v>650</v>
      </c>
      <c r="H5" s="8">
        <v>1.94</v>
      </c>
      <c r="I5" s="8">
        <v>0.66</v>
      </c>
      <c r="J5" s="66" t="s">
        <v>190</v>
      </c>
      <c r="K5" s="92" t="s">
        <v>191</v>
      </c>
    </row>
    <row r="6" spans="1:11" ht="15.75" x14ac:dyDescent="0.25">
      <c r="A6" s="8" t="s">
        <v>23</v>
      </c>
      <c r="B6" s="8">
        <v>10</v>
      </c>
      <c r="C6" s="8" t="s">
        <v>28</v>
      </c>
      <c r="D6" s="8">
        <v>52</v>
      </c>
      <c r="E6" s="88">
        <v>45244</v>
      </c>
      <c r="F6" s="9">
        <v>7.6</v>
      </c>
      <c r="G6" s="9">
        <v>1017.5000000000001</v>
      </c>
      <c r="H6" s="8">
        <v>1.56</v>
      </c>
      <c r="I6" s="8">
        <v>0.63</v>
      </c>
      <c r="J6" s="66" t="s">
        <v>190</v>
      </c>
      <c r="K6" s="92" t="s">
        <v>188</v>
      </c>
    </row>
    <row r="7" spans="1:11" ht="15.75" x14ac:dyDescent="0.25">
      <c r="A7" s="8" t="s">
        <v>23</v>
      </c>
      <c r="B7" s="8">
        <v>10</v>
      </c>
      <c r="C7" s="8" t="s">
        <v>30</v>
      </c>
      <c r="D7" s="8">
        <v>28</v>
      </c>
      <c r="E7" s="88">
        <v>45236</v>
      </c>
      <c r="F7" s="9">
        <v>8.3000000000000007</v>
      </c>
      <c r="G7" s="9">
        <v>795</v>
      </c>
      <c r="H7" s="8">
        <v>2.11</v>
      </c>
      <c r="I7" s="8">
        <v>1.22</v>
      </c>
      <c r="J7" s="66" t="s">
        <v>128</v>
      </c>
      <c r="K7" s="92" t="s">
        <v>188</v>
      </c>
    </row>
    <row r="8" spans="1:11" ht="15.75" x14ac:dyDescent="0.25">
      <c r="A8" s="8" t="s">
        <v>23</v>
      </c>
      <c r="B8" s="8">
        <v>10</v>
      </c>
      <c r="C8" s="8" t="s">
        <v>32</v>
      </c>
      <c r="D8" s="8">
        <v>36</v>
      </c>
      <c r="E8" s="88">
        <v>45238</v>
      </c>
      <c r="F8" s="9">
        <v>6.1</v>
      </c>
      <c r="G8" s="9">
        <v>1260</v>
      </c>
      <c r="H8" s="8">
        <v>1.83</v>
      </c>
      <c r="I8" s="8">
        <v>0.65</v>
      </c>
      <c r="J8" s="66" t="s">
        <v>192</v>
      </c>
      <c r="K8" s="92" t="s">
        <v>193</v>
      </c>
    </row>
    <row r="9" spans="1:11" ht="15.75" x14ac:dyDescent="0.25">
      <c r="A9" s="2" t="s">
        <v>23</v>
      </c>
      <c r="B9" s="2">
        <v>10</v>
      </c>
      <c r="C9" s="2" t="s">
        <v>34</v>
      </c>
      <c r="D9" s="2">
        <v>32</v>
      </c>
      <c r="E9" s="84">
        <v>45238</v>
      </c>
      <c r="F9" s="3">
        <v>7.8</v>
      </c>
      <c r="G9" s="3">
        <v>882.49999999999989</v>
      </c>
      <c r="H9" s="2">
        <v>1.89</v>
      </c>
      <c r="I9" s="2">
        <v>0.65</v>
      </c>
      <c r="J9" s="66" t="s">
        <v>192</v>
      </c>
      <c r="K9" s="92" t="s">
        <v>191</v>
      </c>
    </row>
    <row r="10" spans="1:11" ht="15.75" x14ac:dyDescent="0.25">
      <c r="A10" s="26" t="s">
        <v>23</v>
      </c>
      <c r="B10" s="26">
        <v>40</v>
      </c>
      <c r="C10" s="26" t="s">
        <v>34</v>
      </c>
      <c r="D10" s="26">
        <v>49</v>
      </c>
      <c r="E10" s="90">
        <v>45244</v>
      </c>
      <c r="F10" s="27">
        <v>8.3000000000000007</v>
      </c>
      <c r="G10" s="27">
        <v>625</v>
      </c>
      <c r="H10" s="26">
        <v>2</v>
      </c>
      <c r="I10" s="26">
        <v>0.86</v>
      </c>
      <c r="J10" s="66" t="s">
        <v>190</v>
      </c>
      <c r="K10" s="92" t="s">
        <v>191</v>
      </c>
    </row>
    <row r="11" spans="1:11" ht="15.75" x14ac:dyDescent="0.25">
      <c r="A11" s="26" t="s">
        <v>23</v>
      </c>
      <c r="B11" s="26">
        <v>40</v>
      </c>
      <c r="C11" s="26" t="s">
        <v>36</v>
      </c>
      <c r="D11" s="26">
        <v>25</v>
      </c>
      <c r="E11" s="90">
        <v>45236</v>
      </c>
      <c r="F11" s="27">
        <v>8.1999999999999993</v>
      </c>
      <c r="G11" s="27">
        <v>1295</v>
      </c>
      <c r="H11" s="26">
        <v>2.14</v>
      </c>
      <c r="I11" s="26">
        <v>1.58</v>
      </c>
      <c r="J11" s="66" t="s">
        <v>128</v>
      </c>
      <c r="K11" s="92" t="s">
        <v>191</v>
      </c>
    </row>
    <row r="12" spans="1:11" ht="15.75" x14ac:dyDescent="0.25">
      <c r="A12" s="26" t="s">
        <v>23</v>
      </c>
      <c r="B12" s="26">
        <v>40</v>
      </c>
      <c r="C12" s="26" t="s">
        <v>38</v>
      </c>
      <c r="D12" s="26">
        <v>59</v>
      </c>
      <c r="E12" s="90">
        <v>45245</v>
      </c>
      <c r="F12" s="27">
        <v>7.4</v>
      </c>
      <c r="G12" s="27">
        <v>585</v>
      </c>
      <c r="H12" s="26">
        <v>1.92</v>
      </c>
      <c r="I12" s="26">
        <v>0.86</v>
      </c>
      <c r="J12" s="66" t="s">
        <v>139</v>
      </c>
      <c r="K12" s="92" t="s">
        <v>191</v>
      </c>
    </row>
    <row r="13" spans="1:11" ht="15.75" x14ac:dyDescent="0.25">
      <c r="A13" s="26" t="s">
        <v>23</v>
      </c>
      <c r="B13" s="26">
        <v>40</v>
      </c>
      <c r="C13" s="26" t="s">
        <v>42</v>
      </c>
      <c r="D13" s="26">
        <v>45</v>
      </c>
      <c r="E13" s="90">
        <v>45243</v>
      </c>
      <c r="F13" s="27">
        <v>6.3</v>
      </c>
      <c r="G13" s="30">
        <v>462.5</v>
      </c>
      <c r="H13" s="26">
        <v>1.76</v>
      </c>
      <c r="I13" s="26">
        <v>0.51</v>
      </c>
      <c r="J13" s="91" t="s">
        <v>147</v>
      </c>
      <c r="K13" s="92" t="s">
        <v>193</v>
      </c>
    </row>
    <row r="14" spans="1:11" ht="15.75" x14ac:dyDescent="0.25">
      <c r="A14" s="16" t="s">
        <v>55</v>
      </c>
      <c r="B14" s="16">
        <v>40</v>
      </c>
      <c r="C14" s="16" t="s">
        <v>53</v>
      </c>
      <c r="D14" s="16">
        <v>20</v>
      </c>
      <c r="E14" s="89">
        <v>45229</v>
      </c>
      <c r="F14" s="17">
        <v>7.5</v>
      </c>
      <c r="G14" s="17">
        <v>1960.0000000000002</v>
      </c>
      <c r="H14" s="16">
        <v>1.9</v>
      </c>
      <c r="I14" s="16">
        <v>0.62</v>
      </c>
      <c r="J14" s="66" t="s">
        <v>134</v>
      </c>
      <c r="K14" s="92" t="s">
        <v>191</v>
      </c>
    </row>
    <row r="15" spans="1:11" ht="15.75" x14ac:dyDescent="0.25">
      <c r="A15" s="26" t="s">
        <v>23</v>
      </c>
      <c r="B15" s="26">
        <v>40</v>
      </c>
      <c r="C15" s="26" t="s">
        <v>28</v>
      </c>
      <c r="D15" s="26">
        <v>37</v>
      </c>
      <c r="E15" s="90">
        <v>45238</v>
      </c>
      <c r="F15" s="27">
        <v>8.3000000000000007</v>
      </c>
      <c r="G15" s="27">
        <v>600</v>
      </c>
      <c r="H15" s="26">
        <v>1.98</v>
      </c>
      <c r="I15" s="26">
        <v>1.04</v>
      </c>
      <c r="J15" s="66" t="s">
        <v>192</v>
      </c>
      <c r="K15" s="92" t="s">
        <v>191</v>
      </c>
    </row>
    <row r="16" spans="1:11" ht="15.75" x14ac:dyDescent="0.25">
      <c r="A16" s="26" t="s">
        <v>23</v>
      </c>
      <c r="B16" s="26">
        <v>40</v>
      </c>
      <c r="C16" s="26" t="s">
        <v>32</v>
      </c>
      <c r="D16" s="26">
        <v>33</v>
      </c>
      <c r="E16" s="97">
        <v>45238</v>
      </c>
      <c r="F16" s="27">
        <v>6.5</v>
      </c>
      <c r="G16" s="27">
        <v>2080</v>
      </c>
      <c r="H16" s="26">
        <v>1.71</v>
      </c>
      <c r="I16" s="26">
        <v>0.87</v>
      </c>
      <c r="J16" s="66" t="s">
        <v>192</v>
      </c>
      <c r="K16" s="92" t="s">
        <v>191</v>
      </c>
    </row>
    <row r="17" spans="1:11" ht="15.75" x14ac:dyDescent="0.25">
      <c r="A17" s="39" t="s">
        <v>81</v>
      </c>
      <c r="B17" s="39">
        <v>40</v>
      </c>
      <c r="C17" s="39" t="s">
        <v>16</v>
      </c>
      <c r="D17" s="39">
        <v>16</v>
      </c>
      <c r="E17" s="104">
        <v>45224</v>
      </c>
      <c r="F17" s="40">
        <v>6.9</v>
      </c>
      <c r="G17" s="41">
        <v>282.5</v>
      </c>
      <c r="H17" s="39">
        <v>1.78</v>
      </c>
      <c r="I17" s="39">
        <v>0.62</v>
      </c>
      <c r="J17" s="66" t="s">
        <v>187</v>
      </c>
      <c r="K17" s="92" t="s">
        <v>188</v>
      </c>
    </row>
    <row r="18" spans="1:11" ht="15.75" x14ac:dyDescent="0.25">
      <c r="A18" s="39" t="s">
        <v>81</v>
      </c>
      <c r="B18" s="39">
        <v>40</v>
      </c>
      <c r="C18" s="39" t="s">
        <v>18</v>
      </c>
      <c r="D18" s="39">
        <v>6</v>
      </c>
      <c r="E18" s="104">
        <v>45223</v>
      </c>
      <c r="F18" s="40">
        <v>7</v>
      </c>
      <c r="G18" s="40">
        <v>642.5</v>
      </c>
      <c r="H18" s="39">
        <v>2.0099999999999998</v>
      </c>
      <c r="I18" s="39">
        <v>0.63</v>
      </c>
      <c r="J18" s="66" t="s">
        <v>199</v>
      </c>
      <c r="K18" s="92" t="s">
        <v>188</v>
      </c>
    </row>
    <row r="19" spans="1:11" ht="15.75" x14ac:dyDescent="0.25">
      <c r="A19" s="48" t="s">
        <v>89</v>
      </c>
      <c r="B19" s="48">
        <v>10</v>
      </c>
      <c r="C19" s="48" t="s">
        <v>40</v>
      </c>
      <c r="D19" s="48">
        <v>55</v>
      </c>
      <c r="E19" s="105">
        <v>45244</v>
      </c>
      <c r="F19" s="49">
        <v>7.8</v>
      </c>
      <c r="G19" s="49">
        <v>720</v>
      </c>
      <c r="H19" s="48">
        <v>2.16</v>
      </c>
      <c r="I19" s="48">
        <v>1.24</v>
      </c>
      <c r="J19" s="66" t="s">
        <v>190</v>
      </c>
      <c r="K19" s="92" t="s">
        <v>193</v>
      </c>
    </row>
    <row r="20" spans="1:11" ht="15.75" x14ac:dyDescent="0.25">
      <c r="A20" s="48" t="s">
        <v>89</v>
      </c>
      <c r="B20" s="48">
        <v>10</v>
      </c>
      <c r="C20" s="48" t="s">
        <v>42</v>
      </c>
      <c r="D20" s="48">
        <v>46</v>
      </c>
      <c r="E20" s="105">
        <v>45243</v>
      </c>
      <c r="F20" s="49">
        <v>7.6</v>
      </c>
      <c r="G20" s="49">
        <v>650</v>
      </c>
      <c r="H20" s="48">
        <v>1.87</v>
      </c>
      <c r="I20" s="48">
        <v>0.53</v>
      </c>
      <c r="J20" s="66" t="s">
        <v>157</v>
      </c>
      <c r="K20" s="92" t="s">
        <v>188</v>
      </c>
    </row>
    <row r="21" spans="1:11" ht="15.75" x14ac:dyDescent="0.25">
      <c r="A21" s="48" t="s">
        <v>89</v>
      </c>
      <c r="B21" s="48">
        <v>10</v>
      </c>
      <c r="C21" s="48" t="s">
        <v>32</v>
      </c>
      <c r="D21" s="48">
        <v>42</v>
      </c>
      <c r="E21" s="105">
        <v>45243</v>
      </c>
      <c r="F21" s="49">
        <v>8.5</v>
      </c>
      <c r="G21" s="49">
        <v>670</v>
      </c>
      <c r="H21" s="48">
        <v>1.96</v>
      </c>
      <c r="I21" s="48">
        <v>0.78</v>
      </c>
      <c r="J21" s="66" t="s">
        <v>157</v>
      </c>
      <c r="K21" s="92" t="s">
        <v>188</v>
      </c>
    </row>
    <row r="22" spans="1:11" ht="15.75" x14ac:dyDescent="0.25">
      <c r="A22" s="48" t="s">
        <v>89</v>
      </c>
      <c r="B22" s="48">
        <v>10</v>
      </c>
      <c r="C22" s="48" t="s">
        <v>28</v>
      </c>
      <c r="D22" s="48">
        <v>34</v>
      </c>
      <c r="E22" s="105">
        <v>45238</v>
      </c>
      <c r="F22" s="49">
        <v>6.4</v>
      </c>
      <c r="G22" s="49">
        <v>922.5</v>
      </c>
      <c r="H22" s="48">
        <v>1.54</v>
      </c>
      <c r="I22" s="48">
        <v>0.61</v>
      </c>
      <c r="J22" s="66" t="s">
        <v>192</v>
      </c>
      <c r="K22" s="92" t="s">
        <v>193</v>
      </c>
    </row>
    <row r="23" spans="1:11" ht="15.75" x14ac:dyDescent="0.25">
      <c r="A23" s="21" t="s">
        <v>89</v>
      </c>
      <c r="B23" s="21">
        <v>40</v>
      </c>
      <c r="C23" s="21" t="s">
        <v>34</v>
      </c>
      <c r="D23" s="21">
        <v>35</v>
      </c>
      <c r="E23" s="106">
        <v>45238</v>
      </c>
      <c r="F23" s="55">
        <v>8.6999999999999993</v>
      </c>
      <c r="G23" s="55">
        <v>2152.5</v>
      </c>
      <c r="H23" s="21">
        <v>1.78</v>
      </c>
      <c r="I23" s="21">
        <v>0.9</v>
      </c>
      <c r="J23" s="66" t="s">
        <v>192</v>
      </c>
      <c r="K23" s="92" t="s">
        <v>188</v>
      </c>
    </row>
    <row r="24" spans="1:11" ht="15.75" x14ac:dyDescent="0.25">
      <c r="A24" s="21" t="s">
        <v>89</v>
      </c>
      <c r="B24" s="21">
        <v>40</v>
      </c>
      <c r="C24" s="21" t="s">
        <v>36</v>
      </c>
      <c r="D24" s="21">
        <v>27</v>
      </c>
      <c r="E24" s="106">
        <v>45236</v>
      </c>
      <c r="F24" s="55">
        <v>6.6</v>
      </c>
      <c r="G24" s="55">
        <v>1365</v>
      </c>
      <c r="H24" s="21">
        <v>2.08</v>
      </c>
      <c r="I24" s="21">
        <v>1.3</v>
      </c>
      <c r="J24" s="66" t="s">
        <v>128</v>
      </c>
      <c r="K24" s="92" t="s">
        <v>188</v>
      </c>
    </row>
    <row r="25" spans="1:11" ht="15.75" x14ac:dyDescent="0.25">
      <c r="A25" s="21" t="s">
        <v>89</v>
      </c>
      <c r="B25" s="21">
        <v>40</v>
      </c>
      <c r="C25" s="21" t="s">
        <v>42</v>
      </c>
      <c r="D25" s="21">
        <v>31</v>
      </c>
      <c r="E25" s="106">
        <v>45236</v>
      </c>
      <c r="F25" s="55">
        <v>7.6</v>
      </c>
      <c r="G25" s="55">
        <v>972.5</v>
      </c>
      <c r="H25" s="21">
        <v>2.0699999999999998</v>
      </c>
      <c r="I25" s="21">
        <v>1.19</v>
      </c>
      <c r="J25" s="66" t="s">
        <v>128</v>
      </c>
      <c r="K25" s="92" t="s">
        <v>188</v>
      </c>
    </row>
    <row r="26" spans="1:11" ht="15.75" x14ac:dyDescent="0.25">
      <c r="A26" s="21" t="s">
        <v>89</v>
      </c>
      <c r="B26" s="21">
        <v>40</v>
      </c>
      <c r="C26" s="21" t="s">
        <v>24</v>
      </c>
      <c r="D26" s="21">
        <v>43</v>
      </c>
      <c r="E26" s="106">
        <v>45243</v>
      </c>
      <c r="F26" s="55">
        <v>8.4</v>
      </c>
      <c r="G26" s="55">
        <v>562.5</v>
      </c>
      <c r="H26" s="21">
        <v>1.97</v>
      </c>
      <c r="I26" s="21">
        <v>0.68</v>
      </c>
      <c r="J26" s="66" t="s">
        <v>157</v>
      </c>
      <c r="K26" s="92" t="s">
        <v>188</v>
      </c>
    </row>
    <row r="27" spans="1:11" ht="15.75" x14ac:dyDescent="0.25">
      <c r="A27" s="21" t="s">
        <v>89</v>
      </c>
      <c r="B27" s="21">
        <v>40</v>
      </c>
      <c r="C27" s="21" t="s">
        <v>26</v>
      </c>
      <c r="D27" s="21">
        <v>39</v>
      </c>
      <c r="E27" s="106">
        <v>45238</v>
      </c>
      <c r="F27" s="55">
        <v>7.5</v>
      </c>
      <c r="G27" s="55">
        <v>570</v>
      </c>
      <c r="H27" s="21">
        <v>1.65</v>
      </c>
      <c r="I27" s="21">
        <v>0.65</v>
      </c>
      <c r="J27" s="66" t="s">
        <v>192</v>
      </c>
      <c r="K27" s="92" t="s">
        <v>188</v>
      </c>
    </row>
    <row r="28" spans="1:11" ht="15.75" x14ac:dyDescent="0.25">
      <c r="A28" s="22" t="s">
        <v>107</v>
      </c>
      <c r="B28" s="22">
        <v>10</v>
      </c>
      <c r="C28" s="22" t="s">
        <v>12</v>
      </c>
      <c r="D28" s="22">
        <v>23</v>
      </c>
      <c r="E28" s="107">
        <v>45229</v>
      </c>
      <c r="F28" s="59">
        <v>7</v>
      </c>
      <c r="G28" s="58">
        <v>390</v>
      </c>
      <c r="H28" s="22">
        <v>1.91</v>
      </c>
      <c r="I28" s="22">
        <v>1.17</v>
      </c>
      <c r="J28" s="66" t="s">
        <v>202</v>
      </c>
      <c r="K28" s="92" t="s">
        <v>191</v>
      </c>
    </row>
    <row r="29" spans="1:11" ht="15.75" x14ac:dyDescent="0.25">
      <c r="A29" s="22" t="s">
        <v>107</v>
      </c>
      <c r="B29" s="22">
        <v>10</v>
      </c>
      <c r="C29" s="22" t="s">
        <v>14</v>
      </c>
      <c r="D29" s="22">
        <v>15</v>
      </c>
      <c r="E29" s="107">
        <v>45224</v>
      </c>
      <c r="F29" s="59">
        <v>8.4</v>
      </c>
      <c r="G29" s="59">
        <v>547.5</v>
      </c>
      <c r="H29" s="22">
        <v>2.0099999999999998</v>
      </c>
      <c r="I29" s="22">
        <v>0.68</v>
      </c>
      <c r="J29" s="66" t="s">
        <v>187</v>
      </c>
      <c r="K29" s="92" t="s">
        <v>188</v>
      </c>
    </row>
    <row r="30" spans="1:11" ht="15.75" x14ac:dyDescent="0.25">
      <c r="A30" s="22" t="s">
        <v>107</v>
      </c>
      <c r="B30" s="22">
        <v>10</v>
      </c>
      <c r="C30" s="22" t="s">
        <v>18</v>
      </c>
      <c r="D30" s="22">
        <v>4</v>
      </c>
      <c r="E30" s="107">
        <v>45223</v>
      </c>
      <c r="F30" s="59">
        <v>7.5</v>
      </c>
      <c r="G30" s="59">
        <v>557.5</v>
      </c>
      <c r="H30" s="22">
        <v>1.91</v>
      </c>
      <c r="I30" s="22">
        <v>0.86</v>
      </c>
      <c r="J30" s="66" t="s">
        <v>124</v>
      </c>
      <c r="K30" s="92" t="s">
        <v>188</v>
      </c>
    </row>
    <row r="31" spans="1:11" ht="15.75" x14ac:dyDescent="0.25">
      <c r="A31" s="22" t="s">
        <v>107</v>
      </c>
      <c r="B31" s="22">
        <v>10</v>
      </c>
      <c r="C31" s="22" t="s">
        <v>21</v>
      </c>
      <c r="D31" s="22">
        <v>10</v>
      </c>
      <c r="E31" s="107">
        <v>45189</v>
      </c>
      <c r="F31" s="59">
        <v>7.9</v>
      </c>
      <c r="G31" s="58">
        <v>390</v>
      </c>
      <c r="H31" s="22">
        <v>1.99</v>
      </c>
      <c r="I31" s="22">
        <v>0.66</v>
      </c>
      <c r="J31" s="66" t="s">
        <v>153</v>
      </c>
      <c r="K31" s="92" t="s">
        <v>193</v>
      </c>
    </row>
    <row r="33" spans="1:13" x14ac:dyDescent="0.2">
      <c r="A33" s="329" t="s">
        <v>505</v>
      </c>
    </row>
    <row r="34" spans="1:13" x14ac:dyDescent="0.2">
      <c r="A34" s="1" t="s">
        <v>8</v>
      </c>
      <c r="B34" s="1" t="s">
        <v>2</v>
      </c>
      <c r="C34" s="1" t="s">
        <v>10</v>
      </c>
      <c r="D34" s="1" t="s">
        <v>9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3</v>
      </c>
      <c r="J34" s="108" t="s">
        <v>120</v>
      </c>
      <c r="K34" s="1" t="s">
        <v>183</v>
      </c>
      <c r="L34" s="109" t="s">
        <v>203</v>
      </c>
      <c r="M34" s="83" t="s">
        <v>204</v>
      </c>
    </row>
    <row r="35" spans="1:13" ht="15.75" x14ac:dyDescent="0.25">
      <c r="A35" s="8">
        <v>10</v>
      </c>
      <c r="B35" s="8" t="s">
        <v>28</v>
      </c>
      <c r="C35" s="8" t="s">
        <v>29</v>
      </c>
      <c r="D35" s="8">
        <v>10</v>
      </c>
      <c r="E35" s="10">
        <v>5.0999999999999996</v>
      </c>
      <c r="F35" s="9">
        <v>528</v>
      </c>
      <c r="G35" s="8">
        <v>1.85</v>
      </c>
      <c r="H35" s="8">
        <v>0.56999999999999995</v>
      </c>
      <c r="I35" s="8">
        <v>94</v>
      </c>
      <c r="J35" s="114">
        <v>45603</v>
      </c>
      <c r="K35" s="91" t="s">
        <v>208</v>
      </c>
      <c r="L35" s="111"/>
      <c r="M35" s="92" t="s">
        <v>188</v>
      </c>
    </row>
    <row r="36" spans="1:13" ht="15.75" x14ac:dyDescent="0.25">
      <c r="A36" s="8">
        <v>10</v>
      </c>
      <c r="B36" s="8" t="s">
        <v>30</v>
      </c>
      <c r="C36" s="8" t="s">
        <v>31</v>
      </c>
      <c r="D36" s="8">
        <v>10</v>
      </c>
      <c r="E36" s="9">
        <v>7.7</v>
      </c>
      <c r="F36" s="10">
        <v>203.5</v>
      </c>
      <c r="G36" s="8">
        <v>2.5099999999999998</v>
      </c>
      <c r="H36" s="8">
        <v>0.24</v>
      </c>
      <c r="I36" s="8">
        <v>73</v>
      </c>
      <c r="J36" s="114">
        <v>45252</v>
      </c>
      <c r="K36" s="66" t="s">
        <v>144</v>
      </c>
      <c r="L36" s="111"/>
      <c r="M36" s="92" t="s">
        <v>188</v>
      </c>
    </row>
    <row r="37" spans="1:13" ht="15.75" x14ac:dyDescent="0.25">
      <c r="A37" s="2">
        <v>10</v>
      </c>
      <c r="B37" s="2" t="s">
        <v>40</v>
      </c>
      <c r="C37" s="2" t="s">
        <v>41</v>
      </c>
      <c r="D37" s="2">
        <v>40</v>
      </c>
      <c r="E37" s="4">
        <v>5.3</v>
      </c>
      <c r="F37" s="3">
        <v>1278</v>
      </c>
      <c r="G37" s="2">
        <v>1.75</v>
      </c>
      <c r="H37" s="2">
        <v>0.54</v>
      </c>
      <c r="I37" s="2">
        <v>100</v>
      </c>
      <c r="J37" s="116" t="s">
        <v>210</v>
      </c>
      <c r="K37" s="91" t="s">
        <v>205</v>
      </c>
      <c r="L37" s="111"/>
      <c r="M37" s="92" t="s">
        <v>188</v>
      </c>
    </row>
    <row r="38" spans="1:13" ht="15.75" x14ac:dyDescent="0.25">
      <c r="A38" s="16">
        <v>40</v>
      </c>
      <c r="B38" s="16" t="s">
        <v>12</v>
      </c>
      <c r="C38" s="18" t="s">
        <v>56</v>
      </c>
      <c r="D38" s="16">
        <v>40</v>
      </c>
      <c r="E38" s="19">
        <v>8</v>
      </c>
      <c r="F38" s="19">
        <v>765</v>
      </c>
      <c r="G38" s="18">
        <v>1.5</v>
      </c>
      <c r="H38" s="18">
        <v>0.49</v>
      </c>
      <c r="I38" s="16">
        <v>84</v>
      </c>
      <c r="J38" s="118">
        <v>45388</v>
      </c>
      <c r="K38" s="66" t="s">
        <v>140</v>
      </c>
      <c r="L38" s="111"/>
      <c r="M38" s="92" t="s">
        <v>188</v>
      </c>
    </row>
    <row r="39" spans="1:13" ht="15.75" x14ac:dyDescent="0.25">
      <c r="A39" s="16">
        <v>40</v>
      </c>
      <c r="B39" s="16" t="s">
        <v>14</v>
      </c>
      <c r="C39" s="18" t="s">
        <v>57</v>
      </c>
      <c r="D39" s="16">
        <v>40</v>
      </c>
      <c r="E39" s="19">
        <v>6.9</v>
      </c>
      <c r="F39" s="19">
        <v>540</v>
      </c>
      <c r="G39" s="18">
        <v>1.95</v>
      </c>
      <c r="H39" s="18">
        <v>0.86</v>
      </c>
      <c r="I39" s="16">
        <v>123</v>
      </c>
      <c r="J39" s="124" t="s">
        <v>215</v>
      </c>
      <c r="K39" s="66" t="s">
        <v>126</v>
      </c>
      <c r="L39" s="111"/>
      <c r="M39" s="92" t="s">
        <v>188</v>
      </c>
    </row>
    <row r="40" spans="1:13" ht="15.75" x14ac:dyDescent="0.25">
      <c r="A40" s="16">
        <v>40</v>
      </c>
      <c r="B40" s="16" t="s">
        <v>16</v>
      </c>
      <c r="C40" s="18" t="s">
        <v>58</v>
      </c>
      <c r="D40" s="16">
        <v>40</v>
      </c>
      <c r="E40" s="19">
        <v>6.4</v>
      </c>
      <c r="F40" s="19">
        <v>1530</v>
      </c>
      <c r="G40" s="18">
        <v>1.89</v>
      </c>
      <c r="H40" s="18">
        <v>0.56999999999999995</v>
      </c>
      <c r="I40" s="16">
        <v>102</v>
      </c>
      <c r="J40" s="124" t="s">
        <v>216</v>
      </c>
      <c r="K40" s="66" t="s">
        <v>136</v>
      </c>
      <c r="L40" s="111"/>
      <c r="M40" s="92" t="s">
        <v>188</v>
      </c>
    </row>
    <row r="41" spans="1:13" ht="15.75" x14ac:dyDescent="0.25">
      <c r="A41" s="16">
        <v>40</v>
      </c>
      <c r="B41" s="16" t="s">
        <v>21</v>
      </c>
      <c r="C41" s="18" t="s">
        <v>60</v>
      </c>
      <c r="D41" s="16">
        <v>40</v>
      </c>
      <c r="E41" s="19">
        <v>7.2</v>
      </c>
      <c r="F41" s="24">
        <v>209</v>
      </c>
      <c r="G41" s="18">
        <v>2.33</v>
      </c>
      <c r="H41" s="18">
        <v>0.25</v>
      </c>
      <c r="I41" s="16">
        <v>75</v>
      </c>
      <c r="J41" s="118">
        <v>45252</v>
      </c>
      <c r="K41" s="66" t="s">
        <v>144</v>
      </c>
      <c r="L41" s="111"/>
      <c r="M41" s="92" t="s">
        <v>188</v>
      </c>
    </row>
    <row r="42" spans="1:13" ht="15.75" x14ac:dyDescent="0.25">
      <c r="A42" s="16">
        <v>40</v>
      </c>
      <c r="B42" s="16" t="s">
        <v>49</v>
      </c>
      <c r="C42" s="18" t="s">
        <v>71</v>
      </c>
      <c r="D42" s="16">
        <v>40</v>
      </c>
      <c r="E42" s="24">
        <v>5.0999999999999996</v>
      </c>
      <c r="F42" s="19">
        <v>882</v>
      </c>
      <c r="G42" s="18">
        <v>1.78</v>
      </c>
      <c r="H42" s="18">
        <v>0.35</v>
      </c>
      <c r="I42" s="16">
        <v>118</v>
      </c>
      <c r="J42" s="118">
        <v>45634</v>
      </c>
      <c r="K42" s="66" t="s">
        <v>218</v>
      </c>
      <c r="L42" s="111"/>
      <c r="M42" s="92" t="s">
        <v>193</v>
      </c>
    </row>
    <row r="43" spans="1:13" ht="15.75" x14ac:dyDescent="0.25">
      <c r="A43" s="16">
        <v>40</v>
      </c>
      <c r="B43" s="16" t="s">
        <v>53</v>
      </c>
      <c r="C43" s="18" t="s">
        <v>73</v>
      </c>
      <c r="D43" s="16">
        <v>40</v>
      </c>
      <c r="E43" s="19">
        <v>8.6999999999999993</v>
      </c>
      <c r="F43" s="19">
        <v>540</v>
      </c>
      <c r="G43" s="18">
        <v>1.88</v>
      </c>
      <c r="H43" s="18">
        <v>0.64</v>
      </c>
      <c r="I43" s="16">
        <v>108</v>
      </c>
      <c r="J43" s="118">
        <v>45299</v>
      </c>
      <c r="K43" s="66" t="s">
        <v>205</v>
      </c>
      <c r="L43" s="111"/>
      <c r="M43" s="92" t="s">
        <v>188</v>
      </c>
    </row>
    <row r="44" spans="1:13" ht="15.75" x14ac:dyDescent="0.25">
      <c r="A44" s="26">
        <v>40</v>
      </c>
      <c r="B44" s="26" t="s">
        <v>36</v>
      </c>
      <c r="C44" s="18" t="s">
        <v>63</v>
      </c>
      <c r="D44" s="26">
        <v>10</v>
      </c>
      <c r="E44" s="19">
        <v>8.5</v>
      </c>
      <c r="F44" s="18"/>
      <c r="G44" s="18"/>
      <c r="H44" s="18"/>
      <c r="I44" s="28" t="s">
        <v>62</v>
      </c>
      <c r="J44" s="118">
        <v>45536</v>
      </c>
      <c r="K44" s="66" t="s">
        <v>129</v>
      </c>
      <c r="L44" s="111"/>
      <c r="M44" s="92" t="s">
        <v>188</v>
      </c>
    </row>
    <row r="45" spans="1:13" ht="15.75" x14ac:dyDescent="0.25">
      <c r="A45" s="26">
        <v>40</v>
      </c>
      <c r="B45" s="26" t="s">
        <v>38</v>
      </c>
      <c r="C45" s="18" t="s">
        <v>65</v>
      </c>
      <c r="D45" s="26">
        <v>10</v>
      </c>
      <c r="E45" s="19">
        <v>7.4</v>
      </c>
      <c r="F45" s="24">
        <v>52.5</v>
      </c>
      <c r="G45" s="18">
        <v>2.2400000000000002</v>
      </c>
      <c r="H45" s="18">
        <v>1.01</v>
      </c>
      <c r="I45" s="26">
        <v>81</v>
      </c>
      <c r="J45" s="118">
        <v>45388</v>
      </c>
      <c r="K45" s="66" t="s">
        <v>140</v>
      </c>
      <c r="L45" s="111"/>
      <c r="M45" s="92" t="s">
        <v>219</v>
      </c>
    </row>
    <row r="46" spans="1:13" ht="15.75" x14ac:dyDescent="0.25">
      <c r="A46" s="26">
        <v>40</v>
      </c>
      <c r="B46" s="26" t="s">
        <v>42</v>
      </c>
      <c r="C46" s="18" t="s">
        <v>68</v>
      </c>
      <c r="D46" s="26">
        <v>10</v>
      </c>
      <c r="E46" s="31">
        <v>7.6</v>
      </c>
      <c r="F46" s="19">
        <v>546</v>
      </c>
      <c r="G46" s="18">
        <v>1.83</v>
      </c>
      <c r="H46" s="18">
        <v>0.52</v>
      </c>
      <c r="I46" s="26">
        <v>91</v>
      </c>
      <c r="J46" s="118">
        <v>45572</v>
      </c>
      <c r="K46" s="66" t="s">
        <v>148</v>
      </c>
      <c r="L46" s="111"/>
      <c r="M46" s="92" t="s">
        <v>188</v>
      </c>
    </row>
    <row r="47" spans="1:13" ht="15.75" x14ac:dyDescent="0.25">
      <c r="A47" s="48">
        <v>10</v>
      </c>
      <c r="B47" s="48" t="s">
        <v>40</v>
      </c>
      <c r="C47" s="18" t="s">
        <v>93</v>
      </c>
      <c r="D47" s="48">
        <v>40</v>
      </c>
      <c r="E47" s="24">
        <v>4.0999999999999996</v>
      </c>
      <c r="F47" s="19">
        <v>2730</v>
      </c>
      <c r="G47" s="18">
        <v>2.11</v>
      </c>
      <c r="H47" s="18">
        <v>0.59</v>
      </c>
      <c r="I47" s="48">
        <v>99</v>
      </c>
      <c r="J47" s="118" t="s">
        <v>210</v>
      </c>
      <c r="K47" s="1"/>
      <c r="L47" s="66" t="s">
        <v>148</v>
      </c>
      <c r="M47" s="92" t="s">
        <v>188</v>
      </c>
    </row>
    <row r="48" spans="1:13" ht="15.75" x14ac:dyDescent="0.25">
      <c r="A48" s="48">
        <v>10</v>
      </c>
      <c r="B48" s="48" t="s">
        <v>42</v>
      </c>
      <c r="C48" s="18" t="s">
        <v>94</v>
      </c>
      <c r="D48" s="48">
        <v>40</v>
      </c>
      <c r="E48" s="19">
        <v>7</v>
      </c>
      <c r="F48" s="19">
        <v>3522</v>
      </c>
      <c r="G48" s="18">
        <v>1.8</v>
      </c>
      <c r="H48" s="18">
        <v>0.4</v>
      </c>
      <c r="I48" s="48">
        <v>117</v>
      </c>
      <c r="J48" s="118">
        <v>45634</v>
      </c>
      <c r="K48" s="66" t="s">
        <v>158</v>
      </c>
      <c r="L48" s="111"/>
      <c r="M48" s="92" t="s">
        <v>188</v>
      </c>
    </row>
    <row r="49" spans="1:13" ht="15.75" x14ac:dyDescent="0.25">
      <c r="A49" s="48">
        <v>10</v>
      </c>
      <c r="B49" s="48" t="s">
        <v>32</v>
      </c>
      <c r="C49" s="18" t="s">
        <v>95</v>
      </c>
      <c r="D49" s="48">
        <v>40</v>
      </c>
      <c r="E49" s="19">
        <v>7.8</v>
      </c>
      <c r="F49" s="19">
        <v>2082</v>
      </c>
      <c r="G49" s="18">
        <v>1.69</v>
      </c>
      <c r="H49" s="18">
        <v>0.53</v>
      </c>
      <c r="I49" s="48">
        <v>114</v>
      </c>
      <c r="J49" s="118">
        <v>45481</v>
      </c>
      <c r="K49" s="66" t="s">
        <v>162</v>
      </c>
      <c r="L49" s="111"/>
      <c r="M49" s="92" t="s">
        <v>188</v>
      </c>
    </row>
    <row r="50" spans="1:13" ht="15.75" x14ac:dyDescent="0.25">
      <c r="A50" s="21">
        <v>40</v>
      </c>
      <c r="B50" s="21" t="s">
        <v>38</v>
      </c>
      <c r="C50" s="21" t="s">
        <v>102</v>
      </c>
      <c r="D50" s="21">
        <v>10</v>
      </c>
      <c r="E50" s="19">
        <v>6.1</v>
      </c>
      <c r="F50" s="24">
        <v>342.5</v>
      </c>
      <c r="G50" s="18">
        <v>2.06</v>
      </c>
      <c r="H50" s="18">
        <v>0.95</v>
      </c>
      <c r="I50" s="21">
        <v>66</v>
      </c>
      <c r="J50" s="136">
        <v>45250</v>
      </c>
      <c r="K50" s="66" t="s">
        <v>226</v>
      </c>
      <c r="L50" s="111"/>
      <c r="M50" s="92" t="s">
        <v>188</v>
      </c>
    </row>
    <row r="51" spans="1:13" ht="15.75" x14ac:dyDescent="0.25">
      <c r="A51" s="21">
        <v>40</v>
      </c>
      <c r="B51" s="21" t="s">
        <v>42</v>
      </c>
      <c r="C51" s="26" t="s">
        <v>104</v>
      </c>
      <c r="D51" s="21">
        <v>10</v>
      </c>
      <c r="E51" s="19">
        <v>6.1</v>
      </c>
      <c r="F51" s="24">
        <v>402.59999999999997</v>
      </c>
      <c r="G51" s="18">
        <v>1.8</v>
      </c>
      <c r="H51" s="18">
        <v>0.39</v>
      </c>
      <c r="I51" s="21">
        <v>78</v>
      </c>
      <c r="J51" s="138">
        <v>45252</v>
      </c>
      <c r="K51" s="91" t="s">
        <v>144</v>
      </c>
      <c r="L51" s="111"/>
      <c r="M51" s="92" t="s">
        <v>188</v>
      </c>
    </row>
    <row r="52" spans="1:13" ht="15.75" x14ac:dyDescent="0.25">
      <c r="A52" s="22">
        <v>10</v>
      </c>
      <c r="B52" s="22" t="s">
        <v>44</v>
      </c>
      <c r="C52" s="22" t="s">
        <v>108</v>
      </c>
      <c r="D52" s="22">
        <v>10</v>
      </c>
      <c r="E52" s="59">
        <v>7.6</v>
      </c>
      <c r="F52" s="59">
        <v>1527.5</v>
      </c>
      <c r="G52" s="22">
        <v>2.16</v>
      </c>
      <c r="H52" s="22">
        <v>2.04</v>
      </c>
      <c r="I52" s="22">
        <v>63</v>
      </c>
      <c r="J52" s="142">
        <v>45245</v>
      </c>
      <c r="K52" s="66" t="s">
        <v>139</v>
      </c>
      <c r="L52" s="111"/>
      <c r="M52" s="92" t="s">
        <v>188</v>
      </c>
    </row>
    <row r="53" spans="1:13" ht="15.75" x14ac:dyDescent="0.25">
      <c r="A53" s="22">
        <v>10</v>
      </c>
      <c r="B53" s="22" t="s">
        <v>53</v>
      </c>
      <c r="C53" s="18" t="s">
        <v>112</v>
      </c>
      <c r="D53" s="22">
        <v>10</v>
      </c>
      <c r="E53" s="19">
        <v>7.3</v>
      </c>
      <c r="F53" s="19">
        <v>672</v>
      </c>
      <c r="G53" s="18">
        <v>1.8</v>
      </c>
      <c r="H53" s="18">
        <v>0.5</v>
      </c>
      <c r="I53" s="22">
        <v>97</v>
      </c>
      <c r="J53" s="124" t="s">
        <v>210</v>
      </c>
      <c r="K53" s="66" t="s">
        <v>148</v>
      </c>
      <c r="L53" s="111"/>
      <c r="M53" s="92" t="s">
        <v>188</v>
      </c>
    </row>
    <row r="54" spans="1:13" ht="15.75" x14ac:dyDescent="0.25">
      <c r="A54" s="22">
        <v>10</v>
      </c>
      <c r="B54" s="22" t="s">
        <v>21</v>
      </c>
      <c r="C54" s="18" t="s">
        <v>118</v>
      </c>
      <c r="D54" s="22">
        <v>10</v>
      </c>
      <c r="E54" s="19">
        <v>7.6</v>
      </c>
      <c r="F54" s="19">
        <v>1698</v>
      </c>
      <c r="G54" s="18">
        <v>2.0699999999999998</v>
      </c>
      <c r="H54" s="18">
        <v>0.98</v>
      </c>
      <c r="I54" s="22">
        <v>98</v>
      </c>
      <c r="J54" s="124" t="s">
        <v>210</v>
      </c>
      <c r="K54" s="66" t="s">
        <v>148</v>
      </c>
      <c r="L54" s="111"/>
      <c r="M54" s="92" t="s">
        <v>219</v>
      </c>
    </row>
  </sheetData>
  <hyperlinks>
    <hyperlink ref="J3" r:id="rId1" xr:uid="{77B32A75-46B6-43E1-BA58-1DEC4AD7BC99}"/>
    <hyperlink ref="J4" r:id="rId2" xr:uid="{8F018E6B-7D10-4F7B-A40C-88E9D6F03128}"/>
    <hyperlink ref="J5" r:id="rId3" xr:uid="{8CD0437D-CA51-485E-8A91-65B25E0E3D56}"/>
    <hyperlink ref="J6" r:id="rId4" xr:uid="{22182589-8078-413C-8C43-84AED1FD9C71}"/>
    <hyperlink ref="J7" r:id="rId5" xr:uid="{EA05D776-AFE6-463B-A275-2F499D746058}"/>
    <hyperlink ref="J8" r:id="rId6" xr:uid="{362DB642-D889-4A2A-A292-28BD80D5703F}"/>
    <hyperlink ref="J9" r:id="rId7" xr:uid="{3D27F700-B1D5-42E8-95B2-4C990EF5FEEE}"/>
    <hyperlink ref="J10" r:id="rId8" xr:uid="{0C4978C1-BEB0-4E28-8453-DE607B467CA0}"/>
    <hyperlink ref="J11" r:id="rId9" xr:uid="{07B9D4C6-90E3-43C8-9C52-195717A905CD}"/>
    <hyperlink ref="J12" r:id="rId10" xr:uid="{8C97FFA5-C751-4EF2-95FB-0F0F933E602F}"/>
    <hyperlink ref="J13" r:id="rId11" xr:uid="{3E50288E-290C-4020-BE8F-93A41A8D486F}"/>
    <hyperlink ref="J14" r:id="rId12" xr:uid="{8571371A-8D59-442F-809F-FA31FD3B7B1B}"/>
    <hyperlink ref="J15" r:id="rId13" xr:uid="{F5D460F6-F852-4BFC-B396-3EF4C18B7E8D}"/>
    <hyperlink ref="J16" r:id="rId14" xr:uid="{560E9A3D-433A-475B-9DFA-8F7A6AE64372}"/>
    <hyperlink ref="J17" r:id="rId15" xr:uid="{9C3A0E7D-8C46-477D-8A73-A8A9F9D677A2}"/>
    <hyperlink ref="J18" r:id="rId16" xr:uid="{24CC1249-6A6B-450B-A732-8F010E0ED71A}"/>
    <hyperlink ref="J19" r:id="rId17" xr:uid="{EF321B3A-CB93-4158-BA70-6D4F8F31C114}"/>
    <hyperlink ref="J20" r:id="rId18" xr:uid="{ADC0949A-11F1-4E8A-81E4-13F597D0B929}"/>
    <hyperlink ref="J21" r:id="rId19" xr:uid="{F1A4FEFE-86DE-4314-B86E-CB8CDAEE8912}"/>
    <hyperlink ref="J22" r:id="rId20" xr:uid="{E0D87A18-3004-4BEE-B6A5-460288E068B2}"/>
    <hyperlink ref="J23" r:id="rId21" xr:uid="{A66A0E57-3FF0-4EB3-92DE-127FAFF9D0E1}"/>
    <hyperlink ref="J24" r:id="rId22" xr:uid="{0A20F1CC-63AD-4118-A511-AF4E95F7D31E}"/>
    <hyperlink ref="J25" r:id="rId23" xr:uid="{DDEE6587-70B5-4B94-B81C-25D751679011}"/>
    <hyperlink ref="J26" r:id="rId24" xr:uid="{94C0B2D8-6097-4440-94F5-2BA60905824A}"/>
    <hyperlink ref="J27" r:id="rId25" xr:uid="{5378D243-CD2C-4FAF-BE41-DA12CFDD402E}"/>
    <hyperlink ref="J28" r:id="rId26" xr:uid="{39C168BA-E689-4E8B-9CA1-EA0F7F7DE0EC}"/>
    <hyperlink ref="J29" r:id="rId27" xr:uid="{9E0370AA-1FD1-498B-98CC-AC13CBC529F2}"/>
    <hyperlink ref="J30" r:id="rId28" xr:uid="{D8538341-40AE-4F12-B19E-EEBA8EF9BF41}"/>
    <hyperlink ref="J31" r:id="rId29" xr:uid="{940B5B40-134B-48F7-AC35-6B9FE14AD77B}"/>
    <hyperlink ref="K35" r:id="rId30" xr:uid="{331F80ED-A908-47DD-8B52-D01C6ADB9A1D}"/>
    <hyperlink ref="K36" r:id="rId31" xr:uid="{55766A4B-BFC6-42A2-AAEC-ED43CECCC5D2}"/>
    <hyperlink ref="K37" r:id="rId32" xr:uid="{43DA670F-0EF9-4ADB-BAF1-DF8210BBF945}"/>
    <hyperlink ref="K38" r:id="rId33" xr:uid="{550990F0-C08F-4917-90C2-A91C38FA84E0}"/>
    <hyperlink ref="K39" r:id="rId34" xr:uid="{BCF5C0B4-D288-4B83-A8FC-CE7FED3634FD}"/>
    <hyperlink ref="K40" r:id="rId35" xr:uid="{6BFC6576-F234-47AC-A038-2EF18BC33431}"/>
    <hyperlink ref="K41" r:id="rId36" xr:uid="{C6E46391-BD45-4536-AB71-E8AF1A684D6E}"/>
    <hyperlink ref="K42" r:id="rId37" xr:uid="{9D69F42F-A9AE-4FEF-A463-7BFC9A0A3F95}"/>
    <hyperlink ref="K43" r:id="rId38" xr:uid="{29B11909-DB24-4673-AAA9-BDB69BACF9FE}"/>
    <hyperlink ref="K44" r:id="rId39" xr:uid="{DFB45735-496C-4C5E-B9C6-BD6F61454425}"/>
    <hyperlink ref="K45" r:id="rId40" xr:uid="{AFDCE307-B1C0-45C5-BD32-276147EFA5BC}"/>
    <hyperlink ref="K46" r:id="rId41" xr:uid="{CDEF4920-A2A8-4FA8-9401-90326697312B}"/>
    <hyperlink ref="L47" r:id="rId42" xr:uid="{B71E663F-9ED8-4E3B-AC0B-2C4003B13C6C}"/>
    <hyperlink ref="K48" r:id="rId43" xr:uid="{9E1F89A0-6EDA-4D95-931F-15CDFBBAA59A}"/>
    <hyperlink ref="K49" r:id="rId44" xr:uid="{7E5ADDBD-28DE-489D-BA90-D3A6B1B93DF6}"/>
    <hyperlink ref="K50" r:id="rId45" xr:uid="{D1313BBF-DAD0-4C6A-9AE6-684794E4F66C}"/>
    <hyperlink ref="K51" r:id="rId46" xr:uid="{5BB0C306-5E16-4F05-BDB3-661519A1DFFA}"/>
    <hyperlink ref="K52" r:id="rId47" xr:uid="{405047EF-323C-413E-87C5-515A2D87989D}"/>
    <hyperlink ref="K53" r:id="rId48" xr:uid="{449BC283-8618-4647-B6B8-CCC5D42A0D8A}"/>
    <hyperlink ref="K54" r:id="rId49" xr:uid="{D98704D1-E195-434F-A5B9-6878E2ED6C5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2"/>
  <sheetViews>
    <sheetView workbookViewId="0">
      <selection activeCell="L16" sqref="L16"/>
    </sheetView>
  </sheetViews>
  <sheetFormatPr defaultColWidth="10.109375" defaultRowHeight="15" customHeight="1" x14ac:dyDescent="0.2"/>
  <cols>
    <col min="1" max="3" width="11" customWidth="1"/>
    <col min="4" max="4" width="11.44140625" customWidth="1"/>
    <col min="5" max="5" width="13.77734375" customWidth="1"/>
    <col min="6" max="9" width="11.44140625" customWidth="1"/>
    <col min="10" max="10" width="20" customWidth="1"/>
    <col min="11" max="24" width="10.441406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9" t="s">
        <v>120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183</v>
      </c>
      <c r="K1" s="83" t="s">
        <v>184</v>
      </c>
    </row>
    <row r="2" spans="1:12" ht="15.75" customHeight="1" x14ac:dyDescent="0.25">
      <c r="A2" s="2" t="s">
        <v>11</v>
      </c>
      <c r="B2" s="2">
        <v>10</v>
      </c>
      <c r="C2" s="2" t="s">
        <v>12</v>
      </c>
      <c r="D2" s="2">
        <v>76</v>
      </c>
      <c r="E2" s="84">
        <v>45006</v>
      </c>
      <c r="F2" s="3">
        <v>6.1</v>
      </c>
      <c r="G2" s="3">
        <f>96.8*25</f>
        <v>2420</v>
      </c>
      <c r="H2" s="2">
        <v>1.82</v>
      </c>
      <c r="I2" s="2">
        <v>0.32</v>
      </c>
      <c r="J2" s="85" t="s">
        <v>185</v>
      </c>
      <c r="K2" s="86"/>
      <c r="L2" s="87" t="s">
        <v>186</v>
      </c>
    </row>
    <row r="3" spans="1:12" ht="15.75" customHeight="1" x14ac:dyDescent="0.25">
      <c r="A3" s="2" t="s">
        <v>11</v>
      </c>
      <c r="B3" s="2">
        <v>10</v>
      </c>
      <c r="C3" s="2" t="s">
        <v>14</v>
      </c>
      <c r="D3" s="2">
        <v>11</v>
      </c>
      <c r="E3" s="84">
        <v>45224</v>
      </c>
      <c r="F3" s="3">
        <v>6.8</v>
      </c>
      <c r="G3" s="3">
        <f>41.3*25</f>
        <v>1032.5</v>
      </c>
      <c r="H3" s="2">
        <v>2.0099999999999998</v>
      </c>
      <c r="I3" s="2">
        <v>0.52</v>
      </c>
      <c r="J3" s="66" t="s">
        <v>187</v>
      </c>
      <c r="K3" s="86" t="s">
        <v>188</v>
      </c>
      <c r="L3" s="65" t="s">
        <v>189</v>
      </c>
    </row>
    <row r="4" spans="1:12" ht="15.75" customHeight="1" x14ac:dyDescent="0.25">
      <c r="A4" s="2" t="s">
        <v>11</v>
      </c>
      <c r="B4" s="2">
        <v>10</v>
      </c>
      <c r="C4" s="2" t="s">
        <v>16</v>
      </c>
      <c r="D4" s="2">
        <v>10</v>
      </c>
      <c r="E4" s="84">
        <v>45224</v>
      </c>
      <c r="F4" s="3">
        <v>6.6</v>
      </c>
      <c r="G4" s="3">
        <f>63.9*25</f>
        <v>1597.5</v>
      </c>
      <c r="H4" s="2">
        <v>1.86</v>
      </c>
      <c r="I4" s="2">
        <v>0.62</v>
      </c>
      <c r="J4" s="66" t="s">
        <v>187</v>
      </c>
      <c r="K4" s="86" t="s">
        <v>188</v>
      </c>
    </row>
    <row r="5" spans="1:12" ht="15.75" customHeight="1" x14ac:dyDescent="0.25">
      <c r="A5" s="2" t="s">
        <v>11</v>
      </c>
      <c r="B5" s="2">
        <v>10</v>
      </c>
      <c r="C5" s="2" t="s">
        <v>18</v>
      </c>
      <c r="D5" s="7" t="s">
        <v>19</v>
      </c>
      <c r="E5" s="84">
        <v>45196</v>
      </c>
      <c r="F5" s="4">
        <v>2.8</v>
      </c>
      <c r="G5" s="3">
        <f>121.4*25</f>
        <v>3035</v>
      </c>
      <c r="H5" s="2">
        <v>1.94</v>
      </c>
      <c r="I5" s="2">
        <v>0.42</v>
      </c>
      <c r="J5" s="1"/>
      <c r="K5" s="86"/>
    </row>
    <row r="6" spans="1:12" ht="15.75" customHeight="1" x14ac:dyDescent="0.2">
      <c r="A6" s="2" t="s">
        <v>11</v>
      </c>
      <c r="B6" s="2">
        <v>10</v>
      </c>
      <c r="C6" s="2" t="s">
        <v>21</v>
      </c>
      <c r="D6" s="2">
        <v>9</v>
      </c>
      <c r="E6" s="84">
        <v>45223</v>
      </c>
      <c r="F6" s="4">
        <v>3.5</v>
      </c>
      <c r="G6" s="4">
        <f>3.6*25</f>
        <v>90</v>
      </c>
      <c r="H6" s="2">
        <v>1.68</v>
      </c>
      <c r="I6" s="2">
        <v>2.0099999999999998</v>
      </c>
      <c r="J6" s="1"/>
      <c r="K6" s="86"/>
    </row>
    <row r="7" spans="1:12" ht="15.75" customHeight="1" x14ac:dyDescent="0.25">
      <c r="A7" s="8" t="s">
        <v>23</v>
      </c>
      <c r="B7" s="8">
        <v>10</v>
      </c>
      <c r="C7" s="8" t="s">
        <v>24</v>
      </c>
      <c r="D7" s="8">
        <v>48</v>
      </c>
      <c r="E7" s="88">
        <v>45244</v>
      </c>
      <c r="F7" s="9">
        <v>7</v>
      </c>
      <c r="G7" s="9">
        <f>26*25</f>
        <v>650</v>
      </c>
      <c r="H7" s="8">
        <v>1.94</v>
      </c>
      <c r="I7" s="8">
        <v>0.66</v>
      </c>
      <c r="J7" s="66" t="s">
        <v>190</v>
      </c>
      <c r="K7" s="86" t="s">
        <v>191</v>
      </c>
    </row>
    <row r="8" spans="1:12" ht="15.75" customHeight="1" x14ac:dyDescent="0.25">
      <c r="A8" s="8" t="s">
        <v>23</v>
      </c>
      <c r="B8" s="8">
        <v>10</v>
      </c>
      <c r="C8" s="8" t="s">
        <v>26</v>
      </c>
      <c r="D8" s="8">
        <v>57</v>
      </c>
      <c r="E8" s="88">
        <v>45245</v>
      </c>
      <c r="F8" s="10">
        <v>5.2</v>
      </c>
      <c r="G8" s="9">
        <f>31.9*25</f>
        <v>797.5</v>
      </c>
      <c r="H8" s="8">
        <v>1.82</v>
      </c>
      <c r="I8" s="8">
        <v>0.89</v>
      </c>
      <c r="J8" s="66" t="s">
        <v>139</v>
      </c>
      <c r="K8" s="86"/>
    </row>
    <row r="9" spans="1:12" ht="15.75" customHeight="1" x14ac:dyDescent="0.25">
      <c r="A9" s="8" t="s">
        <v>23</v>
      </c>
      <c r="B9" s="8">
        <v>10</v>
      </c>
      <c r="C9" s="8" t="s">
        <v>28</v>
      </c>
      <c r="D9" s="8">
        <v>52</v>
      </c>
      <c r="E9" s="88">
        <v>45244</v>
      </c>
      <c r="F9" s="9">
        <v>7.6</v>
      </c>
      <c r="G9" s="9">
        <f>40.7*25</f>
        <v>1017.5000000000001</v>
      </c>
      <c r="H9" s="8">
        <v>1.56</v>
      </c>
      <c r="I9" s="8">
        <v>0.63</v>
      </c>
      <c r="J9" s="66" t="s">
        <v>190</v>
      </c>
      <c r="K9" s="86" t="s">
        <v>188</v>
      </c>
    </row>
    <row r="10" spans="1:12" ht="15.75" customHeight="1" x14ac:dyDescent="0.25">
      <c r="A10" s="8" t="s">
        <v>23</v>
      </c>
      <c r="B10" s="8">
        <v>10</v>
      </c>
      <c r="C10" s="8" t="s">
        <v>30</v>
      </c>
      <c r="D10" s="8">
        <v>28</v>
      </c>
      <c r="E10" s="88">
        <v>45236</v>
      </c>
      <c r="F10" s="9">
        <v>8.3000000000000007</v>
      </c>
      <c r="G10" s="9">
        <f>31.8*25</f>
        <v>795</v>
      </c>
      <c r="H10" s="8">
        <v>2.11</v>
      </c>
      <c r="I10" s="8">
        <v>1.22</v>
      </c>
      <c r="J10" s="66" t="s">
        <v>128</v>
      </c>
      <c r="K10" s="86" t="s">
        <v>188</v>
      </c>
    </row>
    <row r="11" spans="1:12" ht="15.75" customHeight="1" x14ac:dyDescent="0.25">
      <c r="A11" s="8" t="s">
        <v>23</v>
      </c>
      <c r="B11" s="8">
        <v>10</v>
      </c>
      <c r="C11" s="8" t="s">
        <v>32</v>
      </c>
      <c r="D11" s="8">
        <v>36</v>
      </c>
      <c r="E11" s="88">
        <v>45238</v>
      </c>
      <c r="F11" s="9">
        <v>6.1</v>
      </c>
      <c r="G11" s="9">
        <f>50.4*25</f>
        <v>1260</v>
      </c>
      <c r="H11" s="8">
        <v>1.83</v>
      </c>
      <c r="I11" s="8">
        <v>0.65</v>
      </c>
      <c r="J11" s="66" t="s">
        <v>192</v>
      </c>
      <c r="K11" s="86" t="s">
        <v>193</v>
      </c>
    </row>
    <row r="12" spans="1:12" ht="15.75" customHeight="1" x14ac:dyDescent="0.25">
      <c r="A12" s="2" t="s">
        <v>23</v>
      </c>
      <c r="B12" s="2">
        <v>10</v>
      </c>
      <c r="C12" s="2" t="s">
        <v>34</v>
      </c>
      <c r="D12" s="2">
        <v>32</v>
      </c>
      <c r="E12" s="84">
        <v>45238</v>
      </c>
      <c r="F12" s="3">
        <v>7.8</v>
      </c>
      <c r="G12" s="3">
        <f>35.3*25</f>
        <v>882.49999999999989</v>
      </c>
      <c r="H12" s="2">
        <v>1.89</v>
      </c>
      <c r="I12" s="2">
        <v>0.65</v>
      </c>
      <c r="J12" s="66" t="s">
        <v>192</v>
      </c>
      <c r="K12" s="86" t="s">
        <v>191</v>
      </c>
    </row>
    <row r="13" spans="1:12" ht="15.75" customHeight="1" x14ac:dyDescent="0.25">
      <c r="A13" s="2" t="s">
        <v>23</v>
      </c>
      <c r="B13" s="2">
        <v>10</v>
      </c>
      <c r="C13" s="2" t="s">
        <v>36</v>
      </c>
      <c r="D13" s="2">
        <v>40</v>
      </c>
      <c r="E13" s="84">
        <v>45243</v>
      </c>
      <c r="F13" s="4">
        <v>5.8</v>
      </c>
      <c r="G13" s="3">
        <f>26.2*25</f>
        <v>655</v>
      </c>
      <c r="H13" s="2">
        <v>1.75</v>
      </c>
      <c r="I13" s="2">
        <v>0.52</v>
      </c>
      <c r="J13" s="66" t="s">
        <v>157</v>
      </c>
      <c r="K13" s="86"/>
    </row>
    <row r="14" spans="1:12" ht="15.75" customHeight="1" x14ac:dyDescent="0.2">
      <c r="A14" s="2" t="s">
        <v>23</v>
      </c>
      <c r="B14" s="2">
        <v>10</v>
      </c>
      <c r="C14" s="2" t="s">
        <v>38</v>
      </c>
      <c r="D14" s="2">
        <v>44</v>
      </c>
      <c r="E14" s="84">
        <v>45243</v>
      </c>
      <c r="F14" s="4">
        <v>3.5</v>
      </c>
      <c r="G14" s="4">
        <f>12.5*25</f>
        <v>312.5</v>
      </c>
      <c r="H14" s="2">
        <v>1.68</v>
      </c>
      <c r="I14" s="2">
        <v>0.43</v>
      </c>
      <c r="J14" s="1"/>
      <c r="K14" s="86"/>
    </row>
    <row r="15" spans="1:12" ht="15.75" customHeight="1" x14ac:dyDescent="0.25">
      <c r="A15" s="2" t="s">
        <v>23</v>
      </c>
      <c r="B15" s="2">
        <v>10</v>
      </c>
      <c r="C15" s="2" t="s">
        <v>40</v>
      </c>
      <c r="D15" s="2">
        <v>56</v>
      </c>
      <c r="E15" s="84">
        <v>45245</v>
      </c>
      <c r="F15" s="3">
        <v>6</v>
      </c>
      <c r="G15" s="3">
        <f>29.2*25</f>
        <v>730</v>
      </c>
      <c r="H15" s="2">
        <v>1.68</v>
      </c>
      <c r="I15" s="2">
        <v>0.68</v>
      </c>
      <c r="J15" s="66" t="s">
        <v>139</v>
      </c>
      <c r="K15" s="86"/>
    </row>
    <row r="16" spans="1:12" ht="15.75" customHeight="1" x14ac:dyDescent="0.2">
      <c r="A16" s="2" t="s">
        <v>23</v>
      </c>
      <c r="B16" s="2">
        <v>10</v>
      </c>
      <c r="C16" s="2" t="s">
        <v>42</v>
      </c>
      <c r="D16" s="2">
        <v>24</v>
      </c>
      <c r="E16" s="84">
        <v>45236</v>
      </c>
      <c r="F16" s="4">
        <v>1.9</v>
      </c>
      <c r="G16" s="4">
        <f>17*25</f>
        <v>425</v>
      </c>
      <c r="H16" s="2">
        <v>1.81</v>
      </c>
      <c r="I16" s="2">
        <v>0.5</v>
      </c>
      <c r="J16" s="1"/>
      <c r="K16" s="86"/>
    </row>
    <row r="17" spans="1:11" ht="15.75" customHeight="1" x14ac:dyDescent="0.25">
      <c r="A17" s="8" t="s">
        <v>11</v>
      </c>
      <c r="B17" s="8">
        <v>10</v>
      </c>
      <c r="C17" s="8" t="s">
        <v>44</v>
      </c>
      <c r="D17" s="14" t="s">
        <v>45</v>
      </c>
      <c r="E17" s="88">
        <v>45196</v>
      </c>
      <c r="F17" s="10">
        <v>2.2999999999999998</v>
      </c>
      <c r="G17" s="9">
        <f>154*25</f>
        <v>3850</v>
      </c>
      <c r="H17" s="8">
        <v>1.93</v>
      </c>
      <c r="I17" s="8">
        <v>0.42</v>
      </c>
      <c r="J17" s="1"/>
      <c r="K17" s="86"/>
    </row>
    <row r="18" spans="1:11" ht="15.75" customHeight="1" x14ac:dyDescent="0.2">
      <c r="A18" s="8" t="s">
        <v>11</v>
      </c>
      <c r="B18" s="8">
        <v>10</v>
      </c>
      <c r="C18" s="8" t="s">
        <v>47</v>
      </c>
      <c r="D18" s="8">
        <v>1</v>
      </c>
      <c r="E18" s="88">
        <v>45223</v>
      </c>
      <c r="F18" s="10">
        <v>3.3</v>
      </c>
      <c r="G18" s="10">
        <f>9.8*25</f>
        <v>245.00000000000003</v>
      </c>
      <c r="H18" s="8">
        <v>1.97</v>
      </c>
      <c r="I18" s="8">
        <v>0.78</v>
      </c>
      <c r="J18" s="1"/>
      <c r="K18" s="86"/>
    </row>
    <row r="19" spans="1:11" ht="15.75" customHeight="1" x14ac:dyDescent="0.25">
      <c r="A19" s="8" t="s">
        <v>11</v>
      </c>
      <c r="B19" s="8">
        <v>10</v>
      </c>
      <c r="C19" s="8" t="s">
        <v>49</v>
      </c>
      <c r="D19" s="8">
        <v>19</v>
      </c>
      <c r="E19" s="88">
        <v>45229</v>
      </c>
      <c r="F19" s="10">
        <v>3.6</v>
      </c>
      <c r="G19" s="9">
        <f>101.5*25</f>
        <v>2537.5</v>
      </c>
      <c r="H19" s="8">
        <v>1.81</v>
      </c>
      <c r="I19" s="8">
        <v>0.62</v>
      </c>
      <c r="J19" s="1"/>
      <c r="K19" s="86"/>
    </row>
    <row r="20" spans="1:11" ht="15.75" customHeight="1" x14ac:dyDescent="0.25">
      <c r="A20" s="8" t="s">
        <v>11</v>
      </c>
      <c r="B20" s="8">
        <v>10</v>
      </c>
      <c r="C20" s="8" t="s">
        <v>51</v>
      </c>
      <c r="D20" s="8">
        <v>68</v>
      </c>
      <c r="E20" s="88">
        <v>45188</v>
      </c>
      <c r="F20" s="10">
        <v>5.4</v>
      </c>
      <c r="G20" s="9">
        <f>175*25</f>
        <v>4375</v>
      </c>
      <c r="H20" s="8">
        <v>1.96</v>
      </c>
      <c r="I20" s="8">
        <v>0.85</v>
      </c>
      <c r="J20" s="66" t="s">
        <v>194</v>
      </c>
      <c r="K20" s="86"/>
    </row>
    <row r="21" spans="1:11" ht="15.75" customHeight="1" x14ac:dyDescent="0.25">
      <c r="A21" s="8" t="s">
        <v>11</v>
      </c>
      <c r="B21" s="8">
        <v>10</v>
      </c>
      <c r="C21" s="8" t="s">
        <v>53</v>
      </c>
      <c r="D21" s="8">
        <v>18</v>
      </c>
      <c r="E21" s="88">
        <v>45229</v>
      </c>
      <c r="F21" s="10">
        <v>2.9</v>
      </c>
      <c r="G21" s="9">
        <f>67*25</f>
        <v>1675</v>
      </c>
      <c r="H21" s="8">
        <v>1.63</v>
      </c>
      <c r="I21" s="8">
        <v>0.51</v>
      </c>
      <c r="J21" s="1"/>
      <c r="K21" s="86"/>
    </row>
    <row r="22" spans="1:11" ht="15.75" customHeight="1" x14ac:dyDescent="0.25">
      <c r="A22" s="16" t="s">
        <v>55</v>
      </c>
      <c r="B22" s="16">
        <v>40</v>
      </c>
      <c r="C22" s="16" t="s">
        <v>12</v>
      </c>
      <c r="D22" s="16">
        <v>12</v>
      </c>
      <c r="E22" s="89">
        <v>45224</v>
      </c>
      <c r="F22" s="17">
        <v>7</v>
      </c>
      <c r="G22" s="17">
        <f>42.3*25</f>
        <v>1057.5</v>
      </c>
      <c r="H22" s="16">
        <v>1.58</v>
      </c>
      <c r="I22" s="16">
        <v>0.61</v>
      </c>
      <c r="J22" s="66" t="s">
        <v>187</v>
      </c>
      <c r="K22" s="86"/>
    </row>
    <row r="23" spans="1:11" ht="15.75" customHeight="1" x14ac:dyDescent="0.25">
      <c r="A23" s="16" t="s">
        <v>55</v>
      </c>
      <c r="B23" s="16">
        <v>40</v>
      </c>
      <c r="C23" s="16" t="s">
        <v>14</v>
      </c>
      <c r="D23" s="16">
        <v>3</v>
      </c>
      <c r="E23" s="89">
        <v>45223</v>
      </c>
      <c r="F23" s="17">
        <v>7.6</v>
      </c>
      <c r="G23" s="17">
        <f>23.5*25</f>
        <v>587.5</v>
      </c>
      <c r="H23" s="16">
        <v>2.08</v>
      </c>
      <c r="I23" s="16">
        <v>1.34</v>
      </c>
      <c r="J23" s="66" t="s">
        <v>124</v>
      </c>
      <c r="K23" s="86"/>
    </row>
    <row r="24" spans="1:11" ht="15.75" customHeight="1" x14ac:dyDescent="0.25">
      <c r="A24" s="16" t="s">
        <v>55</v>
      </c>
      <c r="B24" s="16">
        <v>40</v>
      </c>
      <c r="C24" s="16" t="s">
        <v>16</v>
      </c>
      <c r="D24" s="16">
        <v>21</v>
      </c>
      <c r="E24" s="89">
        <v>45229</v>
      </c>
      <c r="F24" s="17">
        <v>6.8</v>
      </c>
      <c r="G24" s="17">
        <f>39.2*25</f>
        <v>980.00000000000011</v>
      </c>
      <c r="H24" s="16">
        <v>1.87</v>
      </c>
      <c r="I24" s="16">
        <v>0.51</v>
      </c>
      <c r="J24" s="66" t="s">
        <v>134</v>
      </c>
      <c r="K24" s="86"/>
    </row>
    <row r="25" spans="1:11" ht="15.75" customHeight="1" x14ac:dyDescent="0.2">
      <c r="A25" s="16" t="s">
        <v>55</v>
      </c>
      <c r="B25" s="16">
        <v>40</v>
      </c>
      <c r="C25" s="16" t="s">
        <v>18</v>
      </c>
      <c r="D25" s="16">
        <v>77</v>
      </c>
      <c r="E25" s="89">
        <v>45014</v>
      </c>
      <c r="F25" s="23">
        <v>5.8</v>
      </c>
      <c r="G25" s="23">
        <f>9.9*25</f>
        <v>247.5</v>
      </c>
      <c r="H25" s="16">
        <v>1.75</v>
      </c>
      <c r="I25" s="16">
        <v>0.42</v>
      </c>
      <c r="J25" s="1"/>
      <c r="K25" s="86"/>
    </row>
    <row r="26" spans="1:11" ht="15.75" customHeight="1" x14ac:dyDescent="0.25">
      <c r="A26" s="16" t="s">
        <v>55</v>
      </c>
      <c r="B26" s="16">
        <v>40</v>
      </c>
      <c r="C26" s="16" t="s">
        <v>21</v>
      </c>
      <c r="D26" s="16">
        <v>2</v>
      </c>
      <c r="E26" s="89">
        <v>45223</v>
      </c>
      <c r="F26" s="23">
        <v>5.6</v>
      </c>
      <c r="G26" s="17">
        <f>19.1*25</f>
        <v>477.50000000000006</v>
      </c>
      <c r="H26" s="16">
        <v>1.99</v>
      </c>
      <c r="I26" s="16">
        <v>0.67</v>
      </c>
      <c r="J26" s="66" t="s">
        <v>124</v>
      </c>
      <c r="K26" s="86"/>
    </row>
    <row r="27" spans="1:11" ht="15.75" customHeight="1" x14ac:dyDescent="0.25">
      <c r="A27" s="26" t="s">
        <v>23</v>
      </c>
      <c r="B27" s="26">
        <v>40</v>
      </c>
      <c r="C27" s="26" t="s">
        <v>34</v>
      </c>
      <c r="D27" s="26">
        <v>49</v>
      </c>
      <c r="E27" s="90">
        <v>45244</v>
      </c>
      <c r="F27" s="27">
        <v>8.3000000000000007</v>
      </c>
      <c r="G27" s="27">
        <f>25*25</f>
        <v>625</v>
      </c>
      <c r="H27" s="26">
        <v>2</v>
      </c>
      <c r="I27" s="26">
        <v>0.86</v>
      </c>
      <c r="J27" s="66" t="s">
        <v>190</v>
      </c>
      <c r="K27" s="86" t="s">
        <v>191</v>
      </c>
    </row>
    <row r="28" spans="1:11" ht="15.75" customHeight="1" x14ac:dyDescent="0.25">
      <c r="A28" s="26" t="s">
        <v>23</v>
      </c>
      <c r="B28" s="26">
        <v>40</v>
      </c>
      <c r="C28" s="26" t="s">
        <v>36</v>
      </c>
      <c r="D28" s="26">
        <v>25</v>
      </c>
      <c r="E28" s="90">
        <v>45236</v>
      </c>
      <c r="F28" s="27">
        <v>8.1999999999999993</v>
      </c>
      <c r="G28" s="27">
        <f>51.8*25</f>
        <v>1295</v>
      </c>
      <c r="H28" s="26">
        <v>2.14</v>
      </c>
      <c r="I28" s="26">
        <v>1.58</v>
      </c>
      <c r="J28" s="66" t="s">
        <v>128</v>
      </c>
      <c r="K28" s="86" t="s">
        <v>191</v>
      </c>
    </row>
    <row r="29" spans="1:11" ht="15.75" customHeight="1" x14ac:dyDescent="0.25">
      <c r="A29" s="26" t="s">
        <v>23</v>
      </c>
      <c r="B29" s="26">
        <v>40</v>
      </c>
      <c r="C29" s="26" t="s">
        <v>38</v>
      </c>
      <c r="D29" s="26">
        <v>59</v>
      </c>
      <c r="E29" s="90">
        <v>45245</v>
      </c>
      <c r="F29" s="27">
        <v>7.4</v>
      </c>
      <c r="G29" s="27">
        <f>23.4*25</f>
        <v>585</v>
      </c>
      <c r="H29" s="26">
        <v>1.92</v>
      </c>
      <c r="I29" s="26">
        <v>0.86</v>
      </c>
      <c r="J29" s="66" t="s">
        <v>139</v>
      </c>
      <c r="K29" s="86" t="s">
        <v>191</v>
      </c>
    </row>
    <row r="30" spans="1:11" ht="15.75" customHeight="1" x14ac:dyDescent="0.2">
      <c r="A30" s="26" t="s">
        <v>23</v>
      </c>
      <c r="B30" s="26">
        <v>40</v>
      </c>
      <c r="C30" s="26" t="s">
        <v>40</v>
      </c>
      <c r="D30" s="26">
        <v>60</v>
      </c>
      <c r="E30" s="90">
        <v>45245</v>
      </c>
      <c r="F30" s="30">
        <v>3.2</v>
      </c>
      <c r="G30" s="30">
        <f>17.7*25</f>
        <v>442.5</v>
      </c>
      <c r="H30" s="26">
        <v>1.84</v>
      </c>
      <c r="I30" s="26">
        <v>0.76</v>
      </c>
      <c r="J30" s="1"/>
      <c r="K30" s="86"/>
    </row>
    <row r="31" spans="1:11" ht="15.75" customHeight="1" x14ac:dyDescent="0.25">
      <c r="A31" s="26" t="s">
        <v>23</v>
      </c>
      <c r="B31" s="26">
        <v>40</v>
      </c>
      <c r="C31" s="26" t="s">
        <v>42</v>
      </c>
      <c r="D31" s="26">
        <v>45</v>
      </c>
      <c r="E31" s="90">
        <v>45243</v>
      </c>
      <c r="F31" s="27">
        <v>6.3</v>
      </c>
      <c r="G31" s="30">
        <f>18.5*25</f>
        <v>462.5</v>
      </c>
      <c r="H31" s="26">
        <v>1.76</v>
      </c>
      <c r="I31" s="26">
        <v>0.51</v>
      </c>
      <c r="J31" s="91" t="s">
        <v>147</v>
      </c>
      <c r="K31" s="92" t="s">
        <v>193</v>
      </c>
    </row>
    <row r="32" spans="1:11" ht="15.75" customHeight="1" x14ac:dyDescent="0.2">
      <c r="A32" s="16" t="s">
        <v>55</v>
      </c>
      <c r="B32" s="16">
        <v>40</v>
      </c>
      <c r="C32" s="16" t="s">
        <v>44</v>
      </c>
      <c r="D32" s="16">
        <v>13</v>
      </c>
      <c r="E32" s="89">
        <v>45224</v>
      </c>
      <c r="F32" s="23">
        <v>1.4</v>
      </c>
      <c r="G32" s="23">
        <f>7*25</f>
        <v>175</v>
      </c>
      <c r="H32" s="16">
        <v>1.58</v>
      </c>
      <c r="I32" s="16">
        <v>0.65</v>
      </c>
      <c r="J32" s="1"/>
      <c r="K32" s="86"/>
    </row>
    <row r="33" spans="1:12" ht="15.75" customHeight="1" x14ac:dyDescent="0.25">
      <c r="A33" s="16" t="s">
        <v>55</v>
      </c>
      <c r="B33" s="16">
        <v>40</v>
      </c>
      <c r="C33" s="16" t="s">
        <v>47</v>
      </c>
      <c r="D33" s="16">
        <v>73</v>
      </c>
      <c r="E33" s="89">
        <v>44998</v>
      </c>
      <c r="F33" s="23">
        <v>4</v>
      </c>
      <c r="G33" s="17">
        <f>294.8*25</f>
        <v>7370</v>
      </c>
      <c r="H33" s="16">
        <v>1.84</v>
      </c>
      <c r="I33" s="16">
        <v>0.42</v>
      </c>
      <c r="J33" s="1"/>
      <c r="K33" s="86"/>
    </row>
    <row r="34" spans="1:12" ht="15.75" customHeight="1" x14ac:dyDescent="0.25">
      <c r="A34" s="16" t="s">
        <v>55</v>
      </c>
      <c r="B34" s="16">
        <v>40</v>
      </c>
      <c r="C34" s="16" t="s">
        <v>49</v>
      </c>
      <c r="D34" s="16">
        <v>70</v>
      </c>
      <c r="E34" s="89">
        <v>45011</v>
      </c>
      <c r="F34" s="23">
        <v>2.9</v>
      </c>
      <c r="G34" s="17">
        <f>242.9*25</f>
        <v>6072.5</v>
      </c>
      <c r="H34" s="16">
        <v>1.89</v>
      </c>
      <c r="I34" s="16">
        <v>0.4</v>
      </c>
      <c r="J34" s="1"/>
      <c r="K34" s="86"/>
    </row>
    <row r="35" spans="1:12" ht="15.75" customHeight="1" x14ac:dyDescent="0.2">
      <c r="A35" s="16" t="s">
        <v>55</v>
      </c>
      <c r="B35" s="16">
        <v>40</v>
      </c>
      <c r="C35" s="16" t="s">
        <v>51</v>
      </c>
      <c r="D35" s="16">
        <v>7</v>
      </c>
      <c r="E35" s="89">
        <v>45223</v>
      </c>
      <c r="F35" s="23">
        <v>3.7</v>
      </c>
      <c r="G35" s="23">
        <f>12.5*25</f>
        <v>312.5</v>
      </c>
      <c r="H35" s="16">
        <v>1.96</v>
      </c>
      <c r="I35" s="16">
        <v>0.74</v>
      </c>
      <c r="J35" s="1"/>
      <c r="K35" s="86"/>
    </row>
    <row r="36" spans="1:12" ht="15.75" customHeight="1" x14ac:dyDescent="0.25">
      <c r="A36" s="16" t="s">
        <v>55</v>
      </c>
      <c r="B36" s="16">
        <v>40</v>
      </c>
      <c r="C36" s="16" t="s">
        <v>53</v>
      </c>
      <c r="D36" s="16">
        <v>20</v>
      </c>
      <c r="E36" s="89">
        <v>45229</v>
      </c>
      <c r="F36" s="17">
        <v>7.5</v>
      </c>
      <c r="G36" s="17">
        <f>78.4*25</f>
        <v>1960.0000000000002</v>
      </c>
      <c r="H36" s="16">
        <v>1.9</v>
      </c>
      <c r="I36" s="16">
        <v>0.62</v>
      </c>
      <c r="J36" s="66" t="s">
        <v>134</v>
      </c>
      <c r="K36" s="86" t="s">
        <v>191</v>
      </c>
    </row>
    <row r="37" spans="1:12" ht="15.75" customHeight="1" x14ac:dyDescent="0.25">
      <c r="A37" s="26" t="s">
        <v>23</v>
      </c>
      <c r="B37" s="26">
        <v>40</v>
      </c>
      <c r="C37" s="26" t="s">
        <v>24</v>
      </c>
      <c r="D37" s="26">
        <v>29</v>
      </c>
      <c r="E37" s="90">
        <v>45236</v>
      </c>
      <c r="F37" s="30">
        <v>3.8</v>
      </c>
      <c r="G37" s="27">
        <f>29.4*25</f>
        <v>735</v>
      </c>
      <c r="H37" s="26">
        <v>1.83</v>
      </c>
      <c r="I37" s="26">
        <v>0.44</v>
      </c>
      <c r="J37" s="1"/>
      <c r="K37" s="86"/>
    </row>
    <row r="38" spans="1:12" ht="15.75" customHeight="1" x14ac:dyDescent="0.2">
      <c r="A38" s="26" t="s">
        <v>23</v>
      </c>
      <c r="B38" s="26">
        <v>40</v>
      </c>
      <c r="C38" s="26" t="s">
        <v>26</v>
      </c>
      <c r="D38" s="26">
        <v>53</v>
      </c>
      <c r="E38" s="90">
        <v>45244</v>
      </c>
      <c r="F38" s="30"/>
      <c r="G38" s="30">
        <f>14.3*25</f>
        <v>357.5</v>
      </c>
      <c r="H38" s="26">
        <v>0.81</v>
      </c>
      <c r="I38" s="26"/>
      <c r="J38" s="1" t="s">
        <v>195</v>
      </c>
      <c r="K38" s="86"/>
    </row>
    <row r="39" spans="1:12" ht="15.75" customHeight="1" x14ac:dyDescent="0.25">
      <c r="A39" s="26" t="s">
        <v>23</v>
      </c>
      <c r="B39" s="26">
        <v>40</v>
      </c>
      <c r="C39" s="26" t="s">
        <v>28</v>
      </c>
      <c r="D39" s="26">
        <v>37</v>
      </c>
      <c r="E39" s="90">
        <v>45238</v>
      </c>
      <c r="F39" s="27">
        <v>8.3000000000000007</v>
      </c>
      <c r="G39" s="27">
        <f>24*25</f>
        <v>600</v>
      </c>
      <c r="H39" s="26">
        <v>1.98</v>
      </c>
      <c r="I39" s="26">
        <v>1.04</v>
      </c>
      <c r="J39" s="66" t="s">
        <v>192</v>
      </c>
      <c r="K39" s="86" t="s">
        <v>191</v>
      </c>
    </row>
    <row r="40" spans="1:12" ht="15.75" customHeight="1" x14ac:dyDescent="0.2">
      <c r="A40" s="93" t="s">
        <v>23</v>
      </c>
      <c r="B40" s="93">
        <v>40</v>
      </c>
      <c r="C40" s="93" t="s">
        <v>30</v>
      </c>
      <c r="D40" s="93">
        <v>41</v>
      </c>
      <c r="E40" s="94">
        <v>45243</v>
      </c>
      <c r="F40" s="95">
        <v>0</v>
      </c>
      <c r="G40" s="95">
        <f>6*25</f>
        <v>150</v>
      </c>
      <c r="H40" s="93">
        <v>1.48</v>
      </c>
      <c r="I40" s="93">
        <v>0.32</v>
      </c>
      <c r="J40" s="96"/>
      <c r="K40" s="86"/>
    </row>
    <row r="41" spans="1:12" ht="15.75" customHeight="1" x14ac:dyDescent="0.25">
      <c r="A41" s="26" t="s">
        <v>23</v>
      </c>
      <c r="B41" s="26">
        <v>40</v>
      </c>
      <c r="C41" s="26" t="s">
        <v>32</v>
      </c>
      <c r="D41" s="26">
        <v>33</v>
      </c>
      <c r="E41" s="97">
        <v>45238</v>
      </c>
      <c r="F41" s="27">
        <v>6.5</v>
      </c>
      <c r="G41" s="27">
        <f>83.2*25</f>
        <v>2080</v>
      </c>
      <c r="H41" s="26">
        <v>1.71</v>
      </c>
      <c r="I41" s="26">
        <v>0.87</v>
      </c>
      <c r="J41" s="66" t="s">
        <v>192</v>
      </c>
      <c r="K41" s="86" t="s">
        <v>191</v>
      </c>
    </row>
    <row r="42" spans="1:12" ht="15.75" customHeight="1" x14ac:dyDescent="0.25">
      <c r="A42" s="29"/>
      <c r="B42" s="29"/>
      <c r="C42" s="29"/>
      <c r="D42" s="29"/>
      <c r="E42" s="98"/>
      <c r="F42" s="71"/>
      <c r="G42" s="71"/>
      <c r="H42" s="29"/>
      <c r="I42" s="29"/>
      <c r="J42" s="72"/>
      <c r="K42" s="86"/>
    </row>
    <row r="43" spans="1:12" ht="15.75" customHeight="1" x14ac:dyDescent="0.25">
      <c r="A43" s="29"/>
      <c r="B43" s="29"/>
      <c r="C43" s="29"/>
      <c r="D43" s="29"/>
      <c r="E43" s="98"/>
      <c r="F43" s="71"/>
      <c r="G43" s="71"/>
      <c r="H43" s="29"/>
      <c r="I43" s="29"/>
      <c r="J43" s="72"/>
      <c r="K43" s="86"/>
    </row>
    <row r="44" spans="1:12" ht="15.75" customHeight="1" x14ac:dyDescent="0.2">
      <c r="A44" s="1" t="s">
        <v>0</v>
      </c>
      <c r="B44" s="1" t="s">
        <v>1</v>
      </c>
      <c r="C44" s="1" t="s">
        <v>2</v>
      </c>
      <c r="D44" s="1" t="s">
        <v>3</v>
      </c>
      <c r="E44" s="1" t="s">
        <v>120</v>
      </c>
      <c r="F44" s="1" t="s">
        <v>4</v>
      </c>
      <c r="G44" s="1" t="s">
        <v>5</v>
      </c>
      <c r="H44" s="1" t="s">
        <v>6</v>
      </c>
      <c r="I44" s="1" t="s">
        <v>7</v>
      </c>
      <c r="J44" s="1" t="s">
        <v>183</v>
      </c>
      <c r="K44" s="86"/>
    </row>
    <row r="45" spans="1:12" ht="15.75" customHeight="1" x14ac:dyDescent="0.25">
      <c r="A45" s="99" t="s">
        <v>81</v>
      </c>
      <c r="B45" s="99">
        <v>40</v>
      </c>
      <c r="C45" s="99" t="s">
        <v>12</v>
      </c>
      <c r="D45" s="99">
        <v>85</v>
      </c>
      <c r="E45" s="100">
        <v>45056</v>
      </c>
      <c r="F45" s="101">
        <v>8.8000000000000007</v>
      </c>
      <c r="G45" s="102">
        <f>13.8*25</f>
        <v>345</v>
      </c>
      <c r="H45" s="99">
        <v>1.9</v>
      </c>
      <c r="I45" s="99">
        <v>0.7</v>
      </c>
      <c r="J45" s="103" t="s">
        <v>196</v>
      </c>
      <c r="K45" s="86"/>
      <c r="L45" s="65" t="s">
        <v>197</v>
      </c>
    </row>
    <row r="46" spans="1:12" ht="15.75" customHeight="1" x14ac:dyDescent="0.25">
      <c r="A46" s="39" t="s">
        <v>81</v>
      </c>
      <c r="B46" s="39">
        <v>40</v>
      </c>
      <c r="C46" s="39" t="s">
        <v>14</v>
      </c>
      <c r="D46" s="39">
        <v>5</v>
      </c>
      <c r="E46" s="104">
        <v>45223</v>
      </c>
      <c r="F46" s="41">
        <v>0</v>
      </c>
      <c r="G46" s="40">
        <f>91.6*25</f>
        <v>2290</v>
      </c>
      <c r="H46" s="39">
        <v>2.1</v>
      </c>
      <c r="I46" s="39">
        <v>1.59</v>
      </c>
      <c r="J46" s="1"/>
      <c r="K46" s="86"/>
      <c r="L46" s="65" t="s">
        <v>198</v>
      </c>
    </row>
    <row r="47" spans="1:12" ht="15.75" customHeight="1" x14ac:dyDescent="0.25">
      <c r="A47" s="39" t="s">
        <v>81</v>
      </c>
      <c r="B47" s="39">
        <v>40</v>
      </c>
      <c r="C47" s="39" t="s">
        <v>16</v>
      </c>
      <c r="D47" s="39">
        <v>16</v>
      </c>
      <c r="E47" s="104">
        <v>45224</v>
      </c>
      <c r="F47" s="40">
        <v>6.9</v>
      </c>
      <c r="G47" s="41">
        <f>11.3*25</f>
        <v>282.5</v>
      </c>
      <c r="H47" s="39">
        <v>1.78</v>
      </c>
      <c r="I47" s="39">
        <v>0.62</v>
      </c>
      <c r="J47" s="66" t="s">
        <v>187</v>
      </c>
      <c r="K47" s="86" t="s">
        <v>188</v>
      </c>
    </row>
    <row r="48" spans="1:12" ht="15.75" customHeight="1" x14ac:dyDescent="0.25">
      <c r="A48" s="39" t="s">
        <v>81</v>
      </c>
      <c r="B48" s="39">
        <v>40</v>
      </c>
      <c r="C48" s="39" t="s">
        <v>18</v>
      </c>
      <c r="D48" s="39">
        <v>6</v>
      </c>
      <c r="E48" s="104">
        <v>45223</v>
      </c>
      <c r="F48" s="40">
        <v>7</v>
      </c>
      <c r="G48" s="40">
        <f>25.7*25</f>
        <v>642.5</v>
      </c>
      <c r="H48" s="39">
        <v>2.0099999999999998</v>
      </c>
      <c r="I48" s="39">
        <v>0.63</v>
      </c>
      <c r="J48" s="66" t="s">
        <v>199</v>
      </c>
      <c r="K48" s="86" t="s">
        <v>188</v>
      </c>
    </row>
    <row r="49" spans="1:11" ht="15.75" customHeight="1" x14ac:dyDescent="0.25">
      <c r="A49" s="39" t="s">
        <v>81</v>
      </c>
      <c r="B49" s="39">
        <v>40</v>
      </c>
      <c r="C49" s="39" t="s">
        <v>21</v>
      </c>
      <c r="D49" s="39">
        <v>72</v>
      </c>
      <c r="E49" s="104">
        <v>44998</v>
      </c>
      <c r="F49" s="41">
        <v>4.5</v>
      </c>
      <c r="G49" s="40">
        <f>90.7*25</f>
        <v>2267.5</v>
      </c>
      <c r="H49" s="39">
        <v>1.85</v>
      </c>
      <c r="I49" s="39">
        <v>0.56999999999999995</v>
      </c>
      <c r="J49" s="1"/>
      <c r="K49" s="86"/>
    </row>
    <row r="50" spans="1:11" ht="15.75" customHeight="1" x14ac:dyDescent="0.25">
      <c r="A50" s="39" t="s">
        <v>81</v>
      </c>
      <c r="B50" s="39">
        <v>40</v>
      </c>
      <c r="C50" s="39" t="s">
        <v>44</v>
      </c>
      <c r="D50" s="39">
        <v>77</v>
      </c>
      <c r="E50" s="104">
        <v>45061</v>
      </c>
      <c r="F50" s="41">
        <v>2.9</v>
      </c>
      <c r="G50" s="40">
        <f>349.8*25</f>
        <v>8745</v>
      </c>
      <c r="H50" s="39">
        <v>1.82</v>
      </c>
      <c r="I50" s="39">
        <v>0.62</v>
      </c>
      <c r="J50" s="1" t="s">
        <v>200</v>
      </c>
      <c r="K50" s="86"/>
    </row>
    <row r="51" spans="1:11" ht="15.75" customHeight="1" x14ac:dyDescent="0.25">
      <c r="A51" s="39" t="s">
        <v>81</v>
      </c>
      <c r="B51" s="39">
        <v>40</v>
      </c>
      <c r="C51" s="39" t="s">
        <v>47</v>
      </c>
      <c r="D51" s="39">
        <v>17</v>
      </c>
      <c r="E51" s="104">
        <v>45224</v>
      </c>
      <c r="F51" s="41">
        <v>2.4</v>
      </c>
      <c r="G51" s="40">
        <f>77.2*25</f>
        <v>1930</v>
      </c>
      <c r="H51" s="39">
        <v>1.96</v>
      </c>
      <c r="I51" s="39">
        <v>0.62</v>
      </c>
      <c r="J51" s="1"/>
      <c r="K51" s="86"/>
    </row>
    <row r="52" spans="1:11" ht="15.75" customHeight="1" x14ac:dyDescent="0.25">
      <c r="A52" s="48" t="s">
        <v>89</v>
      </c>
      <c r="B52" s="48">
        <v>10</v>
      </c>
      <c r="C52" s="48" t="s">
        <v>34</v>
      </c>
      <c r="D52" s="48">
        <v>54</v>
      </c>
      <c r="E52" s="105">
        <v>45244</v>
      </c>
      <c r="F52" s="48"/>
      <c r="G52" s="49">
        <f>23.6*25</f>
        <v>590</v>
      </c>
      <c r="H52" s="48">
        <v>2.09</v>
      </c>
      <c r="I52" s="48">
        <v>1.36</v>
      </c>
      <c r="J52" s="1" t="s">
        <v>195</v>
      </c>
      <c r="K52" s="86"/>
    </row>
    <row r="53" spans="1:11" ht="15.75" customHeight="1" x14ac:dyDescent="0.25">
      <c r="A53" s="48" t="s">
        <v>89</v>
      </c>
      <c r="B53" s="48">
        <v>10</v>
      </c>
      <c r="C53" s="48" t="s">
        <v>36</v>
      </c>
      <c r="D53" s="48">
        <v>30</v>
      </c>
      <c r="E53" s="105">
        <v>45236</v>
      </c>
      <c r="F53" s="49">
        <v>6.2</v>
      </c>
      <c r="G53" s="50">
        <f>9.4*25</f>
        <v>235</v>
      </c>
      <c r="H53" s="48">
        <v>2.08</v>
      </c>
      <c r="I53" s="48">
        <v>82</v>
      </c>
      <c r="J53" s="66" t="s">
        <v>201</v>
      </c>
      <c r="K53" s="86"/>
    </row>
    <row r="54" spans="1:11" ht="15.75" customHeight="1" x14ac:dyDescent="0.25">
      <c r="A54" s="48" t="s">
        <v>89</v>
      </c>
      <c r="B54" s="48">
        <v>10</v>
      </c>
      <c r="C54" s="48" t="s">
        <v>38</v>
      </c>
      <c r="D54" s="48">
        <v>26</v>
      </c>
      <c r="E54" s="105">
        <v>45236</v>
      </c>
      <c r="F54" s="49">
        <v>6.1</v>
      </c>
      <c r="G54" s="49">
        <f>65.2*25</f>
        <v>1630</v>
      </c>
      <c r="H54" s="48">
        <v>1.65</v>
      </c>
      <c r="I54" s="48">
        <v>0.65</v>
      </c>
      <c r="J54" s="66" t="s">
        <v>128</v>
      </c>
      <c r="K54" s="86"/>
    </row>
    <row r="55" spans="1:11" ht="15.75" customHeight="1" x14ac:dyDescent="0.25">
      <c r="A55" s="48" t="s">
        <v>89</v>
      </c>
      <c r="B55" s="48">
        <v>10</v>
      </c>
      <c r="C55" s="48" t="s">
        <v>40</v>
      </c>
      <c r="D55" s="48">
        <v>55</v>
      </c>
      <c r="E55" s="105">
        <v>45244</v>
      </c>
      <c r="F55" s="49">
        <v>7.8</v>
      </c>
      <c r="G55" s="49">
        <f>28.8*25</f>
        <v>720</v>
      </c>
      <c r="H55" s="48">
        <v>2.16</v>
      </c>
      <c r="I55" s="48">
        <v>1.24</v>
      </c>
      <c r="J55" s="66" t="s">
        <v>190</v>
      </c>
      <c r="K55" s="86" t="s">
        <v>193</v>
      </c>
    </row>
    <row r="56" spans="1:11" ht="15.75" customHeight="1" x14ac:dyDescent="0.25">
      <c r="A56" s="48" t="s">
        <v>89</v>
      </c>
      <c r="B56" s="48">
        <v>10</v>
      </c>
      <c r="C56" s="48" t="s">
        <v>42</v>
      </c>
      <c r="D56" s="48">
        <v>46</v>
      </c>
      <c r="E56" s="105">
        <v>45243</v>
      </c>
      <c r="F56" s="49">
        <v>7.6</v>
      </c>
      <c r="G56" s="49">
        <f>26*25</f>
        <v>650</v>
      </c>
      <c r="H56" s="48">
        <v>1.87</v>
      </c>
      <c r="I56" s="48">
        <v>0.53</v>
      </c>
      <c r="J56" s="66" t="s">
        <v>157</v>
      </c>
      <c r="K56" s="86" t="s">
        <v>188</v>
      </c>
    </row>
    <row r="57" spans="1:11" ht="15.75" customHeight="1" x14ac:dyDescent="0.25">
      <c r="A57" s="48" t="s">
        <v>89</v>
      </c>
      <c r="B57" s="48">
        <v>10</v>
      </c>
      <c r="C57" s="48" t="s">
        <v>32</v>
      </c>
      <c r="D57" s="48">
        <v>42</v>
      </c>
      <c r="E57" s="105">
        <v>45243</v>
      </c>
      <c r="F57" s="49">
        <v>8.5</v>
      </c>
      <c r="G57" s="49">
        <f>26.8*25</f>
        <v>670</v>
      </c>
      <c r="H57" s="48">
        <v>1.96</v>
      </c>
      <c r="I57" s="48">
        <v>0.78</v>
      </c>
      <c r="J57" s="66" t="s">
        <v>157</v>
      </c>
      <c r="K57" s="86" t="s">
        <v>188</v>
      </c>
    </row>
    <row r="58" spans="1:11" ht="15.75" customHeight="1" x14ac:dyDescent="0.2">
      <c r="A58" s="48" t="s">
        <v>89</v>
      </c>
      <c r="B58" s="48">
        <v>10</v>
      </c>
      <c r="C58" s="48" t="s">
        <v>30</v>
      </c>
      <c r="D58" s="48">
        <v>50</v>
      </c>
      <c r="E58" s="105">
        <v>45244</v>
      </c>
      <c r="F58" s="48"/>
      <c r="G58" s="50">
        <f>14.1*25</f>
        <v>352.5</v>
      </c>
      <c r="H58" s="48">
        <v>2.02</v>
      </c>
      <c r="I58" s="48">
        <v>0.33</v>
      </c>
      <c r="J58" s="1" t="s">
        <v>195</v>
      </c>
      <c r="K58" s="86"/>
    </row>
    <row r="59" spans="1:11" ht="15.75" customHeight="1" x14ac:dyDescent="0.25">
      <c r="A59" s="48" t="s">
        <v>89</v>
      </c>
      <c r="B59" s="48">
        <v>10</v>
      </c>
      <c r="C59" s="48" t="s">
        <v>28</v>
      </c>
      <c r="D59" s="48">
        <v>34</v>
      </c>
      <c r="E59" s="105">
        <v>45238</v>
      </c>
      <c r="F59" s="49">
        <v>6.4</v>
      </c>
      <c r="G59" s="49">
        <f>36.9*25</f>
        <v>922.5</v>
      </c>
      <c r="H59" s="48">
        <v>1.54</v>
      </c>
      <c r="I59" s="48">
        <v>0.61</v>
      </c>
      <c r="J59" s="66" t="s">
        <v>192</v>
      </c>
      <c r="K59" s="86" t="s">
        <v>193</v>
      </c>
    </row>
    <row r="60" spans="1:11" ht="15.75" customHeight="1" x14ac:dyDescent="0.2">
      <c r="A60" s="48" t="s">
        <v>89</v>
      </c>
      <c r="B60" s="48">
        <v>10</v>
      </c>
      <c r="C60" s="48" t="s">
        <v>26</v>
      </c>
      <c r="D60" s="48">
        <v>58</v>
      </c>
      <c r="E60" s="105">
        <v>45245</v>
      </c>
      <c r="F60" s="48"/>
      <c r="G60" s="50">
        <f>8.6*25</f>
        <v>215</v>
      </c>
      <c r="H60" s="48">
        <v>1.97</v>
      </c>
      <c r="I60" s="48">
        <v>0.57999999999999996</v>
      </c>
      <c r="J60" s="1" t="s">
        <v>195</v>
      </c>
      <c r="K60" s="86"/>
    </row>
    <row r="61" spans="1:11" ht="15.75" customHeight="1" x14ac:dyDescent="0.25">
      <c r="A61" s="48" t="s">
        <v>89</v>
      </c>
      <c r="B61" s="48">
        <v>10</v>
      </c>
      <c r="C61" s="48" t="s">
        <v>24</v>
      </c>
      <c r="D61" s="48">
        <v>38</v>
      </c>
      <c r="E61" s="105">
        <v>45238</v>
      </c>
      <c r="F61" s="50">
        <v>2.2999999999999998</v>
      </c>
      <c r="G61" s="49">
        <f>30.1*25</f>
        <v>752.5</v>
      </c>
      <c r="H61" s="48">
        <v>1.92</v>
      </c>
      <c r="I61" s="48">
        <v>0.41</v>
      </c>
      <c r="J61" s="1"/>
      <c r="K61" s="86"/>
    </row>
    <row r="62" spans="1:11" ht="15.75" customHeight="1" x14ac:dyDescent="0.25">
      <c r="A62" s="21" t="s">
        <v>89</v>
      </c>
      <c r="B62" s="21">
        <v>40</v>
      </c>
      <c r="C62" s="21" t="s">
        <v>34</v>
      </c>
      <c r="D62" s="21">
        <v>35</v>
      </c>
      <c r="E62" s="106">
        <v>45238</v>
      </c>
      <c r="F62" s="55">
        <v>8.6999999999999993</v>
      </c>
      <c r="G62" s="55">
        <f>86.1*25</f>
        <v>2152.5</v>
      </c>
      <c r="H62" s="21">
        <v>1.78</v>
      </c>
      <c r="I62" s="21">
        <v>0.9</v>
      </c>
      <c r="J62" s="66" t="s">
        <v>192</v>
      </c>
      <c r="K62" s="86" t="s">
        <v>188</v>
      </c>
    </row>
    <row r="63" spans="1:11" ht="15.75" customHeight="1" x14ac:dyDescent="0.25">
      <c r="A63" s="21" t="s">
        <v>89</v>
      </c>
      <c r="B63" s="21">
        <v>40</v>
      </c>
      <c r="C63" s="21" t="s">
        <v>36</v>
      </c>
      <c r="D63" s="21">
        <v>27</v>
      </c>
      <c r="E63" s="106">
        <v>45236</v>
      </c>
      <c r="F63" s="55">
        <v>6.6</v>
      </c>
      <c r="G63" s="55">
        <f>54.6*25</f>
        <v>1365</v>
      </c>
      <c r="H63" s="21">
        <v>2.08</v>
      </c>
      <c r="I63" s="21">
        <v>1.3</v>
      </c>
      <c r="J63" s="66" t="s">
        <v>128</v>
      </c>
      <c r="K63" s="86" t="s">
        <v>188</v>
      </c>
    </row>
    <row r="64" spans="1:11" ht="15.75" customHeight="1" x14ac:dyDescent="0.25">
      <c r="A64" s="21" t="s">
        <v>89</v>
      </c>
      <c r="B64" s="21">
        <v>40</v>
      </c>
      <c r="C64" s="21" t="s">
        <v>38</v>
      </c>
      <c r="D64" s="21">
        <v>47</v>
      </c>
      <c r="E64" s="106">
        <v>45243</v>
      </c>
      <c r="F64" s="57">
        <v>5.7</v>
      </c>
      <c r="G64" s="55">
        <f>20.7*25</f>
        <v>517.5</v>
      </c>
      <c r="H64" s="21">
        <v>1.84</v>
      </c>
      <c r="I64" s="21">
        <v>0.54</v>
      </c>
      <c r="J64" s="66" t="s">
        <v>147</v>
      </c>
      <c r="K64" s="86"/>
    </row>
    <row r="65" spans="1:11" ht="15.75" customHeight="1" x14ac:dyDescent="0.2">
      <c r="A65" s="21" t="s">
        <v>89</v>
      </c>
      <c r="B65" s="21">
        <v>40</v>
      </c>
      <c r="C65" s="21" t="s">
        <v>40</v>
      </c>
      <c r="D65" s="21">
        <v>51</v>
      </c>
      <c r="E65" s="106">
        <v>45244</v>
      </c>
      <c r="F65" s="57">
        <v>4.2</v>
      </c>
      <c r="G65" s="57">
        <f>16.4*25</f>
        <v>409.99999999999994</v>
      </c>
      <c r="H65" s="21">
        <v>1.96</v>
      </c>
      <c r="I65" s="21">
        <v>0.54</v>
      </c>
      <c r="J65" s="1"/>
      <c r="K65" s="86"/>
    </row>
    <row r="66" spans="1:11" ht="15.75" customHeight="1" x14ac:dyDescent="0.25">
      <c r="A66" s="21" t="s">
        <v>89</v>
      </c>
      <c r="B66" s="21">
        <v>40</v>
      </c>
      <c r="C66" s="21" t="s">
        <v>42</v>
      </c>
      <c r="D66" s="21">
        <v>31</v>
      </c>
      <c r="E66" s="106">
        <v>45236</v>
      </c>
      <c r="F66" s="55">
        <v>7.6</v>
      </c>
      <c r="G66" s="55">
        <f>38.9*25</f>
        <v>972.5</v>
      </c>
      <c r="H66" s="21">
        <v>2.0699999999999998</v>
      </c>
      <c r="I66" s="21">
        <v>1.19</v>
      </c>
      <c r="J66" s="66" t="s">
        <v>128</v>
      </c>
      <c r="K66" s="86" t="s">
        <v>188</v>
      </c>
    </row>
    <row r="67" spans="1:11" ht="15.75" customHeight="1" x14ac:dyDescent="0.25">
      <c r="A67" s="21" t="s">
        <v>89</v>
      </c>
      <c r="B67" s="21">
        <v>40</v>
      </c>
      <c r="C67" s="21" t="s">
        <v>24</v>
      </c>
      <c r="D67" s="21">
        <v>43</v>
      </c>
      <c r="E67" s="106">
        <v>45243</v>
      </c>
      <c r="F67" s="55">
        <v>8.4</v>
      </c>
      <c r="G67" s="55">
        <f>22.5*25</f>
        <v>562.5</v>
      </c>
      <c r="H67" s="21">
        <v>1.97</v>
      </c>
      <c r="I67" s="21">
        <v>0.68</v>
      </c>
      <c r="J67" s="66" t="s">
        <v>157</v>
      </c>
      <c r="K67" s="86" t="s">
        <v>188</v>
      </c>
    </row>
    <row r="68" spans="1:11" ht="15.75" customHeight="1" x14ac:dyDescent="0.25">
      <c r="A68" s="21" t="s">
        <v>89</v>
      </c>
      <c r="B68" s="21">
        <v>40</v>
      </c>
      <c r="C68" s="21" t="s">
        <v>26</v>
      </c>
      <c r="D68" s="21">
        <v>39</v>
      </c>
      <c r="E68" s="106">
        <v>45238</v>
      </c>
      <c r="F68" s="55">
        <v>7.5</v>
      </c>
      <c r="G68" s="55">
        <f>22.8*25</f>
        <v>570</v>
      </c>
      <c r="H68" s="21">
        <v>1.65</v>
      </c>
      <c r="I68" s="21">
        <v>0.65</v>
      </c>
      <c r="J68" s="66" t="s">
        <v>192</v>
      </c>
      <c r="K68" s="86" t="s">
        <v>188</v>
      </c>
    </row>
    <row r="69" spans="1:11" ht="15.75" customHeight="1" x14ac:dyDescent="0.2">
      <c r="A69" s="22" t="s">
        <v>107</v>
      </c>
      <c r="B69" s="22">
        <v>10</v>
      </c>
      <c r="C69" s="22" t="s">
        <v>44</v>
      </c>
      <c r="D69" s="22">
        <v>86</v>
      </c>
      <c r="E69" s="107">
        <v>45006</v>
      </c>
      <c r="F69" s="58">
        <v>0</v>
      </c>
      <c r="G69" s="58">
        <f>13.1*25</f>
        <v>327.5</v>
      </c>
      <c r="H69" s="22">
        <v>2.11</v>
      </c>
      <c r="I69" s="22">
        <v>69</v>
      </c>
      <c r="J69" s="1"/>
      <c r="K69" s="86"/>
    </row>
    <row r="70" spans="1:11" ht="15.75" customHeight="1" x14ac:dyDescent="0.25">
      <c r="A70" s="22" t="s">
        <v>107</v>
      </c>
      <c r="B70" s="22">
        <v>10</v>
      </c>
      <c r="C70" s="22" t="s">
        <v>47</v>
      </c>
      <c r="D70" s="22">
        <v>91</v>
      </c>
      <c r="E70" s="107">
        <v>45032</v>
      </c>
      <c r="F70" s="58">
        <v>2.2999999999999998</v>
      </c>
      <c r="G70" s="59">
        <f>89.8*25</f>
        <v>2245</v>
      </c>
      <c r="H70" s="22">
        <v>2.08</v>
      </c>
      <c r="I70" s="22">
        <v>0.6</v>
      </c>
      <c r="J70" s="1"/>
      <c r="K70" s="86"/>
    </row>
    <row r="71" spans="1:11" ht="15.75" customHeight="1" x14ac:dyDescent="0.2">
      <c r="A71" s="22" t="s">
        <v>107</v>
      </c>
      <c r="B71" s="22">
        <v>10</v>
      </c>
      <c r="C71" s="22" t="s">
        <v>49</v>
      </c>
      <c r="D71" s="22">
        <v>22</v>
      </c>
      <c r="E71" s="107">
        <v>45229</v>
      </c>
      <c r="F71" s="58">
        <v>2.2000000000000002</v>
      </c>
      <c r="G71" s="58">
        <f>10*25</f>
        <v>250</v>
      </c>
      <c r="H71" s="22">
        <v>1.92</v>
      </c>
      <c r="I71" s="22">
        <v>0.43</v>
      </c>
      <c r="J71" s="1"/>
      <c r="K71" s="86"/>
    </row>
    <row r="72" spans="1:11" ht="15.75" customHeight="1" x14ac:dyDescent="0.25">
      <c r="A72" s="22" t="s">
        <v>107</v>
      </c>
      <c r="B72" s="22">
        <v>10</v>
      </c>
      <c r="C72" s="22" t="s">
        <v>51</v>
      </c>
      <c r="D72" s="22">
        <v>14</v>
      </c>
      <c r="E72" s="107">
        <v>45224</v>
      </c>
      <c r="F72" s="58">
        <v>5.7</v>
      </c>
      <c r="G72" s="59">
        <f>29.7*25</f>
        <v>742.5</v>
      </c>
      <c r="H72" s="22">
        <v>1.9</v>
      </c>
      <c r="I72" s="22">
        <v>0.47</v>
      </c>
      <c r="J72" s="66" t="s">
        <v>187</v>
      </c>
      <c r="K72" s="86"/>
    </row>
    <row r="73" spans="1:11" ht="15.75" customHeight="1" x14ac:dyDescent="0.25">
      <c r="A73" s="22" t="s">
        <v>107</v>
      </c>
      <c r="B73" s="22">
        <v>10</v>
      </c>
      <c r="C73" s="22" t="s">
        <v>53</v>
      </c>
      <c r="D73" s="22">
        <v>78</v>
      </c>
      <c r="E73" s="107">
        <v>45188</v>
      </c>
      <c r="F73" s="58">
        <v>2</v>
      </c>
      <c r="G73" s="59">
        <f>260*25</f>
        <v>6500</v>
      </c>
      <c r="H73" s="22">
        <v>1.8</v>
      </c>
      <c r="I73" s="22">
        <v>5.2</v>
      </c>
      <c r="J73" s="1"/>
      <c r="K73" s="86"/>
    </row>
    <row r="74" spans="1:11" ht="15.75" customHeight="1" x14ac:dyDescent="0.25">
      <c r="A74" s="22" t="s">
        <v>107</v>
      </c>
      <c r="B74" s="22">
        <v>10</v>
      </c>
      <c r="C74" s="22" t="s">
        <v>12</v>
      </c>
      <c r="D74" s="22">
        <v>23</v>
      </c>
      <c r="E74" s="107">
        <v>45229</v>
      </c>
      <c r="F74" s="59">
        <v>7</v>
      </c>
      <c r="G74" s="58">
        <f>15.6*25</f>
        <v>390</v>
      </c>
      <c r="H74" s="22">
        <v>1.91</v>
      </c>
      <c r="I74" s="22">
        <v>1.17</v>
      </c>
      <c r="J74" s="66" t="s">
        <v>202</v>
      </c>
      <c r="K74" s="86" t="s">
        <v>191</v>
      </c>
    </row>
    <row r="75" spans="1:11" ht="15.75" customHeight="1" x14ac:dyDescent="0.25">
      <c r="A75" s="22" t="s">
        <v>107</v>
      </c>
      <c r="B75" s="22">
        <v>10</v>
      </c>
      <c r="C75" s="22" t="s">
        <v>14</v>
      </c>
      <c r="D75" s="22">
        <v>15</v>
      </c>
      <c r="E75" s="107">
        <v>45224</v>
      </c>
      <c r="F75" s="59">
        <v>8.4</v>
      </c>
      <c r="G75" s="59">
        <f>21.9*25</f>
        <v>547.5</v>
      </c>
      <c r="H75" s="22">
        <v>2.0099999999999998</v>
      </c>
      <c r="I75" s="22">
        <v>0.68</v>
      </c>
      <c r="J75" s="66" t="s">
        <v>187</v>
      </c>
      <c r="K75" s="86" t="s">
        <v>188</v>
      </c>
    </row>
    <row r="76" spans="1:11" ht="15.75" customHeight="1" x14ac:dyDescent="0.2">
      <c r="A76" s="22" t="s">
        <v>107</v>
      </c>
      <c r="B76" s="22">
        <v>10</v>
      </c>
      <c r="C76" s="22" t="s">
        <v>16</v>
      </c>
      <c r="D76" s="22">
        <v>84</v>
      </c>
      <c r="E76" s="107">
        <v>45056</v>
      </c>
      <c r="F76" s="22">
        <v>5.3</v>
      </c>
      <c r="G76" s="22">
        <f>14.4*25</f>
        <v>360</v>
      </c>
      <c r="H76" s="22">
        <v>1.78</v>
      </c>
      <c r="I76" s="22">
        <v>0.52</v>
      </c>
      <c r="J76" s="66" t="s">
        <v>196</v>
      </c>
      <c r="K76" s="86"/>
    </row>
    <row r="77" spans="1:11" ht="15.75" customHeight="1" x14ac:dyDescent="0.25">
      <c r="A77" s="22" t="s">
        <v>107</v>
      </c>
      <c r="B77" s="22">
        <v>10</v>
      </c>
      <c r="C77" s="22" t="s">
        <v>18</v>
      </c>
      <c r="D77" s="22">
        <v>4</v>
      </c>
      <c r="E77" s="107">
        <v>45223</v>
      </c>
      <c r="F77" s="59">
        <v>7.5</v>
      </c>
      <c r="G77" s="59">
        <f>22.3*25</f>
        <v>557.5</v>
      </c>
      <c r="H77" s="22">
        <v>1.91</v>
      </c>
      <c r="I77" s="22">
        <v>0.86</v>
      </c>
      <c r="J77" s="66" t="s">
        <v>124</v>
      </c>
      <c r="K77" s="86" t="s">
        <v>188</v>
      </c>
    </row>
    <row r="78" spans="1:11" ht="15.75" customHeight="1" x14ac:dyDescent="0.25">
      <c r="A78" s="22" t="s">
        <v>107</v>
      </c>
      <c r="B78" s="22">
        <v>10</v>
      </c>
      <c r="C78" s="22" t="s">
        <v>21</v>
      </c>
      <c r="D78" s="22">
        <v>10</v>
      </c>
      <c r="E78" s="107">
        <v>45189</v>
      </c>
      <c r="F78" s="59">
        <v>7.9</v>
      </c>
      <c r="G78" s="58">
        <f>15.6*25</f>
        <v>390</v>
      </c>
      <c r="H78" s="22">
        <v>1.99</v>
      </c>
      <c r="I78" s="22">
        <v>0.66</v>
      </c>
      <c r="J78" s="66" t="s">
        <v>153</v>
      </c>
      <c r="K78" s="86" t="s">
        <v>193</v>
      </c>
    </row>
    <row r="79" spans="1:11" ht="15.75" customHeight="1" x14ac:dyDescent="0.2">
      <c r="E79" s="98"/>
      <c r="K79" s="86"/>
    </row>
    <row r="80" spans="1:11" ht="15.75" customHeight="1" x14ac:dyDescent="0.2">
      <c r="E80" s="98"/>
      <c r="K80" s="86"/>
    </row>
    <row r="81" spans="5:11" ht="15.75" customHeight="1" x14ac:dyDescent="0.2">
      <c r="E81" s="98"/>
      <c r="K81" s="86"/>
    </row>
    <row r="82" spans="5:11" ht="15.75" customHeight="1" x14ac:dyDescent="0.2">
      <c r="K82" s="86"/>
    </row>
    <row r="83" spans="5:11" ht="15.75" customHeight="1" x14ac:dyDescent="0.2">
      <c r="K83" s="86"/>
    </row>
    <row r="84" spans="5:11" ht="15.75" customHeight="1" x14ac:dyDescent="0.2">
      <c r="K84" s="86"/>
    </row>
    <row r="85" spans="5:11" ht="15.75" customHeight="1" x14ac:dyDescent="0.2">
      <c r="K85" s="86"/>
    </row>
    <row r="86" spans="5:11" ht="15.75" customHeight="1" x14ac:dyDescent="0.2">
      <c r="K86" s="86"/>
    </row>
    <row r="87" spans="5:11" ht="15.75" customHeight="1" x14ac:dyDescent="0.2">
      <c r="K87" s="86"/>
    </row>
    <row r="88" spans="5:11" ht="15.75" customHeight="1" x14ac:dyDescent="0.2">
      <c r="K88" s="86"/>
    </row>
    <row r="89" spans="5:11" ht="15.75" customHeight="1" x14ac:dyDescent="0.2">
      <c r="K89" s="86"/>
    </row>
    <row r="90" spans="5:11" ht="15.75" customHeight="1" x14ac:dyDescent="0.2">
      <c r="K90" s="86"/>
    </row>
    <row r="91" spans="5:11" ht="15.75" customHeight="1" x14ac:dyDescent="0.2">
      <c r="K91" s="86"/>
    </row>
    <row r="92" spans="5:11" ht="15.75" customHeight="1" x14ac:dyDescent="0.2">
      <c r="K92" s="86"/>
    </row>
    <row r="93" spans="5:11" ht="15.75" customHeight="1" x14ac:dyDescent="0.2">
      <c r="K93" s="86"/>
    </row>
    <row r="94" spans="5:11" ht="15.75" customHeight="1" x14ac:dyDescent="0.2">
      <c r="K94" s="86"/>
    </row>
    <row r="95" spans="5:11" ht="15.75" customHeight="1" x14ac:dyDescent="0.2">
      <c r="K95" s="86"/>
    </row>
    <row r="96" spans="5:11" ht="15.75" customHeight="1" x14ac:dyDescent="0.2">
      <c r="K96" s="86"/>
    </row>
    <row r="97" spans="11:11" ht="15.75" customHeight="1" x14ac:dyDescent="0.2">
      <c r="K97" s="86"/>
    </row>
    <row r="98" spans="11:11" ht="15.75" customHeight="1" x14ac:dyDescent="0.2">
      <c r="K98" s="86"/>
    </row>
    <row r="99" spans="11:11" ht="15.75" customHeight="1" x14ac:dyDescent="0.2">
      <c r="K99" s="86"/>
    </row>
    <row r="100" spans="11:11" ht="15.75" customHeight="1" x14ac:dyDescent="0.2">
      <c r="K100" s="86"/>
    </row>
    <row r="101" spans="11:11" ht="15.75" customHeight="1" x14ac:dyDescent="0.2">
      <c r="K101" s="86"/>
    </row>
    <row r="102" spans="11:11" ht="15.75" customHeight="1" x14ac:dyDescent="0.2">
      <c r="K102" s="86"/>
    </row>
    <row r="103" spans="11:11" ht="15.75" customHeight="1" x14ac:dyDescent="0.2">
      <c r="K103" s="86"/>
    </row>
    <row r="104" spans="11:11" ht="15.75" customHeight="1" x14ac:dyDescent="0.2">
      <c r="K104" s="86"/>
    </row>
    <row r="105" spans="11:11" ht="15.75" customHeight="1" x14ac:dyDescent="0.2">
      <c r="K105" s="86"/>
    </row>
    <row r="106" spans="11:11" ht="15.75" customHeight="1" x14ac:dyDescent="0.2">
      <c r="K106" s="86"/>
    </row>
    <row r="107" spans="11:11" ht="15.75" customHeight="1" x14ac:dyDescent="0.2">
      <c r="K107" s="86"/>
    </row>
    <row r="108" spans="11:11" ht="15.75" customHeight="1" x14ac:dyDescent="0.2">
      <c r="K108" s="86"/>
    </row>
    <row r="109" spans="11:11" ht="15.75" customHeight="1" x14ac:dyDescent="0.2">
      <c r="K109" s="86"/>
    </row>
    <row r="110" spans="11:11" ht="15.75" customHeight="1" x14ac:dyDescent="0.2">
      <c r="K110" s="86"/>
    </row>
    <row r="111" spans="11:11" ht="15.75" customHeight="1" x14ac:dyDescent="0.2">
      <c r="K111" s="86"/>
    </row>
    <row r="112" spans="11:11" ht="15.75" customHeight="1" x14ac:dyDescent="0.2">
      <c r="K112" s="86"/>
    </row>
    <row r="113" spans="11:11" ht="15.75" customHeight="1" x14ac:dyDescent="0.2">
      <c r="K113" s="86"/>
    </row>
    <row r="114" spans="11:11" ht="15.75" customHeight="1" x14ac:dyDescent="0.2">
      <c r="K114" s="86"/>
    </row>
    <row r="115" spans="11:11" ht="15.75" customHeight="1" x14ac:dyDescent="0.2">
      <c r="K115" s="86"/>
    </row>
    <row r="116" spans="11:11" ht="15.75" customHeight="1" x14ac:dyDescent="0.2">
      <c r="K116" s="86"/>
    </row>
    <row r="117" spans="11:11" ht="15.75" customHeight="1" x14ac:dyDescent="0.2">
      <c r="K117" s="86"/>
    </row>
    <row r="118" spans="11:11" ht="15.75" customHeight="1" x14ac:dyDescent="0.2">
      <c r="K118" s="86"/>
    </row>
    <row r="119" spans="11:11" ht="15.75" customHeight="1" x14ac:dyDescent="0.2">
      <c r="K119" s="86"/>
    </row>
    <row r="120" spans="11:11" ht="15.75" customHeight="1" x14ac:dyDescent="0.2">
      <c r="K120" s="86"/>
    </row>
    <row r="121" spans="11:11" ht="15.75" customHeight="1" x14ac:dyDescent="0.2">
      <c r="K121" s="86"/>
    </row>
    <row r="122" spans="11:11" ht="15.75" customHeight="1" x14ac:dyDescent="0.2">
      <c r="K122" s="86"/>
    </row>
    <row r="123" spans="11:11" ht="15.75" customHeight="1" x14ac:dyDescent="0.2">
      <c r="K123" s="86"/>
    </row>
    <row r="124" spans="11:11" ht="15.75" customHeight="1" x14ac:dyDescent="0.2">
      <c r="K124" s="86"/>
    </row>
    <row r="125" spans="11:11" ht="15.75" customHeight="1" x14ac:dyDescent="0.2">
      <c r="K125" s="86"/>
    </row>
    <row r="126" spans="11:11" ht="15.75" customHeight="1" x14ac:dyDescent="0.2">
      <c r="K126" s="86"/>
    </row>
    <row r="127" spans="11:11" ht="15.75" customHeight="1" x14ac:dyDescent="0.2">
      <c r="K127" s="86"/>
    </row>
    <row r="128" spans="11:11" ht="15.75" customHeight="1" x14ac:dyDescent="0.2">
      <c r="K128" s="86"/>
    </row>
    <row r="129" spans="11:11" ht="15.75" customHeight="1" x14ac:dyDescent="0.2">
      <c r="K129" s="86"/>
    </row>
    <row r="130" spans="11:11" ht="15.75" customHeight="1" x14ac:dyDescent="0.2">
      <c r="K130" s="86"/>
    </row>
    <row r="131" spans="11:11" ht="15.75" customHeight="1" x14ac:dyDescent="0.2">
      <c r="K131" s="86"/>
    </row>
    <row r="132" spans="11:11" ht="15.75" customHeight="1" x14ac:dyDescent="0.2">
      <c r="K132" s="86"/>
    </row>
    <row r="133" spans="11:11" ht="15.75" customHeight="1" x14ac:dyDescent="0.2">
      <c r="K133" s="86"/>
    </row>
    <row r="134" spans="11:11" ht="15.75" customHeight="1" x14ac:dyDescent="0.2">
      <c r="K134" s="86"/>
    </row>
    <row r="135" spans="11:11" ht="15.75" customHeight="1" x14ac:dyDescent="0.2">
      <c r="K135" s="86"/>
    </row>
    <row r="136" spans="11:11" ht="15.75" customHeight="1" x14ac:dyDescent="0.2">
      <c r="K136" s="86"/>
    </row>
    <row r="137" spans="11:11" ht="15.75" customHeight="1" x14ac:dyDescent="0.2">
      <c r="K137" s="86"/>
    </row>
    <row r="138" spans="11:11" ht="15.75" customHeight="1" x14ac:dyDescent="0.2">
      <c r="K138" s="86"/>
    </row>
    <row r="139" spans="11:11" ht="15.75" customHeight="1" x14ac:dyDescent="0.2">
      <c r="K139" s="86"/>
    </row>
    <row r="140" spans="11:11" ht="15.75" customHeight="1" x14ac:dyDescent="0.2">
      <c r="K140" s="86"/>
    </row>
    <row r="141" spans="11:11" ht="15.75" customHeight="1" x14ac:dyDescent="0.2">
      <c r="K141" s="86"/>
    </row>
    <row r="142" spans="11:11" ht="15.75" customHeight="1" x14ac:dyDescent="0.2">
      <c r="K142" s="86"/>
    </row>
    <row r="143" spans="11:11" ht="15.75" customHeight="1" x14ac:dyDescent="0.2">
      <c r="K143" s="86"/>
    </row>
    <row r="144" spans="11:11" ht="15.75" customHeight="1" x14ac:dyDescent="0.2">
      <c r="K144" s="86"/>
    </row>
    <row r="145" spans="11:11" ht="15.75" customHeight="1" x14ac:dyDescent="0.2">
      <c r="K145" s="86"/>
    </row>
    <row r="146" spans="11:11" ht="15.75" customHeight="1" x14ac:dyDescent="0.2">
      <c r="K146" s="86"/>
    </row>
    <row r="147" spans="11:11" ht="15.75" customHeight="1" x14ac:dyDescent="0.2">
      <c r="K147" s="86"/>
    </row>
    <row r="148" spans="11:11" ht="15.75" customHeight="1" x14ac:dyDescent="0.2">
      <c r="K148" s="86"/>
    </row>
    <row r="149" spans="11:11" ht="15.75" customHeight="1" x14ac:dyDescent="0.2">
      <c r="K149" s="86"/>
    </row>
    <row r="150" spans="11:11" ht="15.75" customHeight="1" x14ac:dyDescent="0.2">
      <c r="K150" s="86"/>
    </row>
    <row r="151" spans="11:11" ht="15.75" customHeight="1" x14ac:dyDescent="0.2">
      <c r="K151" s="86"/>
    </row>
    <row r="152" spans="11:11" ht="15.75" customHeight="1" x14ac:dyDescent="0.2">
      <c r="K152" s="86"/>
    </row>
    <row r="153" spans="11:11" ht="15.75" customHeight="1" x14ac:dyDescent="0.2">
      <c r="K153" s="86"/>
    </row>
    <row r="154" spans="11:11" ht="15.75" customHeight="1" x14ac:dyDescent="0.2">
      <c r="K154" s="86"/>
    </row>
    <row r="155" spans="11:11" ht="15.75" customHeight="1" x14ac:dyDescent="0.2">
      <c r="K155" s="86"/>
    </row>
    <row r="156" spans="11:11" ht="15.75" customHeight="1" x14ac:dyDescent="0.2">
      <c r="K156" s="86"/>
    </row>
    <row r="157" spans="11:11" ht="15.75" customHeight="1" x14ac:dyDescent="0.2">
      <c r="K157" s="86"/>
    </row>
    <row r="158" spans="11:11" ht="15.75" customHeight="1" x14ac:dyDescent="0.2">
      <c r="K158" s="86"/>
    </row>
    <row r="159" spans="11:11" ht="15.75" customHeight="1" x14ac:dyDescent="0.2">
      <c r="K159" s="86"/>
    </row>
    <row r="160" spans="11:11" ht="15.75" customHeight="1" x14ac:dyDescent="0.2">
      <c r="K160" s="86"/>
    </row>
    <row r="161" spans="11:11" ht="15.75" customHeight="1" x14ac:dyDescent="0.2">
      <c r="K161" s="86"/>
    </row>
    <row r="162" spans="11:11" ht="15.75" customHeight="1" x14ac:dyDescent="0.2">
      <c r="K162" s="86"/>
    </row>
    <row r="163" spans="11:11" ht="15.75" customHeight="1" x14ac:dyDescent="0.2">
      <c r="K163" s="86"/>
    </row>
    <row r="164" spans="11:11" ht="15.75" customHeight="1" x14ac:dyDescent="0.2">
      <c r="K164" s="86"/>
    </row>
    <row r="165" spans="11:11" ht="15.75" customHeight="1" x14ac:dyDescent="0.2">
      <c r="K165" s="86"/>
    </row>
    <row r="166" spans="11:11" ht="15.75" customHeight="1" x14ac:dyDescent="0.2">
      <c r="K166" s="86"/>
    </row>
    <row r="167" spans="11:11" ht="15.75" customHeight="1" x14ac:dyDescent="0.2">
      <c r="K167" s="86"/>
    </row>
    <row r="168" spans="11:11" ht="15.75" customHeight="1" x14ac:dyDescent="0.2">
      <c r="K168" s="86"/>
    </row>
    <row r="169" spans="11:11" ht="15.75" customHeight="1" x14ac:dyDescent="0.2">
      <c r="K169" s="86"/>
    </row>
    <row r="170" spans="11:11" ht="15.75" customHeight="1" x14ac:dyDescent="0.2">
      <c r="K170" s="86"/>
    </row>
    <row r="171" spans="11:11" ht="15.75" customHeight="1" x14ac:dyDescent="0.2">
      <c r="K171" s="86"/>
    </row>
    <row r="172" spans="11:11" ht="15.75" customHeight="1" x14ac:dyDescent="0.2">
      <c r="K172" s="86"/>
    </row>
    <row r="173" spans="11:11" ht="15.75" customHeight="1" x14ac:dyDescent="0.2">
      <c r="K173" s="86"/>
    </row>
    <row r="174" spans="11:11" ht="15.75" customHeight="1" x14ac:dyDescent="0.2">
      <c r="K174" s="86"/>
    </row>
    <row r="175" spans="11:11" ht="15.75" customHeight="1" x14ac:dyDescent="0.2">
      <c r="K175" s="86"/>
    </row>
    <row r="176" spans="11:11" ht="15.75" customHeight="1" x14ac:dyDescent="0.2">
      <c r="K176" s="86"/>
    </row>
    <row r="177" spans="11:11" ht="15.75" customHeight="1" x14ac:dyDescent="0.2">
      <c r="K177" s="86"/>
    </row>
    <row r="178" spans="11:11" ht="15.75" customHeight="1" x14ac:dyDescent="0.2">
      <c r="K178" s="86"/>
    </row>
    <row r="179" spans="11:11" ht="15.75" customHeight="1" x14ac:dyDescent="0.2">
      <c r="K179" s="86"/>
    </row>
    <row r="180" spans="11:11" ht="15.75" customHeight="1" x14ac:dyDescent="0.2">
      <c r="K180" s="86"/>
    </row>
    <row r="181" spans="11:11" ht="15.75" customHeight="1" x14ac:dyDescent="0.2">
      <c r="K181" s="86"/>
    </row>
    <row r="182" spans="11:11" ht="15.75" customHeight="1" x14ac:dyDescent="0.2">
      <c r="K182" s="86"/>
    </row>
    <row r="183" spans="11:11" ht="15.75" customHeight="1" x14ac:dyDescent="0.2">
      <c r="K183" s="86"/>
    </row>
    <row r="184" spans="11:11" ht="15.75" customHeight="1" x14ac:dyDescent="0.2">
      <c r="K184" s="86"/>
    </row>
    <row r="185" spans="11:11" ht="15.75" customHeight="1" x14ac:dyDescent="0.2">
      <c r="K185" s="86"/>
    </row>
    <row r="186" spans="11:11" ht="15.75" customHeight="1" x14ac:dyDescent="0.2">
      <c r="K186" s="86"/>
    </row>
    <row r="187" spans="11:11" ht="15.75" customHeight="1" x14ac:dyDescent="0.2">
      <c r="K187" s="86"/>
    </row>
    <row r="188" spans="11:11" ht="15.75" customHeight="1" x14ac:dyDescent="0.2">
      <c r="K188" s="86"/>
    </row>
    <row r="189" spans="11:11" ht="15.75" customHeight="1" x14ac:dyDescent="0.2">
      <c r="K189" s="86"/>
    </row>
    <row r="190" spans="11:11" ht="15.75" customHeight="1" x14ac:dyDescent="0.2">
      <c r="K190" s="86"/>
    </row>
    <row r="191" spans="11:11" ht="15.75" customHeight="1" x14ac:dyDescent="0.2">
      <c r="K191" s="86"/>
    </row>
    <row r="192" spans="11:11" ht="15.75" customHeight="1" x14ac:dyDescent="0.2">
      <c r="K192" s="86"/>
    </row>
    <row r="193" spans="11:11" ht="15.75" customHeight="1" x14ac:dyDescent="0.2">
      <c r="K193" s="86"/>
    </row>
    <row r="194" spans="11:11" ht="15.75" customHeight="1" x14ac:dyDescent="0.2">
      <c r="K194" s="86"/>
    </row>
    <row r="195" spans="11:11" ht="15.75" customHeight="1" x14ac:dyDescent="0.2">
      <c r="K195" s="86"/>
    </row>
    <row r="196" spans="11:11" ht="15.75" customHeight="1" x14ac:dyDescent="0.2">
      <c r="K196" s="86"/>
    </row>
    <row r="197" spans="11:11" ht="15.75" customHeight="1" x14ac:dyDescent="0.2">
      <c r="K197" s="86"/>
    </row>
    <row r="198" spans="11:11" ht="15.75" customHeight="1" x14ac:dyDescent="0.2">
      <c r="K198" s="86"/>
    </row>
    <row r="199" spans="11:11" ht="15.75" customHeight="1" x14ac:dyDescent="0.2">
      <c r="K199" s="86"/>
    </row>
    <row r="200" spans="11:11" ht="15.75" customHeight="1" x14ac:dyDescent="0.2">
      <c r="K200" s="86"/>
    </row>
    <row r="201" spans="11:11" ht="15.75" customHeight="1" x14ac:dyDescent="0.2">
      <c r="K201" s="86"/>
    </row>
    <row r="202" spans="11:11" ht="15.75" customHeight="1" x14ac:dyDescent="0.2">
      <c r="K202" s="86"/>
    </row>
    <row r="203" spans="11:11" ht="15.75" customHeight="1" x14ac:dyDescent="0.2">
      <c r="K203" s="86"/>
    </row>
    <row r="204" spans="11:11" ht="15.75" customHeight="1" x14ac:dyDescent="0.2">
      <c r="K204" s="86"/>
    </row>
    <row r="205" spans="11:11" ht="15.75" customHeight="1" x14ac:dyDescent="0.2">
      <c r="K205" s="86"/>
    </row>
    <row r="206" spans="11:11" ht="15.75" customHeight="1" x14ac:dyDescent="0.2">
      <c r="K206" s="86"/>
    </row>
    <row r="207" spans="11:11" ht="15.75" customHeight="1" x14ac:dyDescent="0.2">
      <c r="K207" s="86"/>
    </row>
    <row r="208" spans="11:11" ht="15.75" customHeight="1" x14ac:dyDescent="0.2">
      <c r="K208" s="86"/>
    </row>
    <row r="209" spans="11:11" ht="15.75" customHeight="1" x14ac:dyDescent="0.2">
      <c r="K209" s="86"/>
    </row>
    <row r="210" spans="11:11" ht="15.75" customHeight="1" x14ac:dyDescent="0.2">
      <c r="K210" s="86"/>
    </row>
    <row r="211" spans="11:11" ht="15.75" customHeight="1" x14ac:dyDescent="0.2">
      <c r="K211" s="86"/>
    </row>
    <row r="212" spans="11:11" ht="15.75" customHeight="1" x14ac:dyDescent="0.2">
      <c r="K212" s="86"/>
    </row>
    <row r="213" spans="11:11" ht="15.75" customHeight="1" x14ac:dyDescent="0.2">
      <c r="K213" s="86"/>
    </row>
    <row r="214" spans="11:11" ht="15.75" customHeight="1" x14ac:dyDescent="0.2">
      <c r="K214" s="86"/>
    </row>
    <row r="215" spans="11:11" ht="15.75" customHeight="1" x14ac:dyDescent="0.2">
      <c r="K215" s="86"/>
    </row>
    <row r="216" spans="11:11" ht="15.75" customHeight="1" x14ac:dyDescent="0.2">
      <c r="K216" s="86"/>
    </row>
    <row r="217" spans="11:11" ht="15.75" customHeight="1" x14ac:dyDescent="0.2">
      <c r="K217" s="86"/>
    </row>
    <row r="218" spans="11:11" ht="15.75" customHeight="1" x14ac:dyDescent="0.2">
      <c r="K218" s="86"/>
    </row>
    <row r="219" spans="11:11" ht="15.75" customHeight="1" x14ac:dyDescent="0.2">
      <c r="K219" s="86"/>
    </row>
    <row r="220" spans="11:11" ht="15.75" customHeight="1" x14ac:dyDescent="0.2">
      <c r="K220" s="86"/>
    </row>
    <row r="221" spans="11:11" ht="15.75" customHeight="1" x14ac:dyDescent="0.2">
      <c r="K221" s="86"/>
    </row>
    <row r="222" spans="11:11" ht="15.75" customHeight="1" x14ac:dyDescent="0.2">
      <c r="K222" s="86"/>
    </row>
    <row r="223" spans="11:11" ht="15.75" customHeight="1" x14ac:dyDescent="0.2">
      <c r="K223" s="86"/>
    </row>
    <row r="224" spans="11:11" ht="15.75" customHeight="1" x14ac:dyDescent="0.2">
      <c r="K224" s="86"/>
    </row>
    <row r="225" spans="11:11" ht="15.75" customHeight="1" x14ac:dyDescent="0.2">
      <c r="K225" s="86"/>
    </row>
    <row r="226" spans="11:11" ht="15.75" customHeight="1" x14ac:dyDescent="0.2">
      <c r="K226" s="86"/>
    </row>
    <row r="227" spans="11:11" ht="15.75" customHeight="1" x14ac:dyDescent="0.2">
      <c r="K227" s="86"/>
    </row>
    <row r="228" spans="11:11" ht="15.75" customHeight="1" x14ac:dyDescent="0.2">
      <c r="K228" s="86"/>
    </row>
    <row r="229" spans="11:11" ht="15.75" customHeight="1" x14ac:dyDescent="0.2">
      <c r="K229" s="86"/>
    </row>
    <row r="230" spans="11:11" ht="15.75" customHeight="1" x14ac:dyDescent="0.2">
      <c r="K230" s="86"/>
    </row>
    <row r="231" spans="11:11" ht="15.75" customHeight="1" x14ac:dyDescent="0.2">
      <c r="K231" s="86"/>
    </row>
    <row r="232" spans="11:11" ht="15.75" customHeight="1" x14ac:dyDescent="0.2">
      <c r="K232" s="86"/>
    </row>
    <row r="233" spans="11:11" ht="15.75" customHeight="1" x14ac:dyDescent="0.2">
      <c r="K233" s="86"/>
    </row>
    <row r="234" spans="11:11" ht="15.75" customHeight="1" x14ac:dyDescent="0.2">
      <c r="K234" s="86"/>
    </row>
    <row r="235" spans="11:11" ht="15.75" customHeight="1" x14ac:dyDescent="0.2">
      <c r="K235" s="86"/>
    </row>
    <row r="236" spans="11:11" ht="15.75" customHeight="1" x14ac:dyDescent="0.2">
      <c r="K236" s="86"/>
    </row>
    <row r="237" spans="11:11" ht="15.75" customHeight="1" x14ac:dyDescent="0.2">
      <c r="K237" s="86"/>
    </row>
    <row r="238" spans="11:11" ht="15.75" customHeight="1" x14ac:dyDescent="0.2">
      <c r="K238" s="86"/>
    </row>
    <row r="239" spans="11:11" ht="15.75" customHeight="1" x14ac:dyDescent="0.2">
      <c r="K239" s="86"/>
    </row>
    <row r="240" spans="11:11" ht="15.75" customHeight="1" x14ac:dyDescent="0.2">
      <c r="K240" s="86"/>
    </row>
    <row r="241" spans="11:11" ht="15.75" customHeight="1" x14ac:dyDescent="0.2">
      <c r="K241" s="86"/>
    </row>
    <row r="242" spans="11:11" ht="15.75" customHeight="1" x14ac:dyDescent="0.2">
      <c r="K242" s="86"/>
    </row>
    <row r="243" spans="11:11" ht="15.75" customHeight="1" x14ac:dyDescent="0.2">
      <c r="K243" s="86"/>
    </row>
    <row r="244" spans="11:11" ht="15.75" customHeight="1" x14ac:dyDescent="0.2">
      <c r="K244" s="86"/>
    </row>
    <row r="245" spans="11:11" ht="15.75" customHeight="1" x14ac:dyDescent="0.2">
      <c r="K245" s="86"/>
    </row>
    <row r="246" spans="11:11" ht="15.75" customHeight="1" x14ac:dyDescent="0.2">
      <c r="K246" s="86"/>
    </row>
    <row r="247" spans="11:11" ht="15.75" customHeight="1" x14ac:dyDescent="0.2">
      <c r="K247" s="86"/>
    </row>
    <row r="248" spans="11:11" ht="15.75" customHeight="1" x14ac:dyDescent="0.2">
      <c r="K248" s="86"/>
    </row>
    <row r="249" spans="11:11" ht="15.75" customHeight="1" x14ac:dyDescent="0.2">
      <c r="K249" s="86"/>
    </row>
    <row r="250" spans="11:11" ht="15.75" customHeight="1" x14ac:dyDescent="0.2">
      <c r="K250" s="86"/>
    </row>
    <row r="251" spans="11:11" ht="15.75" customHeight="1" x14ac:dyDescent="0.2">
      <c r="K251" s="86"/>
    </row>
    <row r="252" spans="11:11" ht="15.75" customHeight="1" x14ac:dyDescent="0.2">
      <c r="K252" s="86"/>
    </row>
    <row r="253" spans="11:11" ht="15.75" customHeight="1" x14ac:dyDescent="0.2">
      <c r="K253" s="86"/>
    </row>
    <row r="254" spans="11:11" ht="15.75" customHeight="1" x14ac:dyDescent="0.2">
      <c r="K254" s="86"/>
    </row>
    <row r="255" spans="11:11" ht="15.75" customHeight="1" x14ac:dyDescent="0.2">
      <c r="K255" s="86"/>
    </row>
    <row r="256" spans="11:11" ht="15.75" customHeight="1" x14ac:dyDescent="0.2">
      <c r="K256" s="86"/>
    </row>
    <row r="257" spans="11:11" ht="15.75" customHeight="1" x14ac:dyDescent="0.2">
      <c r="K257" s="86"/>
    </row>
    <row r="258" spans="11:11" ht="15.75" customHeight="1" x14ac:dyDescent="0.2">
      <c r="K258" s="86"/>
    </row>
    <row r="259" spans="11:11" ht="15.75" customHeight="1" x14ac:dyDescent="0.2">
      <c r="K259" s="86"/>
    </row>
    <row r="260" spans="11:11" ht="15.75" customHeight="1" x14ac:dyDescent="0.2">
      <c r="K260" s="86"/>
    </row>
    <row r="261" spans="11:11" ht="15.75" customHeight="1" x14ac:dyDescent="0.2">
      <c r="K261" s="86"/>
    </row>
    <row r="262" spans="11:11" ht="15.75" customHeight="1" x14ac:dyDescent="0.2">
      <c r="K262" s="86"/>
    </row>
    <row r="263" spans="11:11" ht="15.75" customHeight="1" x14ac:dyDescent="0.2">
      <c r="K263" s="86"/>
    </row>
    <row r="264" spans="11:11" ht="15.75" customHeight="1" x14ac:dyDescent="0.2">
      <c r="K264" s="86"/>
    </row>
    <row r="265" spans="11:11" ht="15.75" customHeight="1" x14ac:dyDescent="0.2">
      <c r="K265" s="86"/>
    </row>
    <row r="266" spans="11:11" ht="15.75" customHeight="1" x14ac:dyDescent="0.2">
      <c r="K266" s="86"/>
    </row>
    <row r="267" spans="11:11" ht="15.75" customHeight="1" x14ac:dyDescent="0.2">
      <c r="K267" s="86"/>
    </row>
    <row r="268" spans="11:11" ht="15.75" customHeight="1" x14ac:dyDescent="0.2">
      <c r="K268" s="86"/>
    </row>
    <row r="269" spans="11:11" ht="15.75" customHeight="1" x14ac:dyDescent="0.2">
      <c r="K269" s="86"/>
    </row>
    <row r="270" spans="11:11" ht="15.75" customHeight="1" x14ac:dyDescent="0.2">
      <c r="K270" s="86"/>
    </row>
    <row r="271" spans="11:11" ht="15.75" customHeight="1" x14ac:dyDescent="0.2">
      <c r="K271" s="86"/>
    </row>
    <row r="272" spans="11:11" ht="15.75" customHeight="1" x14ac:dyDescent="0.2">
      <c r="K272" s="86"/>
    </row>
    <row r="273" spans="11:11" ht="15.75" customHeight="1" x14ac:dyDescent="0.2">
      <c r="K273" s="86"/>
    </row>
    <row r="274" spans="11:11" ht="15.75" customHeight="1" x14ac:dyDescent="0.2">
      <c r="K274" s="86"/>
    </row>
    <row r="275" spans="11:11" ht="15.75" customHeight="1" x14ac:dyDescent="0.2">
      <c r="K275" s="86"/>
    </row>
    <row r="276" spans="11:11" ht="15.75" customHeight="1" x14ac:dyDescent="0.2">
      <c r="K276" s="86"/>
    </row>
    <row r="277" spans="11:11" ht="15.75" customHeight="1" x14ac:dyDescent="0.2">
      <c r="K277" s="86"/>
    </row>
    <row r="278" spans="11:11" ht="15.75" customHeight="1" x14ac:dyDescent="0.2">
      <c r="K278" s="86"/>
    </row>
    <row r="279" spans="11:11" ht="15.75" customHeight="1" x14ac:dyDescent="0.2">
      <c r="K279" s="86"/>
    </row>
    <row r="280" spans="11:11" ht="15.75" customHeight="1" x14ac:dyDescent="0.2">
      <c r="K280" s="86"/>
    </row>
    <row r="281" spans="11:11" ht="15.75" customHeight="1" x14ac:dyDescent="0.2">
      <c r="K281" s="86"/>
    </row>
    <row r="282" spans="11:11" ht="15.75" customHeight="1" x14ac:dyDescent="0.2">
      <c r="K282" s="86"/>
    </row>
    <row r="283" spans="11:11" ht="15.75" customHeight="1" x14ac:dyDescent="0.2">
      <c r="K283" s="86"/>
    </row>
    <row r="284" spans="11:11" ht="15.75" customHeight="1" x14ac:dyDescent="0.2">
      <c r="K284" s="86"/>
    </row>
    <row r="285" spans="11:11" ht="15.75" customHeight="1" x14ac:dyDescent="0.2">
      <c r="K285" s="86"/>
    </row>
    <row r="286" spans="11:11" ht="15.75" customHeight="1" x14ac:dyDescent="0.2">
      <c r="K286" s="86"/>
    </row>
    <row r="287" spans="11:11" ht="15.75" customHeight="1" x14ac:dyDescent="0.2">
      <c r="K287" s="86"/>
    </row>
    <row r="288" spans="11:11" ht="15.75" customHeight="1" x14ac:dyDescent="0.2">
      <c r="K288" s="86"/>
    </row>
    <row r="289" spans="11:11" ht="15.75" customHeight="1" x14ac:dyDescent="0.2">
      <c r="K289" s="86"/>
    </row>
    <row r="290" spans="11:11" ht="15.75" customHeight="1" x14ac:dyDescent="0.2">
      <c r="K290" s="86"/>
    </row>
    <row r="291" spans="11:11" ht="15.75" customHeight="1" x14ac:dyDescent="0.2">
      <c r="K291" s="86"/>
    </row>
    <row r="292" spans="11:11" ht="15.75" customHeight="1" x14ac:dyDescent="0.2">
      <c r="K292" s="86"/>
    </row>
    <row r="293" spans="11:11" ht="15.75" customHeight="1" x14ac:dyDescent="0.2">
      <c r="K293" s="86"/>
    </row>
    <row r="294" spans="11:11" ht="15.75" customHeight="1" x14ac:dyDescent="0.2">
      <c r="K294" s="86"/>
    </row>
    <row r="295" spans="11:11" ht="15.75" customHeight="1" x14ac:dyDescent="0.2">
      <c r="K295" s="86"/>
    </row>
    <row r="296" spans="11:11" ht="15.75" customHeight="1" x14ac:dyDescent="0.2">
      <c r="K296" s="86"/>
    </row>
    <row r="297" spans="11:11" ht="15.75" customHeight="1" x14ac:dyDescent="0.2">
      <c r="K297" s="86"/>
    </row>
    <row r="298" spans="11:11" ht="15.75" customHeight="1" x14ac:dyDescent="0.2">
      <c r="K298" s="86"/>
    </row>
    <row r="299" spans="11:11" ht="15.75" customHeight="1" x14ac:dyDescent="0.2">
      <c r="K299" s="86"/>
    </row>
    <row r="300" spans="11:11" ht="15.75" customHeight="1" x14ac:dyDescent="0.2">
      <c r="K300" s="86"/>
    </row>
    <row r="301" spans="11:11" ht="15.75" customHeight="1" x14ac:dyDescent="0.2">
      <c r="K301" s="86"/>
    </row>
    <row r="302" spans="11:11" ht="15.75" customHeight="1" x14ac:dyDescent="0.2">
      <c r="K302" s="86"/>
    </row>
    <row r="303" spans="11:11" ht="15.75" customHeight="1" x14ac:dyDescent="0.2">
      <c r="K303" s="86"/>
    </row>
    <row r="304" spans="11:11" ht="15.75" customHeight="1" x14ac:dyDescent="0.2">
      <c r="K304" s="86"/>
    </row>
    <row r="305" spans="11:11" ht="15.75" customHeight="1" x14ac:dyDescent="0.2">
      <c r="K305" s="86"/>
    </row>
    <row r="306" spans="11:11" ht="15.75" customHeight="1" x14ac:dyDescent="0.2">
      <c r="K306" s="86"/>
    </row>
    <row r="307" spans="11:11" ht="15.75" customHeight="1" x14ac:dyDescent="0.2">
      <c r="K307" s="86"/>
    </row>
    <row r="308" spans="11:11" ht="15.75" customHeight="1" x14ac:dyDescent="0.2">
      <c r="K308" s="86"/>
    </row>
    <row r="309" spans="11:11" ht="15.75" customHeight="1" x14ac:dyDescent="0.2">
      <c r="K309" s="86"/>
    </row>
    <row r="310" spans="11:11" ht="15.75" customHeight="1" x14ac:dyDescent="0.2">
      <c r="K310" s="86"/>
    </row>
    <row r="311" spans="11:11" ht="15.75" customHeight="1" x14ac:dyDescent="0.2">
      <c r="K311" s="86"/>
    </row>
    <row r="312" spans="11:11" ht="15.75" customHeight="1" x14ac:dyDescent="0.2">
      <c r="K312" s="86"/>
    </row>
    <row r="313" spans="11:11" ht="15.75" customHeight="1" x14ac:dyDescent="0.2">
      <c r="K313" s="86"/>
    </row>
    <row r="314" spans="11:11" ht="15.75" customHeight="1" x14ac:dyDescent="0.2">
      <c r="K314" s="86"/>
    </row>
    <row r="315" spans="11:11" ht="15.75" customHeight="1" x14ac:dyDescent="0.2">
      <c r="K315" s="86"/>
    </row>
    <row r="316" spans="11:11" ht="15.75" customHeight="1" x14ac:dyDescent="0.2">
      <c r="K316" s="86"/>
    </row>
    <row r="317" spans="11:11" ht="15.75" customHeight="1" x14ac:dyDescent="0.2">
      <c r="K317" s="86"/>
    </row>
    <row r="318" spans="11:11" ht="15.75" customHeight="1" x14ac:dyDescent="0.2">
      <c r="K318" s="86"/>
    </row>
    <row r="319" spans="11:11" ht="15.75" customHeight="1" x14ac:dyDescent="0.2">
      <c r="K319" s="86"/>
    </row>
    <row r="320" spans="11:11" ht="15.75" customHeight="1" x14ac:dyDescent="0.2">
      <c r="K320" s="86"/>
    </row>
    <row r="321" spans="11:11" ht="15.75" customHeight="1" x14ac:dyDescent="0.2">
      <c r="K321" s="86"/>
    </row>
    <row r="322" spans="11:11" ht="15.75" customHeight="1" x14ac:dyDescent="0.2">
      <c r="K322" s="86"/>
    </row>
    <row r="323" spans="11:11" ht="15.75" customHeight="1" x14ac:dyDescent="0.2">
      <c r="K323" s="86"/>
    </row>
    <row r="324" spans="11:11" ht="15.75" customHeight="1" x14ac:dyDescent="0.2">
      <c r="K324" s="86"/>
    </row>
    <row r="325" spans="11:11" ht="15.75" customHeight="1" x14ac:dyDescent="0.2">
      <c r="K325" s="86"/>
    </row>
    <row r="326" spans="11:11" ht="15.75" customHeight="1" x14ac:dyDescent="0.2">
      <c r="K326" s="86"/>
    </row>
    <row r="327" spans="11:11" ht="15.75" customHeight="1" x14ac:dyDescent="0.2">
      <c r="K327" s="86"/>
    </row>
    <row r="328" spans="11:11" ht="15.75" customHeight="1" x14ac:dyDescent="0.2">
      <c r="K328" s="86"/>
    </row>
    <row r="329" spans="11:11" ht="15.75" customHeight="1" x14ac:dyDescent="0.2">
      <c r="K329" s="86"/>
    </row>
    <row r="330" spans="11:11" ht="15.75" customHeight="1" x14ac:dyDescent="0.2">
      <c r="K330" s="86"/>
    </row>
    <row r="331" spans="11:11" ht="15.75" customHeight="1" x14ac:dyDescent="0.2">
      <c r="K331" s="86"/>
    </row>
    <row r="332" spans="11:11" ht="15.75" customHeight="1" x14ac:dyDescent="0.2">
      <c r="K332" s="86"/>
    </row>
    <row r="333" spans="11:11" ht="15.75" customHeight="1" x14ac:dyDescent="0.2">
      <c r="K333" s="86"/>
    </row>
    <row r="334" spans="11:11" ht="15.75" customHeight="1" x14ac:dyDescent="0.2">
      <c r="K334" s="86"/>
    </row>
    <row r="335" spans="11:11" ht="15.75" customHeight="1" x14ac:dyDescent="0.2">
      <c r="K335" s="86"/>
    </row>
    <row r="336" spans="11:11" ht="15.75" customHeight="1" x14ac:dyDescent="0.2">
      <c r="K336" s="86"/>
    </row>
    <row r="337" spans="11:11" ht="15.75" customHeight="1" x14ac:dyDescent="0.2">
      <c r="K337" s="86"/>
    </row>
    <row r="338" spans="11:11" ht="15.75" customHeight="1" x14ac:dyDescent="0.2">
      <c r="K338" s="86"/>
    </row>
    <row r="339" spans="11:11" ht="15.75" customHeight="1" x14ac:dyDescent="0.2">
      <c r="K339" s="86"/>
    </row>
    <row r="340" spans="11:11" ht="15.75" customHeight="1" x14ac:dyDescent="0.2">
      <c r="K340" s="86"/>
    </row>
    <row r="341" spans="11:11" ht="15.75" customHeight="1" x14ac:dyDescent="0.2">
      <c r="K341" s="86"/>
    </row>
    <row r="342" spans="11:11" ht="15.75" customHeight="1" x14ac:dyDescent="0.2">
      <c r="K342" s="86"/>
    </row>
    <row r="343" spans="11:11" ht="15.75" customHeight="1" x14ac:dyDescent="0.2">
      <c r="K343" s="86"/>
    </row>
    <row r="344" spans="11:11" ht="15.75" customHeight="1" x14ac:dyDescent="0.2">
      <c r="K344" s="86"/>
    </row>
    <row r="345" spans="11:11" ht="15.75" customHeight="1" x14ac:dyDescent="0.2">
      <c r="K345" s="86"/>
    </row>
    <row r="346" spans="11:11" ht="15.75" customHeight="1" x14ac:dyDescent="0.2">
      <c r="K346" s="86"/>
    </row>
    <row r="347" spans="11:11" ht="15.75" customHeight="1" x14ac:dyDescent="0.2">
      <c r="K347" s="86"/>
    </row>
    <row r="348" spans="11:11" ht="15.75" customHeight="1" x14ac:dyDescent="0.2">
      <c r="K348" s="86"/>
    </row>
    <row r="349" spans="11:11" ht="15.75" customHeight="1" x14ac:dyDescent="0.2">
      <c r="K349" s="86"/>
    </row>
    <row r="350" spans="11:11" ht="15.75" customHeight="1" x14ac:dyDescent="0.2">
      <c r="K350" s="86"/>
    </row>
    <row r="351" spans="11:11" ht="15.75" customHeight="1" x14ac:dyDescent="0.2">
      <c r="K351" s="86"/>
    </row>
    <row r="352" spans="11:11" ht="15.75" customHeight="1" x14ac:dyDescent="0.2">
      <c r="K352" s="86"/>
    </row>
    <row r="353" spans="11:11" ht="15.75" customHeight="1" x14ac:dyDescent="0.2">
      <c r="K353" s="86"/>
    </row>
    <row r="354" spans="11:11" ht="15.75" customHeight="1" x14ac:dyDescent="0.2">
      <c r="K354" s="86"/>
    </row>
    <row r="355" spans="11:11" ht="15.75" customHeight="1" x14ac:dyDescent="0.2">
      <c r="K355" s="86"/>
    </row>
    <row r="356" spans="11:11" ht="15.75" customHeight="1" x14ac:dyDescent="0.2">
      <c r="K356" s="86"/>
    </row>
    <row r="357" spans="11:11" ht="15.75" customHeight="1" x14ac:dyDescent="0.2">
      <c r="K357" s="86"/>
    </row>
    <row r="358" spans="11:11" ht="15.75" customHeight="1" x14ac:dyDescent="0.2">
      <c r="K358" s="86"/>
    </row>
    <row r="359" spans="11:11" ht="15.75" customHeight="1" x14ac:dyDescent="0.2">
      <c r="K359" s="86"/>
    </row>
    <row r="360" spans="11:11" ht="15.75" customHeight="1" x14ac:dyDescent="0.2">
      <c r="K360" s="86"/>
    </row>
    <row r="361" spans="11:11" ht="15.75" customHeight="1" x14ac:dyDescent="0.2">
      <c r="K361" s="86"/>
    </row>
    <row r="362" spans="11:11" ht="15.75" customHeight="1" x14ac:dyDescent="0.2">
      <c r="K362" s="86"/>
    </row>
    <row r="363" spans="11:11" ht="15.75" customHeight="1" x14ac:dyDescent="0.2">
      <c r="K363" s="86"/>
    </row>
    <row r="364" spans="11:11" ht="15.75" customHeight="1" x14ac:dyDescent="0.2">
      <c r="K364" s="86"/>
    </row>
    <row r="365" spans="11:11" ht="15.75" customHeight="1" x14ac:dyDescent="0.2">
      <c r="K365" s="86"/>
    </row>
    <row r="366" spans="11:11" ht="15.75" customHeight="1" x14ac:dyDescent="0.2">
      <c r="K366" s="86"/>
    </row>
    <row r="367" spans="11:11" ht="15.75" customHeight="1" x14ac:dyDescent="0.2">
      <c r="K367" s="86"/>
    </row>
    <row r="368" spans="11:11" ht="15.75" customHeight="1" x14ac:dyDescent="0.2">
      <c r="K368" s="86"/>
    </row>
    <row r="369" spans="11:11" ht="15.75" customHeight="1" x14ac:dyDescent="0.2">
      <c r="K369" s="86"/>
    </row>
    <row r="370" spans="11:11" ht="15.75" customHeight="1" x14ac:dyDescent="0.2">
      <c r="K370" s="86"/>
    </row>
    <row r="371" spans="11:11" ht="15.75" customHeight="1" x14ac:dyDescent="0.2">
      <c r="K371" s="86"/>
    </row>
    <row r="372" spans="11:11" ht="15.75" customHeight="1" x14ac:dyDescent="0.2">
      <c r="K372" s="86"/>
    </row>
    <row r="373" spans="11:11" ht="15.75" customHeight="1" x14ac:dyDescent="0.2">
      <c r="K373" s="86"/>
    </row>
    <row r="374" spans="11:11" ht="15.75" customHeight="1" x14ac:dyDescent="0.2">
      <c r="K374" s="86"/>
    </row>
    <row r="375" spans="11:11" ht="15.75" customHeight="1" x14ac:dyDescent="0.2">
      <c r="K375" s="86"/>
    </row>
    <row r="376" spans="11:11" ht="15.75" customHeight="1" x14ac:dyDescent="0.2">
      <c r="K376" s="86"/>
    </row>
    <row r="377" spans="11:11" ht="15.75" customHeight="1" x14ac:dyDescent="0.2">
      <c r="K377" s="86"/>
    </row>
    <row r="378" spans="11:11" ht="15.75" customHeight="1" x14ac:dyDescent="0.2">
      <c r="K378" s="86"/>
    </row>
    <row r="379" spans="11:11" ht="15.75" customHeight="1" x14ac:dyDescent="0.2">
      <c r="K379" s="86"/>
    </row>
    <row r="380" spans="11:11" ht="15.75" customHeight="1" x14ac:dyDescent="0.2">
      <c r="K380" s="86"/>
    </row>
    <row r="381" spans="11:11" ht="15.75" customHeight="1" x14ac:dyDescent="0.2">
      <c r="K381" s="86"/>
    </row>
    <row r="382" spans="11:11" ht="15.75" customHeight="1" x14ac:dyDescent="0.2">
      <c r="K382" s="86"/>
    </row>
    <row r="383" spans="11:11" ht="15.75" customHeight="1" x14ac:dyDescent="0.2">
      <c r="K383" s="86"/>
    </row>
    <row r="384" spans="11:11" ht="15.75" customHeight="1" x14ac:dyDescent="0.2">
      <c r="K384" s="86"/>
    </row>
    <row r="385" spans="11:11" ht="15.75" customHeight="1" x14ac:dyDescent="0.2">
      <c r="K385" s="86"/>
    </row>
    <row r="386" spans="11:11" ht="15.75" customHeight="1" x14ac:dyDescent="0.2">
      <c r="K386" s="86"/>
    </row>
    <row r="387" spans="11:11" ht="15.75" customHeight="1" x14ac:dyDescent="0.2">
      <c r="K387" s="86"/>
    </row>
    <row r="388" spans="11:11" ht="15.75" customHeight="1" x14ac:dyDescent="0.2">
      <c r="K388" s="86"/>
    </row>
    <row r="389" spans="11:11" ht="15.75" customHeight="1" x14ac:dyDescent="0.2">
      <c r="K389" s="86"/>
    </row>
    <row r="390" spans="11:11" ht="15.75" customHeight="1" x14ac:dyDescent="0.2">
      <c r="K390" s="86"/>
    </row>
    <row r="391" spans="11:11" ht="15.75" customHeight="1" x14ac:dyDescent="0.2">
      <c r="K391" s="86"/>
    </row>
    <row r="392" spans="11:11" ht="15.75" customHeight="1" x14ac:dyDescent="0.2">
      <c r="K392" s="86"/>
    </row>
    <row r="393" spans="11:11" ht="15.75" customHeight="1" x14ac:dyDescent="0.2">
      <c r="K393" s="86"/>
    </row>
    <row r="394" spans="11:11" ht="15.75" customHeight="1" x14ac:dyDescent="0.2">
      <c r="K394" s="86"/>
    </row>
    <row r="395" spans="11:11" ht="15.75" customHeight="1" x14ac:dyDescent="0.2">
      <c r="K395" s="86"/>
    </row>
    <row r="396" spans="11:11" ht="15.75" customHeight="1" x14ac:dyDescent="0.2">
      <c r="K396" s="86"/>
    </row>
    <row r="397" spans="11:11" ht="15.75" customHeight="1" x14ac:dyDescent="0.2">
      <c r="K397" s="86"/>
    </row>
    <row r="398" spans="11:11" ht="15.75" customHeight="1" x14ac:dyDescent="0.2">
      <c r="K398" s="86"/>
    </row>
    <row r="399" spans="11:11" ht="15.75" customHeight="1" x14ac:dyDescent="0.2">
      <c r="K399" s="86"/>
    </row>
    <row r="400" spans="11:11" ht="15.75" customHeight="1" x14ac:dyDescent="0.2">
      <c r="K400" s="86"/>
    </row>
    <row r="401" spans="11:11" ht="15.75" customHeight="1" x14ac:dyDescent="0.2">
      <c r="K401" s="86"/>
    </row>
    <row r="402" spans="11:11" ht="15.75" customHeight="1" x14ac:dyDescent="0.2">
      <c r="K402" s="86"/>
    </row>
    <row r="403" spans="11:11" ht="15.75" customHeight="1" x14ac:dyDescent="0.2">
      <c r="K403" s="86"/>
    </row>
    <row r="404" spans="11:11" ht="15.75" customHeight="1" x14ac:dyDescent="0.2">
      <c r="K404" s="86"/>
    </row>
    <row r="405" spans="11:11" ht="15.75" customHeight="1" x14ac:dyDescent="0.2">
      <c r="K405" s="86"/>
    </row>
    <row r="406" spans="11:11" ht="15.75" customHeight="1" x14ac:dyDescent="0.2">
      <c r="K406" s="86"/>
    </row>
    <row r="407" spans="11:11" ht="15.75" customHeight="1" x14ac:dyDescent="0.2">
      <c r="K407" s="86"/>
    </row>
    <row r="408" spans="11:11" ht="15.75" customHeight="1" x14ac:dyDescent="0.2">
      <c r="K408" s="86"/>
    </row>
    <row r="409" spans="11:11" ht="15.75" customHeight="1" x14ac:dyDescent="0.2">
      <c r="K409" s="86"/>
    </row>
    <row r="410" spans="11:11" ht="15.75" customHeight="1" x14ac:dyDescent="0.2">
      <c r="K410" s="86"/>
    </row>
    <row r="411" spans="11:11" ht="15.75" customHeight="1" x14ac:dyDescent="0.2">
      <c r="K411" s="86"/>
    </row>
    <row r="412" spans="11:11" ht="15.75" customHeight="1" x14ac:dyDescent="0.2">
      <c r="K412" s="86"/>
    </row>
    <row r="413" spans="11:11" ht="15.75" customHeight="1" x14ac:dyDescent="0.2">
      <c r="K413" s="86"/>
    </row>
    <row r="414" spans="11:11" ht="15.75" customHeight="1" x14ac:dyDescent="0.2">
      <c r="K414" s="86"/>
    </row>
    <row r="415" spans="11:11" ht="15.75" customHeight="1" x14ac:dyDescent="0.2">
      <c r="K415" s="86"/>
    </row>
    <row r="416" spans="11:11" ht="15.75" customHeight="1" x14ac:dyDescent="0.2">
      <c r="K416" s="86"/>
    </row>
    <row r="417" spans="11:11" ht="15.75" customHeight="1" x14ac:dyDescent="0.2">
      <c r="K417" s="86"/>
    </row>
    <row r="418" spans="11:11" ht="15.75" customHeight="1" x14ac:dyDescent="0.2">
      <c r="K418" s="86"/>
    </row>
    <row r="419" spans="11:11" ht="15.75" customHeight="1" x14ac:dyDescent="0.2">
      <c r="K419" s="86"/>
    </row>
    <row r="420" spans="11:11" ht="15.75" customHeight="1" x14ac:dyDescent="0.2">
      <c r="K420" s="86"/>
    </row>
    <row r="421" spans="11:11" ht="15.75" customHeight="1" x14ac:dyDescent="0.2">
      <c r="K421" s="86"/>
    </row>
    <row r="422" spans="11:11" ht="15.75" customHeight="1" x14ac:dyDescent="0.2">
      <c r="K422" s="86"/>
    </row>
    <row r="423" spans="11:11" ht="15.75" customHeight="1" x14ac:dyDescent="0.2">
      <c r="K423" s="86"/>
    </row>
    <row r="424" spans="11:11" ht="15.75" customHeight="1" x14ac:dyDescent="0.2">
      <c r="K424" s="86"/>
    </row>
    <row r="425" spans="11:11" ht="15.75" customHeight="1" x14ac:dyDescent="0.2">
      <c r="K425" s="86"/>
    </row>
    <row r="426" spans="11:11" ht="15.75" customHeight="1" x14ac:dyDescent="0.2">
      <c r="K426" s="86"/>
    </row>
    <row r="427" spans="11:11" ht="15.75" customHeight="1" x14ac:dyDescent="0.2">
      <c r="K427" s="86"/>
    </row>
    <row r="428" spans="11:11" ht="15.75" customHeight="1" x14ac:dyDescent="0.2">
      <c r="K428" s="86"/>
    </row>
    <row r="429" spans="11:11" ht="15.75" customHeight="1" x14ac:dyDescent="0.2">
      <c r="K429" s="86"/>
    </row>
    <row r="430" spans="11:11" ht="15.75" customHeight="1" x14ac:dyDescent="0.2">
      <c r="K430" s="86"/>
    </row>
    <row r="431" spans="11:11" ht="15.75" customHeight="1" x14ac:dyDescent="0.2">
      <c r="K431" s="86"/>
    </row>
    <row r="432" spans="11:11" ht="15.75" customHeight="1" x14ac:dyDescent="0.2">
      <c r="K432" s="86"/>
    </row>
    <row r="433" spans="11:11" ht="15.75" customHeight="1" x14ac:dyDescent="0.2">
      <c r="K433" s="86"/>
    </row>
    <row r="434" spans="11:11" ht="15.75" customHeight="1" x14ac:dyDescent="0.2">
      <c r="K434" s="86"/>
    </row>
    <row r="435" spans="11:11" ht="15.75" customHeight="1" x14ac:dyDescent="0.2">
      <c r="K435" s="86"/>
    </row>
    <row r="436" spans="11:11" ht="15.75" customHeight="1" x14ac:dyDescent="0.2">
      <c r="K436" s="86"/>
    </row>
    <row r="437" spans="11:11" ht="15.75" customHeight="1" x14ac:dyDescent="0.2">
      <c r="K437" s="86"/>
    </row>
    <row r="438" spans="11:11" ht="15.75" customHeight="1" x14ac:dyDescent="0.2">
      <c r="K438" s="86"/>
    </row>
    <row r="439" spans="11:11" ht="15.75" customHeight="1" x14ac:dyDescent="0.2">
      <c r="K439" s="86"/>
    </row>
    <row r="440" spans="11:11" ht="15.75" customHeight="1" x14ac:dyDescent="0.2">
      <c r="K440" s="86"/>
    </row>
    <row r="441" spans="11:11" ht="15.75" customHeight="1" x14ac:dyDescent="0.2">
      <c r="K441" s="86"/>
    </row>
    <row r="442" spans="11:11" ht="15.75" customHeight="1" x14ac:dyDescent="0.2">
      <c r="K442" s="86"/>
    </row>
    <row r="443" spans="11:11" ht="15.75" customHeight="1" x14ac:dyDescent="0.2">
      <c r="K443" s="86"/>
    </row>
    <row r="444" spans="11:11" ht="15.75" customHeight="1" x14ac:dyDescent="0.2">
      <c r="K444" s="86"/>
    </row>
    <row r="445" spans="11:11" ht="15.75" customHeight="1" x14ac:dyDescent="0.2">
      <c r="K445" s="86"/>
    </row>
    <row r="446" spans="11:11" ht="15.75" customHeight="1" x14ac:dyDescent="0.2">
      <c r="K446" s="86"/>
    </row>
    <row r="447" spans="11:11" ht="15.75" customHeight="1" x14ac:dyDescent="0.2">
      <c r="K447" s="86"/>
    </row>
    <row r="448" spans="11:11" ht="15.75" customHeight="1" x14ac:dyDescent="0.2">
      <c r="K448" s="86"/>
    </row>
    <row r="449" spans="11:11" ht="15.75" customHeight="1" x14ac:dyDescent="0.2">
      <c r="K449" s="86"/>
    </row>
    <row r="450" spans="11:11" ht="15.75" customHeight="1" x14ac:dyDescent="0.2">
      <c r="K450" s="86"/>
    </row>
    <row r="451" spans="11:11" ht="15.75" customHeight="1" x14ac:dyDescent="0.2">
      <c r="K451" s="86"/>
    </row>
    <row r="452" spans="11:11" ht="15.75" customHeight="1" x14ac:dyDescent="0.2">
      <c r="K452" s="86"/>
    </row>
    <row r="453" spans="11:11" ht="15.75" customHeight="1" x14ac:dyDescent="0.2">
      <c r="K453" s="86"/>
    </row>
    <row r="454" spans="11:11" ht="15.75" customHeight="1" x14ac:dyDescent="0.2">
      <c r="K454" s="86"/>
    </row>
    <row r="455" spans="11:11" ht="15.75" customHeight="1" x14ac:dyDescent="0.2">
      <c r="K455" s="86"/>
    </row>
    <row r="456" spans="11:11" ht="15.75" customHeight="1" x14ac:dyDescent="0.2">
      <c r="K456" s="86"/>
    </row>
    <row r="457" spans="11:11" ht="15.75" customHeight="1" x14ac:dyDescent="0.2">
      <c r="K457" s="86"/>
    </row>
    <row r="458" spans="11:11" ht="15.75" customHeight="1" x14ac:dyDescent="0.2">
      <c r="K458" s="86"/>
    </row>
    <row r="459" spans="11:11" ht="15.75" customHeight="1" x14ac:dyDescent="0.2">
      <c r="K459" s="86"/>
    </row>
    <row r="460" spans="11:11" ht="15.75" customHeight="1" x14ac:dyDescent="0.2">
      <c r="K460" s="86"/>
    </row>
    <row r="461" spans="11:11" ht="15.75" customHeight="1" x14ac:dyDescent="0.2">
      <c r="K461" s="86"/>
    </row>
    <row r="462" spans="11:11" ht="15.75" customHeight="1" x14ac:dyDescent="0.2">
      <c r="K462" s="86"/>
    </row>
    <row r="463" spans="11:11" ht="15.75" customHeight="1" x14ac:dyDescent="0.2">
      <c r="K463" s="86"/>
    </row>
    <row r="464" spans="11:11" ht="15.75" customHeight="1" x14ac:dyDescent="0.2">
      <c r="K464" s="86"/>
    </row>
    <row r="465" spans="11:11" ht="15.75" customHeight="1" x14ac:dyDescent="0.2">
      <c r="K465" s="86"/>
    </row>
    <row r="466" spans="11:11" ht="15.75" customHeight="1" x14ac:dyDescent="0.2">
      <c r="K466" s="86"/>
    </row>
    <row r="467" spans="11:11" ht="15.75" customHeight="1" x14ac:dyDescent="0.2">
      <c r="K467" s="86"/>
    </row>
    <row r="468" spans="11:11" ht="15.75" customHeight="1" x14ac:dyDescent="0.2">
      <c r="K468" s="86"/>
    </row>
    <row r="469" spans="11:11" ht="15.75" customHeight="1" x14ac:dyDescent="0.2">
      <c r="K469" s="86"/>
    </row>
    <row r="470" spans="11:11" ht="15.75" customHeight="1" x14ac:dyDescent="0.2">
      <c r="K470" s="86"/>
    </row>
    <row r="471" spans="11:11" ht="15.75" customHeight="1" x14ac:dyDescent="0.2">
      <c r="K471" s="86"/>
    </row>
    <row r="472" spans="11:11" ht="15.75" customHeight="1" x14ac:dyDescent="0.2">
      <c r="K472" s="86"/>
    </row>
    <row r="473" spans="11:11" ht="15.75" customHeight="1" x14ac:dyDescent="0.2">
      <c r="K473" s="86"/>
    </row>
    <row r="474" spans="11:11" ht="15.75" customHeight="1" x14ac:dyDescent="0.2">
      <c r="K474" s="86"/>
    </row>
    <row r="475" spans="11:11" ht="15.75" customHeight="1" x14ac:dyDescent="0.2">
      <c r="K475" s="86"/>
    </row>
    <row r="476" spans="11:11" ht="15.75" customHeight="1" x14ac:dyDescent="0.2">
      <c r="K476" s="86"/>
    </row>
    <row r="477" spans="11:11" ht="15.75" customHeight="1" x14ac:dyDescent="0.2">
      <c r="K477" s="86"/>
    </row>
    <row r="478" spans="11:11" ht="15.75" customHeight="1" x14ac:dyDescent="0.2">
      <c r="K478" s="86"/>
    </row>
    <row r="479" spans="11:11" ht="15.75" customHeight="1" x14ac:dyDescent="0.2">
      <c r="K479" s="86"/>
    </row>
    <row r="480" spans="11:11" ht="15.75" customHeight="1" x14ac:dyDescent="0.2">
      <c r="K480" s="86"/>
    </row>
    <row r="481" spans="11:11" ht="15.75" customHeight="1" x14ac:dyDescent="0.2">
      <c r="K481" s="86"/>
    </row>
    <row r="482" spans="11:11" ht="15.75" customHeight="1" x14ac:dyDescent="0.2">
      <c r="K482" s="86"/>
    </row>
    <row r="483" spans="11:11" ht="15.75" customHeight="1" x14ac:dyDescent="0.2">
      <c r="K483" s="86"/>
    </row>
    <row r="484" spans="11:11" ht="15.75" customHeight="1" x14ac:dyDescent="0.2">
      <c r="K484" s="86"/>
    </row>
    <row r="485" spans="11:11" ht="15.75" customHeight="1" x14ac:dyDescent="0.2">
      <c r="K485" s="86"/>
    </row>
    <row r="486" spans="11:11" ht="15.75" customHeight="1" x14ac:dyDescent="0.2">
      <c r="K486" s="86"/>
    </row>
    <row r="487" spans="11:11" ht="15.75" customHeight="1" x14ac:dyDescent="0.2">
      <c r="K487" s="86"/>
    </row>
    <row r="488" spans="11:11" ht="15.75" customHeight="1" x14ac:dyDescent="0.2">
      <c r="K488" s="86"/>
    </row>
    <row r="489" spans="11:11" ht="15.75" customHeight="1" x14ac:dyDescent="0.2">
      <c r="K489" s="86"/>
    </row>
    <row r="490" spans="11:11" ht="15.75" customHeight="1" x14ac:dyDescent="0.2">
      <c r="K490" s="86"/>
    </row>
    <row r="491" spans="11:11" ht="15.75" customHeight="1" x14ac:dyDescent="0.2">
      <c r="K491" s="86"/>
    </row>
    <row r="492" spans="11:11" ht="15.75" customHeight="1" x14ac:dyDescent="0.2">
      <c r="K492" s="86"/>
    </row>
    <row r="493" spans="11:11" ht="15.75" customHeight="1" x14ac:dyDescent="0.2">
      <c r="K493" s="86"/>
    </row>
    <row r="494" spans="11:11" ht="15.75" customHeight="1" x14ac:dyDescent="0.2">
      <c r="K494" s="86"/>
    </row>
    <row r="495" spans="11:11" ht="15.75" customHeight="1" x14ac:dyDescent="0.2">
      <c r="K495" s="86"/>
    </row>
    <row r="496" spans="11:11" ht="15.75" customHeight="1" x14ac:dyDescent="0.2">
      <c r="K496" s="86"/>
    </row>
    <row r="497" spans="11:11" ht="15.75" customHeight="1" x14ac:dyDescent="0.2">
      <c r="K497" s="86"/>
    </row>
    <row r="498" spans="11:11" ht="15.75" customHeight="1" x14ac:dyDescent="0.2">
      <c r="K498" s="86"/>
    </row>
    <row r="499" spans="11:11" ht="15.75" customHeight="1" x14ac:dyDescent="0.2">
      <c r="K499" s="86"/>
    </row>
    <row r="500" spans="11:11" ht="15.75" customHeight="1" x14ac:dyDescent="0.2">
      <c r="K500" s="86"/>
    </row>
    <row r="501" spans="11:11" ht="15.75" customHeight="1" x14ac:dyDescent="0.2">
      <c r="K501" s="86"/>
    </row>
    <row r="502" spans="11:11" ht="15.75" customHeight="1" x14ac:dyDescent="0.2">
      <c r="K502" s="86"/>
    </row>
    <row r="503" spans="11:11" ht="15.75" customHeight="1" x14ac:dyDescent="0.2">
      <c r="K503" s="86"/>
    </row>
    <row r="504" spans="11:11" ht="15.75" customHeight="1" x14ac:dyDescent="0.2">
      <c r="K504" s="86"/>
    </row>
    <row r="505" spans="11:11" ht="15.75" customHeight="1" x14ac:dyDescent="0.2">
      <c r="K505" s="86"/>
    </row>
    <row r="506" spans="11:11" ht="15.75" customHeight="1" x14ac:dyDescent="0.2">
      <c r="K506" s="86"/>
    </row>
    <row r="507" spans="11:11" ht="15.75" customHeight="1" x14ac:dyDescent="0.2">
      <c r="K507" s="86"/>
    </row>
    <row r="508" spans="11:11" ht="15.75" customHeight="1" x14ac:dyDescent="0.2">
      <c r="K508" s="86"/>
    </row>
    <row r="509" spans="11:11" ht="15.75" customHeight="1" x14ac:dyDescent="0.2">
      <c r="K509" s="86"/>
    </row>
    <row r="510" spans="11:11" ht="15.75" customHeight="1" x14ac:dyDescent="0.2">
      <c r="K510" s="86"/>
    </row>
    <row r="511" spans="11:11" ht="15.75" customHeight="1" x14ac:dyDescent="0.2">
      <c r="K511" s="86"/>
    </row>
    <row r="512" spans="11:11" ht="15.75" customHeight="1" x14ac:dyDescent="0.2">
      <c r="K512" s="86"/>
    </row>
    <row r="513" spans="11:11" ht="15.75" customHeight="1" x14ac:dyDescent="0.2">
      <c r="K513" s="86"/>
    </row>
    <row r="514" spans="11:11" ht="15.75" customHeight="1" x14ac:dyDescent="0.2">
      <c r="K514" s="86"/>
    </row>
    <row r="515" spans="11:11" ht="15.75" customHeight="1" x14ac:dyDescent="0.2">
      <c r="K515" s="86"/>
    </row>
    <row r="516" spans="11:11" ht="15.75" customHeight="1" x14ac:dyDescent="0.2">
      <c r="K516" s="86"/>
    </row>
    <row r="517" spans="11:11" ht="15.75" customHeight="1" x14ac:dyDescent="0.2">
      <c r="K517" s="86"/>
    </row>
    <row r="518" spans="11:11" ht="15.75" customHeight="1" x14ac:dyDescent="0.2">
      <c r="K518" s="86"/>
    </row>
    <row r="519" spans="11:11" ht="15.75" customHeight="1" x14ac:dyDescent="0.2">
      <c r="K519" s="86"/>
    </row>
    <row r="520" spans="11:11" ht="15.75" customHeight="1" x14ac:dyDescent="0.2">
      <c r="K520" s="86"/>
    </row>
    <row r="521" spans="11:11" ht="15.75" customHeight="1" x14ac:dyDescent="0.2">
      <c r="K521" s="86"/>
    </row>
    <row r="522" spans="11:11" ht="15.75" customHeight="1" x14ac:dyDescent="0.2">
      <c r="K522" s="86"/>
    </row>
    <row r="523" spans="11:11" ht="15.75" customHeight="1" x14ac:dyDescent="0.2">
      <c r="K523" s="86"/>
    </row>
    <row r="524" spans="11:11" ht="15.75" customHeight="1" x14ac:dyDescent="0.2">
      <c r="K524" s="86"/>
    </row>
    <row r="525" spans="11:11" ht="15.75" customHeight="1" x14ac:dyDescent="0.2">
      <c r="K525" s="86"/>
    </row>
    <row r="526" spans="11:11" ht="15.75" customHeight="1" x14ac:dyDescent="0.2">
      <c r="K526" s="86"/>
    </row>
    <row r="527" spans="11:11" ht="15.75" customHeight="1" x14ac:dyDescent="0.2">
      <c r="K527" s="86"/>
    </row>
    <row r="528" spans="11:11" ht="15.75" customHeight="1" x14ac:dyDescent="0.2">
      <c r="K528" s="86"/>
    </row>
    <row r="529" spans="11:11" ht="15.75" customHeight="1" x14ac:dyDescent="0.2">
      <c r="K529" s="86"/>
    </row>
    <row r="530" spans="11:11" ht="15.75" customHeight="1" x14ac:dyDescent="0.2">
      <c r="K530" s="86"/>
    </row>
    <row r="531" spans="11:11" ht="15.75" customHeight="1" x14ac:dyDescent="0.2">
      <c r="K531" s="86"/>
    </row>
    <row r="532" spans="11:11" ht="15.75" customHeight="1" x14ac:dyDescent="0.2">
      <c r="K532" s="86"/>
    </row>
    <row r="533" spans="11:11" ht="15.75" customHeight="1" x14ac:dyDescent="0.2">
      <c r="K533" s="86"/>
    </row>
    <row r="534" spans="11:11" ht="15.75" customHeight="1" x14ac:dyDescent="0.2">
      <c r="K534" s="86"/>
    </row>
    <row r="535" spans="11:11" ht="15.75" customHeight="1" x14ac:dyDescent="0.2">
      <c r="K535" s="86"/>
    </row>
    <row r="536" spans="11:11" ht="15.75" customHeight="1" x14ac:dyDescent="0.2">
      <c r="K536" s="86"/>
    </row>
    <row r="537" spans="11:11" ht="15.75" customHeight="1" x14ac:dyDescent="0.2">
      <c r="K537" s="86"/>
    </row>
    <row r="538" spans="11:11" ht="15.75" customHeight="1" x14ac:dyDescent="0.2">
      <c r="K538" s="86"/>
    </row>
    <row r="539" spans="11:11" ht="15.75" customHeight="1" x14ac:dyDescent="0.2">
      <c r="K539" s="86"/>
    </row>
    <row r="540" spans="11:11" ht="15.75" customHeight="1" x14ac:dyDescent="0.2">
      <c r="K540" s="86"/>
    </row>
    <row r="541" spans="11:11" ht="15.75" customHeight="1" x14ac:dyDescent="0.2">
      <c r="K541" s="86"/>
    </row>
    <row r="542" spans="11:11" ht="15.75" customHeight="1" x14ac:dyDescent="0.2">
      <c r="K542" s="86"/>
    </row>
    <row r="543" spans="11:11" ht="15.75" customHeight="1" x14ac:dyDescent="0.2">
      <c r="K543" s="86"/>
    </row>
    <row r="544" spans="11:11" ht="15.75" customHeight="1" x14ac:dyDescent="0.2">
      <c r="K544" s="86"/>
    </row>
    <row r="545" spans="11:11" ht="15.75" customHeight="1" x14ac:dyDescent="0.2">
      <c r="K545" s="86"/>
    </row>
    <row r="546" spans="11:11" ht="15.75" customHeight="1" x14ac:dyDescent="0.2">
      <c r="K546" s="86"/>
    </row>
    <row r="547" spans="11:11" ht="15.75" customHeight="1" x14ac:dyDescent="0.2">
      <c r="K547" s="86"/>
    </row>
    <row r="548" spans="11:11" ht="15.75" customHeight="1" x14ac:dyDescent="0.2">
      <c r="K548" s="86"/>
    </row>
    <row r="549" spans="11:11" ht="15.75" customHeight="1" x14ac:dyDescent="0.2">
      <c r="K549" s="86"/>
    </row>
    <row r="550" spans="11:11" ht="15.75" customHeight="1" x14ac:dyDescent="0.2">
      <c r="K550" s="86"/>
    </row>
    <row r="551" spans="11:11" ht="15.75" customHeight="1" x14ac:dyDescent="0.2">
      <c r="K551" s="86"/>
    </row>
    <row r="552" spans="11:11" ht="15.75" customHeight="1" x14ac:dyDescent="0.2">
      <c r="K552" s="86"/>
    </row>
    <row r="553" spans="11:11" ht="15.75" customHeight="1" x14ac:dyDescent="0.2">
      <c r="K553" s="86"/>
    </row>
    <row r="554" spans="11:11" ht="15.75" customHeight="1" x14ac:dyDescent="0.2">
      <c r="K554" s="86"/>
    </row>
    <row r="555" spans="11:11" ht="15.75" customHeight="1" x14ac:dyDescent="0.2">
      <c r="K555" s="86"/>
    </row>
    <row r="556" spans="11:11" ht="15.75" customHeight="1" x14ac:dyDescent="0.2">
      <c r="K556" s="86"/>
    </row>
    <row r="557" spans="11:11" ht="15.75" customHeight="1" x14ac:dyDescent="0.2">
      <c r="K557" s="86"/>
    </row>
    <row r="558" spans="11:11" ht="15.75" customHeight="1" x14ac:dyDescent="0.2">
      <c r="K558" s="86"/>
    </row>
    <row r="559" spans="11:11" ht="15.75" customHeight="1" x14ac:dyDescent="0.2">
      <c r="K559" s="86"/>
    </row>
    <row r="560" spans="11:11" ht="15.75" customHeight="1" x14ac:dyDescent="0.2">
      <c r="K560" s="86"/>
    </row>
    <row r="561" spans="11:11" ht="15.75" customHeight="1" x14ac:dyDescent="0.2">
      <c r="K561" s="86"/>
    </row>
    <row r="562" spans="11:11" ht="15.75" customHeight="1" x14ac:dyDescent="0.2">
      <c r="K562" s="86"/>
    </row>
    <row r="563" spans="11:11" ht="15.75" customHeight="1" x14ac:dyDescent="0.2">
      <c r="K563" s="86"/>
    </row>
    <row r="564" spans="11:11" ht="15.75" customHeight="1" x14ac:dyDescent="0.2">
      <c r="K564" s="86"/>
    </row>
    <row r="565" spans="11:11" ht="15.75" customHeight="1" x14ac:dyDescent="0.2">
      <c r="K565" s="86"/>
    </row>
    <row r="566" spans="11:11" ht="15.75" customHeight="1" x14ac:dyDescent="0.2">
      <c r="K566" s="86"/>
    </row>
    <row r="567" spans="11:11" ht="15.75" customHeight="1" x14ac:dyDescent="0.2">
      <c r="K567" s="86"/>
    </row>
    <row r="568" spans="11:11" ht="15.75" customHeight="1" x14ac:dyDescent="0.2">
      <c r="K568" s="86"/>
    </row>
    <row r="569" spans="11:11" ht="15.75" customHeight="1" x14ac:dyDescent="0.2">
      <c r="K569" s="86"/>
    </row>
    <row r="570" spans="11:11" ht="15.75" customHeight="1" x14ac:dyDescent="0.2">
      <c r="K570" s="86"/>
    </row>
    <row r="571" spans="11:11" ht="15.75" customHeight="1" x14ac:dyDescent="0.2">
      <c r="K571" s="86"/>
    </row>
    <row r="572" spans="11:11" ht="15.75" customHeight="1" x14ac:dyDescent="0.2">
      <c r="K572" s="86"/>
    </row>
    <row r="573" spans="11:11" ht="15.75" customHeight="1" x14ac:dyDescent="0.2">
      <c r="K573" s="86"/>
    </row>
    <row r="574" spans="11:11" ht="15.75" customHeight="1" x14ac:dyDescent="0.2">
      <c r="K574" s="86"/>
    </row>
    <row r="575" spans="11:11" ht="15.75" customHeight="1" x14ac:dyDescent="0.2">
      <c r="K575" s="86"/>
    </row>
    <row r="576" spans="11:11" ht="15.75" customHeight="1" x14ac:dyDescent="0.2">
      <c r="K576" s="86"/>
    </row>
    <row r="577" spans="11:11" ht="15.75" customHeight="1" x14ac:dyDescent="0.2">
      <c r="K577" s="86"/>
    </row>
    <row r="578" spans="11:11" ht="15.75" customHeight="1" x14ac:dyDescent="0.2">
      <c r="K578" s="86"/>
    </row>
    <row r="579" spans="11:11" ht="15.75" customHeight="1" x14ac:dyDescent="0.2">
      <c r="K579" s="86"/>
    </row>
    <row r="580" spans="11:11" ht="15.75" customHeight="1" x14ac:dyDescent="0.2">
      <c r="K580" s="86"/>
    </row>
    <row r="581" spans="11:11" ht="15.75" customHeight="1" x14ac:dyDescent="0.2">
      <c r="K581" s="86"/>
    </row>
    <row r="582" spans="11:11" ht="15.75" customHeight="1" x14ac:dyDescent="0.2">
      <c r="K582" s="86"/>
    </row>
    <row r="583" spans="11:11" ht="15.75" customHeight="1" x14ac:dyDescent="0.2">
      <c r="K583" s="86"/>
    </row>
    <row r="584" spans="11:11" ht="15.75" customHeight="1" x14ac:dyDescent="0.2">
      <c r="K584" s="86"/>
    </row>
    <row r="585" spans="11:11" ht="15.75" customHeight="1" x14ac:dyDescent="0.2">
      <c r="K585" s="86"/>
    </row>
    <row r="586" spans="11:11" ht="15.75" customHeight="1" x14ac:dyDescent="0.2">
      <c r="K586" s="86"/>
    </row>
    <row r="587" spans="11:11" ht="15.75" customHeight="1" x14ac:dyDescent="0.2">
      <c r="K587" s="86"/>
    </row>
    <row r="588" spans="11:11" ht="15.75" customHeight="1" x14ac:dyDescent="0.2">
      <c r="K588" s="86"/>
    </row>
    <row r="589" spans="11:11" ht="15.75" customHeight="1" x14ac:dyDescent="0.2">
      <c r="K589" s="86"/>
    </row>
    <row r="590" spans="11:11" ht="15.75" customHeight="1" x14ac:dyDescent="0.2">
      <c r="K590" s="86"/>
    </row>
    <row r="591" spans="11:11" ht="15.75" customHeight="1" x14ac:dyDescent="0.2">
      <c r="K591" s="86"/>
    </row>
    <row r="592" spans="11:11" ht="15.75" customHeight="1" x14ac:dyDescent="0.2">
      <c r="K592" s="86"/>
    </row>
    <row r="593" spans="11:11" ht="15.75" customHeight="1" x14ac:dyDescent="0.2">
      <c r="K593" s="86"/>
    </row>
    <row r="594" spans="11:11" ht="15.75" customHeight="1" x14ac:dyDescent="0.2">
      <c r="K594" s="86"/>
    </row>
    <row r="595" spans="11:11" ht="15.75" customHeight="1" x14ac:dyDescent="0.2">
      <c r="K595" s="86"/>
    </row>
    <row r="596" spans="11:11" ht="15.75" customHeight="1" x14ac:dyDescent="0.2">
      <c r="K596" s="86"/>
    </row>
    <row r="597" spans="11:11" ht="15.75" customHeight="1" x14ac:dyDescent="0.2">
      <c r="K597" s="86"/>
    </row>
    <row r="598" spans="11:11" ht="15.75" customHeight="1" x14ac:dyDescent="0.2">
      <c r="K598" s="86"/>
    </row>
    <row r="599" spans="11:11" ht="15.75" customHeight="1" x14ac:dyDescent="0.2">
      <c r="K599" s="86"/>
    </row>
    <row r="600" spans="11:11" ht="15.75" customHeight="1" x14ac:dyDescent="0.2">
      <c r="K600" s="86"/>
    </row>
    <row r="601" spans="11:11" ht="15.75" customHeight="1" x14ac:dyDescent="0.2">
      <c r="K601" s="86"/>
    </row>
    <row r="602" spans="11:11" ht="15.75" customHeight="1" x14ac:dyDescent="0.2">
      <c r="K602" s="86"/>
    </row>
    <row r="603" spans="11:11" ht="15.75" customHeight="1" x14ac:dyDescent="0.2">
      <c r="K603" s="86"/>
    </row>
    <row r="604" spans="11:11" ht="15.75" customHeight="1" x14ac:dyDescent="0.2">
      <c r="K604" s="86"/>
    </row>
    <row r="605" spans="11:11" ht="15.75" customHeight="1" x14ac:dyDescent="0.2">
      <c r="K605" s="86"/>
    </row>
    <row r="606" spans="11:11" ht="15.75" customHeight="1" x14ac:dyDescent="0.2">
      <c r="K606" s="86"/>
    </row>
    <row r="607" spans="11:11" ht="15.75" customHeight="1" x14ac:dyDescent="0.2">
      <c r="K607" s="86"/>
    </row>
    <row r="608" spans="11:11" ht="15.75" customHeight="1" x14ac:dyDescent="0.2">
      <c r="K608" s="86"/>
    </row>
    <row r="609" spans="11:11" ht="15.75" customHeight="1" x14ac:dyDescent="0.2">
      <c r="K609" s="86"/>
    </row>
    <row r="610" spans="11:11" ht="15.75" customHeight="1" x14ac:dyDescent="0.2">
      <c r="K610" s="86"/>
    </row>
    <row r="611" spans="11:11" ht="15.75" customHeight="1" x14ac:dyDescent="0.2">
      <c r="K611" s="86"/>
    </row>
    <row r="612" spans="11:11" ht="15.75" customHeight="1" x14ac:dyDescent="0.2">
      <c r="K612" s="86"/>
    </row>
    <row r="613" spans="11:11" ht="15.75" customHeight="1" x14ac:dyDescent="0.2">
      <c r="K613" s="86"/>
    </row>
    <row r="614" spans="11:11" ht="15.75" customHeight="1" x14ac:dyDescent="0.2">
      <c r="K614" s="86"/>
    </row>
    <row r="615" spans="11:11" ht="15.75" customHeight="1" x14ac:dyDescent="0.2">
      <c r="K615" s="86"/>
    </row>
    <row r="616" spans="11:11" ht="15.75" customHeight="1" x14ac:dyDescent="0.2">
      <c r="K616" s="86"/>
    </row>
    <row r="617" spans="11:11" ht="15.75" customHeight="1" x14ac:dyDescent="0.2">
      <c r="K617" s="86"/>
    </row>
    <row r="618" spans="11:11" ht="15.75" customHeight="1" x14ac:dyDescent="0.2">
      <c r="K618" s="86"/>
    </row>
    <row r="619" spans="11:11" ht="15.75" customHeight="1" x14ac:dyDescent="0.2">
      <c r="K619" s="86"/>
    </row>
    <row r="620" spans="11:11" ht="15.75" customHeight="1" x14ac:dyDescent="0.2">
      <c r="K620" s="86"/>
    </row>
    <row r="621" spans="11:11" ht="15.75" customHeight="1" x14ac:dyDescent="0.2">
      <c r="K621" s="86"/>
    </row>
    <row r="622" spans="11:11" ht="15.75" customHeight="1" x14ac:dyDescent="0.2">
      <c r="K622" s="86"/>
    </row>
    <row r="623" spans="11:11" ht="15.75" customHeight="1" x14ac:dyDescent="0.2">
      <c r="K623" s="86"/>
    </row>
    <row r="624" spans="11:11" ht="15.75" customHeight="1" x14ac:dyDescent="0.2">
      <c r="K624" s="86"/>
    </row>
    <row r="625" spans="11:11" ht="15.75" customHeight="1" x14ac:dyDescent="0.2">
      <c r="K625" s="86"/>
    </row>
    <row r="626" spans="11:11" ht="15.75" customHeight="1" x14ac:dyDescent="0.2">
      <c r="K626" s="86"/>
    </row>
    <row r="627" spans="11:11" ht="15.75" customHeight="1" x14ac:dyDescent="0.2">
      <c r="K627" s="86"/>
    </row>
    <row r="628" spans="11:11" ht="15.75" customHeight="1" x14ac:dyDescent="0.2">
      <c r="K628" s="86"/>
    </row>
    <row r="629" spans="11:11" ht="15.75" customHeight="1" x14ac:dyDescent="0.2">
      <c r="K629" s="86"/>
    </row>
    <row r="630" spans="11:11" ht="15.75" customHeight="1" x14ac:dyDescent="0.2">
      <c r="K630" s="86"/>
    </row>
    <row r="631" spans="11:11" ht="15.75" customHeight="1" x14ac:dyDescent="0.2">
      <c r="K631" s="86"/>
    </row>
    <row r="632" spans="11:11" ht="15.75" customHeight="1" x14ac:dyDescent="0.2">
      <c r="K632" s="86"/>
    </row>
    <row r="633" spans="11:11" ht="15.75" customHeight="1" x14ac:dyDescent="0.2">
      <c r="K633" s="86"/>
    </row>
    <row r="634" spans="11:11" ht="15.75" customHeight="1" x14ac:dyDescent="0.2">
      <c r="K634" s="86"/>
    </row>
    <row r="635" spans="11:11" ht="15.75" customHeight="1" x14ac:dyDescent="0.2">
      <c r="K635" s="86"/>
    </row>
    <row r="636" spans="11:11" ht="15.75" customHeight="1" x14ac:dyDescent="0.2">
      <c r="K636" s="86"/>
    </row>
    <row r="637" spans="11:11" ht="15.75" customHeight="1" x14ac:dyDescent="0.2">
      <c r="K637" s="86"/>
    </row>
    <row r="638" spans="11:11" ht="15.75" customHeight="1" x14ac:dyDescent="0.2">
      <c r="K638" s="86"/>
    </row>
    <row r="639" spans="11:11" ht="15.75" customHeight="1" x14ac:dyDescent="0.2">
      <c r="K639" s="86"/>
    </row>
    <row r="640" spans="11:11" ht="15.75" customHeight="1" x14ac:dyDescent="0.2">
      <c r="K640" s="86"/>
    </row>
    <row r="641" spans="11:11" ht="15.75" customHeight="1" x14ac:dyDescent="0.2">
      <c r="K641" s="86"/>
    </row>
    <row r="642" spans="11:11" ht="15.75" customHeight="1" x14ac:dyDescent="0.2">
      <c r="K642" s="86"/>
    </row>
    <row r="643" spans="11:11" ht="15.75" customHeight="1" x14ac:dyDescent="0.2">
      <c r="K643" s="86"/>
    </row>
    <row r="644" spans="11:11" ht="15.75" customHeight="1" x14ac:dyDescent="0.2">
      <c r="K644" s="86"/>
    </row>
    <row r="645" spans="11:11" ht="15.75" customHeight="1" x14ac:dyDescent="0.2">
      <c r="K645" s="86"/>
    </row>
    <row r="646" spans="11:11" ht="15.75" customHeight="1" x14ac:dyDescent="0.2">
      <c r="K646" s="86"/>
    </row>
    <row r="647" spans="11:11" ht="15.75" customHeight="1" x14ac:dyDescent="0.2">
      <c r="K647" s="86"/>
    </row>
    <row r="648" spans="11:11" ht="15.75" customHeight="1" x14ac:dyDescent="0.2">
      <c r="K648" s="86"/>
    </row>
    <row r="649" spans="11:11" ht="15.75" customHeight="1" x14ac:dyDescent="0.2">
      <c r="K649" s="86"/>
    </row>
    <row r="650" spans="11:11" ht="15.75" customHeight="1" x14ac:dyDescent="0.2">
      <c r="K650" s="86"/>
    </row>
    <row r="651" spans="11:11" ht="15.75" customHeight="1" x14ac:dyDescent="0.2">
      <c r="K651" s="86"/>
    </row>
    <row r="652" spans="11:11" ht="15.75" customHeight="1" x14ac:dyDescent="0.2">
      <c r="K652" s="86"/>
    </row>
    <row r="653" spans="11:11" ht="15.75" customHeight="1" x14ac:dyDescent="0.2">
      <c r="K653" s="86"/>
    </row>
    <row r="654" spans="11:11" ht="15.75" customHeight="1" x14ac:dyDescent="0.2">
      <c r="K654" s="86"/>
    </row>
    <row r="655" spans="11:11" ht="15.75" customHeight="1" x14ac:dyDescent="0.2">
      <c r="K655" s="86"/>
    </row>
    <row r="656" spans="11:11" ht="15.75" customHeight="1" x14ac:dyDescent="0.2">
      <c r="K656" s="86"/>
    </row>
    <row r="657" spans="11:11" ht="15.75" customHeight="1" x14ac:dyDescent="0.2">
      <c r="K657" s="86"/>
    </row>
    <row r="658" spans="11:11" ht="15.75" customHeight="1" x14ac:dyDescent="0.2">
      <c r="K658" s="86"/>
    </row>
    <row r="659" spans="11:11" ht="15.75" customHeight="1" x14ac:dyDescent="0.2">
      <c r="K659" s="86"/>
    </row>
    <row r="660" spans="11:11" ht="15.75" customHeight="1" x14ac:dyDescent="0.2">
      <c r="K660" s="86"/>
    </row>
    <row r="661" spans="11:11" ht="15.75" customHeight="1" x14ac:dyDescent="0.2">
      <c r="K661" s="86"/>
    </row>
    <row r="662" spans="11:11" ht="15.75" customHeight="1" x14ac:dyDescent="0.2">
      <c r="K662" s="86"/>
    </row>
    <row r="663" spans="11:11" ht="15.75" customHeight="1" x14ac:dyDescent="0.2">
      <c r="K663" s="86"/>
    </row>
    <row r="664" spans="11:11" ht="15.75" customHeight="1" x14ac:dyDescent="0.2">
      <c r="K664" s="86"/>
    </row>
    <row r="665" spans="11:11" ht="15.75" customHeight="1" x14ac:dyDescent="0.2">
      <c r="K665" s="86"/>
    </row>
    <row r="666" spans="11:11" ht="15.75" customHeight="1" x14ac:dyDescent="0.2">
      <c r="K666" s="86"/>
    </row>
    <row r="667" spans="11:11" ht="15.75" customHeight="1" x14ac:dyDescent="0.2">
      <c r="K667" s="86"/>
    </row>
    <row r="668" spans="11:11" ht="15.75" customHeight="1" x14ac:dyDescent="0.2">
      <c r="K668" s="86"/>
    </row>
    <row r="669" spans="11:11" ht="15.75" customHeight="1" x14ac:dyDescent="0.2">
      <c r="K669" s="86"/>
    </row>
    <row r="670" spans="11:11" ht="15.75" customHeight="1" x14ac:dyDescent="0.2">
      <c r="K670" s="86"/>
    </row>
    <row r="671" spans="11:11" ht="15.75" customHeight="1" x14ac:dyDescent="0.2">
      <c r="K671" s="86"/>
    </row>
    <row r="672" spans="11:11" ht="15.75" customHeight="1" x14ac:dyDescent="0.2">
      <c r="K672" s="86"/>
    </row>
    <row r="673" spans="11:11" ht="15.75" customHeight="1" x14ac:dyDescent="0.2">
      <c r="K673" s="86"/>
    </row>
    <row r="674" spans="11:11" ht="15.75" customHeight="1" x14ac:dyDescent="0.2">
      <c r="K674" s="86"/>
    </row>
    <row r="675" spans="11:11" ht="15.75" customHeight="1" x14ac:dyDescent="0.2">
      <c r="K675" s="86"/>
    </row>
    <row r="676" spans="11:11" ht="15.75" customHeight="1" x14ac:dyDescent="0.2">
      <c r="K676" s="86"/>
    </row>
    <row r="677" spans="11:11" ht="15.75" customHeight="1" x14ac:dyDescent="0.2">
      <c r="K677" s="86"/>
    </row>
    <row r="678" spans="11:11" ht="15.75" customHeight="1" x14ac:dyDescent="0.2">
      <c r="K678" s="86"/>
    </row>
    <row r="679" spans="11:11" ht="15.75" customHeight="1" x14ac:dyDescent="0.2">
      <c r="K679" s="86"/>
    </row>
    <row r="680" spans="11:11" ht="15.75" customHeight="1" x14ac:dyDescent="0.2">
      <c r="K680" s="86"/>
    </row>
    <row r="681" spans="11:11" ht="15.75" customHeight="1" x14ac:dyDescent="0.2">
      <c r="K681" s="86"/>
    </row>
    <row r="682" spans="11:11" ht="15.75" customHeight="1" x14ac:dyDescent="0.2">
      <c r="K682" s="86"/>
    </row>
    <row r="683" spans="11:11" ht="15.75" customHeight="1" x14ac:dyDescent="0.2">
      <c r="K683" s="86"/>
    </row>
    <row r="684" spans="11:11" ht="15.75" customHeight="1" x14ac:dyDescent="0.2">
      <c r="K684" s="86"/>
    </row>
    <row r="685" spans="11:11" ht="15.75" customHeight="1" x14ac:dyDescent="0.2">
      <c r="K685" s="86"/>
    </row>
    <row r="686" spans="11:11" ht="15.75" customHeight="1" x14ac:dyDescent="0.2">
      <c r="K686" s="86"/>
    </row>
    <row r="687" spans="11:11" ht="15.75" customHeight="1" x14ac:dyDescent="0.2">
      <c r="K687" s="86"/>
    </row>
    <row r="688" spans="11:11" ht="15.75" customHeight="1" x14ac:dyDescent="0.2">
      <c r="K688" s="86"/>
    </row>
    <row r="689" spans="11:11" ht="15.75" customHeight="1" x14ac:dyDescent="0.2">
      <c r="K689" s="86"/>
    </row>
    <row r="690" spans="11:11" ht="15.75" customHeight="1" x14ac:dyDescent="0.2">
      <c r="K690" s="86"/>
    </row>
    <row r="691" spans="11:11" ht="15.75" customHeight="1" x14ac:dyDescent="0.2">
      <c r="K691" s="86"/>
    </row>
    <row r="692" spans="11:11" ht="15.75" customHeight="1" x14ac:dyDescent="0.2">
      <c r="K692" s="86"/>
    </row>
    <row r="693" spans="11:11" ht="15.75" customHeight="1" x14ac:dyDescent="0.2">
      <c r="K693" s="86"/>
    </row>
    <row r="694" spans="11:11" ht="15.75" customHeight="1" x14ac:dyDescent="0.2">
      <c r="K694" s="86"/>
    </row>
    <row r="695" spans="11:11" ht="15.75" customHeight="1" x14ac:dyDescent="0.2">
      <c r="K695" s="86"/>
    </row>
    <row r="696" spans="11:11" ht="15.75" customHeight="1" x14ac:dyDescent="0.2">
      <c r="K696" s="86"/>
    </row>
    <row r="697" spans="11:11" ht="15.75" customHeight="1" x14ac:dyDescent="0.2">
      <c r="K697" s="86"/>
    </row>
    <row r="698" spans="11:11" ht="15.75" customHeight="1" x14ac:dyDescent="0.2">
      <c r="K698" s="86"/>
    </row>
    <row r="699" spans="11:11" ht="15.75" customHeight="1" x14ac:dyDescent="0.2">
      <c r="K699" s="86"/>
    </row>
    <row r="700" spans="11:11" ht="15.75" customHeight="1" x14ac:dyDescent="0.2">
      <c r="K700" s="86"/>
    </row>
    <row r="701" spans="11:11" ht="15.75" customHeight="1" x14ac:dyDescent="0.2">
      <c r="K701" s="86"/>
    </row>
    <row r="702" spans="11:11" ht="15.75" customHeight="1" x14ac:dyDescent="0.2">
      <c r="K702" s="86"/>
    </row>
    <row r="703" spans="11:11" ht="15.75" customHeight="1" x14ac:dyDescent="0.2">
      <c r="K703" s="86"/>
    </row>
    <row r="704" spans="11:11" ht="15.75" customHeight="1" x14ac:dyDescent="0.2">
      <c r="K704" s="86"/>
    </row>
    <row r="705" spans="11:11" ht="15.75" customHeight="1" x14ac:dyDescent="0.2">
      <c r="K705" s="86"/>
    </row>
    <row r="706" spans="11:11" ht="15.75" customHeight="1" x14ac:dyDescent="0.2">
      <c r="K706" s="86"/>
    </row>
    <row r="707" spans="11:11" ht="15.75" customHeight="1" x14ac:dyDescent="0.2">
      <c r="K707" s="86"/>
    </row>
    <row r="708" spans="11:11" ht="15.75" customHeight="1" x14ac:dyDescent="0.2">
      <c r="K708" s="86"/>
    </row>
    <row r="709" spans="11:11" ht="15.75" customHeight="1" x14ac:dyDescent="0.2">
      <c r="K709" s="86"/>
    </row>
    <row r="710" spans="11:11" ht="15.75" customHeight="1" x14ac:dyDescent="0.2">
      <c r="K710" s="86"/>
    </row>
    <row r="711" spans="11:11" ht="15.75" customHeight="1" x14ac:dyDescent="0.2">
      <c r="K711" s="86"/>
    </row>
    <row r="712" spans="11:11" ht="15.75" customHeight="1" x14ac:dyDescent="0.2">
      <c r="K712" s="86"/>
    </row>
    <row r="713" spans="11:11" ht="15.75" customHeight="1" x14ac:dyDescent="0.2">
      <c r="K713" s="86"/>
    </row>
    <row r="714" spans="11:11" ht="15.75" customHeight="1" x14ac:dyDescent="0.2">
      <c r="K714" s="86"/>
    </row>
    <row r="715" spans="11:11" ht="15.75" customHeight="1" x14ac:dyDescent="0.2">
      <c r="K715" s="86"/>
    </row>
    <row r="716" spans="11:11" ht="15.75" customHeight="1" x14ac:dyDescent="0.2">
      <c r="K716" s="86"/>
    </row>
    <row r="717" spans="11:11" ht="15.75" customHeight="1" x14ac:dyDescent="0.2">
      <c r="K717" s="86"/>
    </row>
    <row r="718" spans="11:11" ht="15.75" customHeight="1" x14ac:dyDescent="0.2">
      <c r="K718" s="86"/>
    </row>
    <row r="719" spans="11:11" ht="15.75" customHeight="1" x14ac:dyDescent="0.2">
      <c r="K719" s="86"/>
    </row>
    <row r="720" spans="11:11" ht="15.75" customHeight="1" x14ac:dyDescent="0.2">
      <c r="K720" s="86"/>
    </row>
    <row r="721" spans="11:11" ht="15.75" customHeight="1" x14ac:dyDescent="0.2">
      <c r="K721" s="86"/>
    </row>
    <row r="722" spans="11:11" ht="15.75" customHeight="1" x14ac:dyDescent="0.2">
      <c r="K722" s="86"/>
    </row>
    <row r="723" spans="11:11" ht="15.75" customHeight="1" x14ac:dyDescent="0.2">
      <c r="K723" s="86"/>
    </row>
    <row r="724" spans="11:11" ht="15.75" customHeight="1" x14ac:dyDescent="0.2">
      <c r="K724" s="86"/>
    </row>
    <row r="725" spans="11:11" ht="15.75" customHeight="1" x14ac:dyDescent="0.2">
      <c r="K725" s="86"/>
    </row>
    <row r="726" spans="11:11" ht="15.75" customHeight="1" x14ac:dyDescent="0.2">
      <c r="K726" s="86"/>
    </row>
    <row r="727" spans="11:11" ht="15.75" customHeight="1" x14ac:dyDescent="0.2">
      <c r="K727" s="86"/>
    </row>
    <row r="728" spans="11:11" ht="15.75" customHeight="1" x14ac:dyDescent="0.2">
      <c r="K728" s="86"/>
    </row>
    <row r="729" spans="11:11" ht="15.75" customHeight="1" x14ac:dyDescent="0.2">
      <c r="K729" s="86"/>
    </row>
    <row r="730" spans="11:11" ht="15.75" customHeight="1" x14ac:dyDescent="0.2">
      <c r="K730" s="86"/>
    </row>
    <row r="731" spans="11:11" ht="15.75" customHeight="1" x14ac:dyDescent="0.2">
      <c r="K731" s="86"/>
    </row>
    <row r="732" spans="11:11" ht="15.75" customHeight="1" x14ac:dyDescent="0.2">
      <c r="K732" s="86"/>
    </row>
    <row r="733" spans="11:11" ht="15.75" customHeight="1" x14ac:dyDescent="0.2">
      <c r="K733" s="86"/>
    </row>
    <row r="734" spans="11:11" ht="15.75" customHeight="1" x14ac:dyDescent="0.2">
      <c r="K734" s="86"/>
    </row>
    <row r="735" spans="11:11" ht="15.75" customHeight="1" x14ac:dyDescent="0.2">
      <c r="K735" s="86"/>
    </row>
    <row r="736" spans="11:11" ht="15.75" customHeight="1" x14ac:dyDescent="0.2">
      <c r="K736" s="86"/>
    </row>
    <row r="737" spans="11:11" ht="15.75" customHeight="1" x14ac:dyDescent="0.2">
      <c r="K737" s="86"/>
    </row>
    <row r="738" spans="11:11" ht="15.75" customHeight="1" x14ac:dyDescent="0.2">
      <c r="K738" s="86"/>
    </row>
    <row r="739" spans="11:11" ht="15.75" customHeight="1" x14ac:dyDescent="0.2">
      <c r="K739" s="86"/>
    </row>
    <row r="740" spans="11:11" ht="15.75" customHeight="1" x14ac:dyDescent="0.2">
      <c r="K740" s="86"/>
    </row>
    <row r="741" spans="11:11" ht="15.75" customHeight="1" x14ac:dyDescent="0.2">
      <c r="K741" s="86"/>
    </row>
    <row r="742" spans="11:11" ht="15.75" customHeight="1" x14ac:dyDescent="0.2">
      <c r="K742" s="86"/>
    </row>
    <row r="743" spans="11:11" ht="15.75" customHeight="1" x14ac:dyDescent="0.2">
      <c r="K743" s="86"/>
    </row>
    <row r="744" spans="11:11" ht="15.75" customHeight="1" x14ac:dyDescent="0.2">
      <c r="K744" s="86"/>
    </row>
    <row r="745" spans="11:11" ht="15.75" customHeight="1" x14ac:dyDescent="0.2">
      <c r="K745" s="86"/>
    </row>
    <row r="746" spans="11:11" ht="15.75" customHeight="1" x14ac:dyDescent="0.2">
      <c r="K746" s="86"/>
    </row>
    <row r="747" spans="11:11" ht="15.75" customHeight="1" x14ac:dyDescent="0.2">
      <c r="K747" s="86"/>
    </row>
    <row r="748" spans="11:11" ht="15.75" customHeight="1" x14ac:dyDescent="0.2">
      <c r="K748" s="86"/>
    </row>
    <row r="749" spans="11:11" ht="15.75" customHeight="1" x14ac:dyDescent="0.2">
      <c r="K749" s="86"/>
    </row>
    <row r="750" spans="11:11" ht="15.75" customHeight="1" x14ac:dyDescent="0.2">
      <c r="K750" s="86"/>
    </row>
    <row r="751" spans="11:11" ht="15.75" customHeight="1" x14ac:dyDescent="0.2">
      <c r="K751" s="86"/>
    </row>
    <row r="752" spans="11:11" ht="15.75" customHeight="1" x14ac:dyDescent="0.2">
      <c r="K752" s="86"/>
    </row>
    <row r="753" spans="11:11" ht="15.75" customHeight="1" x14ac:dyDescent="0.2">
      <c r="K753" s="86"/>
    </row>
    <row r="754" spans="11:11" ht="15.75" customHeight="1" x14ac:dyDescent="0.2">
      <c r="K754" s="86"/>
    </row>
    <row r="755" spans="11:11" ht="15.75" customHeight="1" x14ac:dyDescent="0.2">
      <c r="K755" s="86"/>
    </row>
    <row r="756" spans="11:11" ht="15.75" customHeight="1" x14ac:dyDescent="0.2">
      <c r="K756" s="86"/>
    </row>
    <row r="757" spans="11:11" ht="15.75" customHeight="1" x14ac:dyDescent="0.2">
      <c r="K757" s="86"/>
    </row>
    <row r="758" spans="11:11" ht="15.75" customHeight="1" x14ac:dyDescent="0.2">
      <c r="K758" s="86"/>
    </row>
    <row r="759" spans="11:11" ht="15.75" customHeight="1" x14ac:dyDescent="0.2">
      <c r="K759" s="86"/>
    </row>
    <row r="760" spans="11:11" ht="15.75" customHeight="1" x14ac:dyDescent="0.2">
      <c r="K760" s="86"/>
    </row>
    <row r="761" spans="11:11" ht="15.75" customHeight="1" x14ac:dyDescent="0.2">
      <c r="K761" s="86"/>
    </row>
    <row r="762" spans="11:11" ht="15.75" customHeight="1" x14ac:dyDescent="0.2">
      <c r="K762" s="86"/>
    </row>
    <row r="763" spans="11:11" ht="15.75" customHeight="1" x14ac:dyDescent="0.2">
      <c r="K763" s="86"/>
    </row>
    <row r="764" spans="11:11" ht="15.75" customHeight="1" x14ac:dyDescent="0.2">
      <c r="K764" s="86"/>
    </row>
    <row r="765" spans="11:11" ht="15.75" customHeight="1" x14ac:dyDescent="0.2">
      <c r="K765" s="86"/>
    </row>
    <row r="766" spans="11:11" ht="15.75" customHeight="1" x14ac:dyDescent="0.2">
      <c r="K766" s="86"/>
    </row>
    <row r="767" spans="11:11" ht="15.75" customHeight="1" x14ac:dyDescent="0.2">
      <c r="K767" s="86"/>
    </row>
    <row r="768" spans="11:11" ht="15.75" customHeight="1" x14ac:dyDescent="0.2">
      <c r="K768" s="86"/>
    </row>
    <row r="769" spans="11:11" ht="15.75" customHeight="1" x14ac:dyDescent="0.2">
      <c r="K769" s="86"/>
    </row>
    <row r="770" spans="11:11" ht="15.75" customHeight="1" x14ac:dyDescent="0.2">
      <c r="K770" s="86"/>
    </row>
    <row r="771" spans="11:11" ht="15.75" customHeight="1" x14ac:dyDescent="0.2">
      <c r="K771" s="86"/>
    </row>
    <row r="772" spans="11:11" ht="15.75" customHeight="1" x14ac:dyDescent="0.2">
      <c r="K772" s="86"/>
    </row>
    <row r="773" spans="11:11" ht="15.75" customHeight="1" x14ac:dyDescent="0.2">
      <c r="K773" s="86"/>
    </row>
    <row r="774" spans="11:11" ht="15.75" customHeight="1" x14ac:dyDescent="0.2">
      <c r="K774" s="86"/>
    </row>
    <row r="775" spans="11:11" ht="15.75" customHeight="1" x14ac:dyDescent="0.2">
      <c r="K775" s="86"/>
    </row>
    <row r="776" spans="11:11" ht="15.75" customHeight="1" x14ac:dyDescent="0.2">
      <c r="K776" s="86"/>
    </row>
    <row r="777" spans="11:11" ht="15.75" customHeight="1" x14ac:dyDescent="0.2">
      <c r="K777" s="86"/>
    </row>
    <row r="778" spans="11:11" ht="15.75" customHeight="1" x14ac:dyDescent="0.2">
      <c r="K778" s="86"/>
    </row>
    <row r="779" spans="11:11" ht="15.75" customHeight="1" x14ac:dyDescent="0.2">
      <c r="K779" s="86"/>
    </row>
    <row r="780" spans="11:11" ht="15.75" customHeight="1" x14ac:dyDescent="0.2">
      <c r="K780" s="86"/>
    </row>
    <row r="781" spans="11:11" ht="15.75" customHeight="1" x14ac:dyDescent="0.2">
      <c r="K781" s="86"/>
    </row>
    <row r="782" spans="11:11" ht="15.75" customHeight="1" x14ac:dyDescent="0.2">
      <c r="K782" s="86"/>
    </row>
    <row r="783" spans="11:11" ht="15.75" customHeight="1" x14ac:dyDescent="0.2">
      <c r="K783" s="86"/>
    </row>
    <row r="784" spans="11:11" ht="15.75" customHeight="1" x14ac:dyDescent="0.2">
      <c r="K784" s="86"/>
    </row>
    <row r="785" spans="11:11" ht="15.75" customHeight="1" x14ac:dyDescent="0.2">
      <c r="K785" s="86"/>
    </row>
    <row r="786" spans="11:11" ht="15.75" customHeight="1" x14ac:dyDescent="0.2">
      <c r="K786" s="86"/>
    </row>
    <row r="787" spans="11:11" ht="15.75" customHeight="1" x14ac:dyDescent="0.2">
      <c r="K787" s="86"/>
    </row>
    <row r="788" spans="11:11" ht="15.75" customHeight="1" x14ac:dyDescent="0.2">
      <c r="K788" s="86"/>
    </row>
    <row r="789" spans="11:11" ht="15.75" customHeight="1" x14ac:dyDescent="0.2">
      <c r="K789" s="86"/>
    </row>
    <row r="790" spans="11:11" ht="15.75" customHeight="1" x14ac:dyDescent="0.2">
      <c r="K790" s="86"/>
    </row>
    <row r="791" spans="11:11" ht="15.75" customHeight="1" x14ac:dyDescent="0.2">
      <c r="K791" s="86"/>
    </row>
    <row r="792" spans="11:11" ht="15.75" customHeight="1" x14ac:dyDescent="0.2">
      <c r="K792" s="86"/>
    </row>
    <row r="793" spans="11:11" ht="15.75" customHeight="1" x14ac:dyDescent="0.2">
      <c r="K793" s="86"/>
    </row>
    <row r="794" spans="11:11" ht="15.75" customHeight="1" x14ac:dyDescent="0.2">
      <c r="K794" s="86"/>
    </row>
    <row r="795" spans="11:11" ht="15.75" customHeight="1" x14ac:dyDescent="0.2">
      <c r="K795" s="86"/>
    </row>
    <row r="796" spans="11:11" ht="15.75" customHeight="1" x14ac:dyDescent="0.2">
      <c r="K796" s="86"/>
    </row>
    <row r="797" spans="11:11" ht="15.75" customHeight="1" x14ac:dyDescent="0.2">
      <c r="K797" s="86"/>
    </row>
    <row r="798" spans="11:11" ht="15.75" customHeight="1" x14ac:dyDescent="0.2">
      <c r="K798" s="86"/>
    </row>
    <row r="799" spans="11:11" ht="15.75" customHeight="1" x14ac:dyDescent="0.2">
      <c r="K799" s="86"/>
    </row>
    <row r="800" spans="11:11" ht="15.75" customHeight="1" x14ac:dyDescent="0.2">
      <c r="K800" s="86"/>
    </row>
    <row r="801" spans="11:11" ht="15.75" customHeight="1" x14ac:dyDescent="0.2">
      <c r="K801" s="86"/>
    </row>
    <row r="802" spans="11:11" ht="15.75" customHeight="1" x14ac:dyDescent="0.2">
      <c r="K802" s="86"/>
    </row>
    <row r="803" spans="11:11" ht="15.75" customHeight="1" x14ac:dyDescent="0.2">
      <c r="K803" s="86"/>
    </row>
    <row r="804" spans="11:11" ht="15.75" customHeight="1" x14ac:dyDescent="0.2">
      <c r="K804" s="86"/>
    </row>
    <row r="805" spans="11:11" ht="15.75" customHeight="1" x14ac:dyDescent="0.2">
      <c r="K805" s="86"/>
    </row>
    <row r="806" spans="11:11" ht="15.75" customHeight="1" x14ac:dyDescent="0.2">
      <c r="K806" s="86"/>
    </row>
    <row r="807" spans="11:11" ht="15.75" customHeight="1" x14ac:dyDescent="0.2">
      <c r="K807" s="86"/>
    </row>
    <row r="808" spans="11:11" ht="15.75" customHeight="1" x14ac:dyDescent="0.2">
      <c r="K808" s="86"/>
    </row>
    <row r="809" spans="11:11" ht="15.75" customHeight="1" x14ac:dyDescent="0.2">
      <c r="K809" s="86"/>
    </row>
    <row r="810" spans="11:11" ht="15.75" customHeight="1" x14ac:dyDescent="0.2">
      <c r="K810" s="86"/>
    </row>
    <row r="811" spans="11:11" ht="15.75" customHeight="1" x14ac:dyDescent="0.2">
      <c r="K811" s="86"/>
    </row>
    <row r="812" spans="11:11" ht="15.75" customHeight="1" x14ac:dyDescent="0.2">
      <c r="K812" s="86"/>
    </row>
    <row r="813" spans="11:11" ht="15.75" customHeight="1" x14ac:dyDescent="0.2">
      <c r="K813" s="86"/>
    </row>
    <row r="814" spans="11:11" ht="15.75" customHeight="1" x14ac:dyDescent="0.2">
      <c r="K814" s="86"/>
    </row>
    <row r="815" spans="11:11" ht="15.75" customHeight="1" x14ac:dyDescent="0.2">
      <c r="K815" s="86"/>
    </row>
    <row r="816" spans="11:11" ht="15.75" customHeight="1" x14ac:dyDescent="0.2">
      <c r="K816" s="86"/>
    </row>
    <row r="817" spans="11:11" ht="15.75" customHeight="1" x14ac:dyDescent="0.2">
      <c r="K817" s="86"/>
    </row>
    <row r="818" spans="11:11" ht="15.75" customHeight="1" x14ac:dyDescent="0.2">
      <c r="K818" s="86"/>
    </row>
    <row r="819" spans="11:11" ht="15.75" customHeight="1" x14ac:dyDescent="0.2">
      <c r="K819" s="86"/>
    </row>
    <row r="820" spans="11:11" ht="15.75" customHeight="1" x14ac:dyDescent="0.2">
      <c r="K820" s="86"/>
    </row>
    <row r="821" spans="11:11" ht="15.75" customHeight="1" x14ac:dyDescent="0.2">
      <c r="K821" s="86"/>
    </row>
    <row r="822" spans="11:11" ht="15.75" customHeight="1" x14ac:dyDescent="0.2">
      <c r="K822" s="86"/>
    </row>
    <row r="823" spans="11:11" ht="15.75" customHeight="1" x14ac:dyDescent="0.2">
      <c r="K823" s="86"/>
    </row>
    <row r="824" spans="11:11" ht="15.75" customHeight="1" x14ac:dyDescent="0.2">
      <c r="K824" s="86"/>
    </row>
    <row r="825" spans="11:11" ht="15.75" customHeight="1" x14ac:dyDescent="0.2">
      <c r="K825" s="86"/>
    </row>
    <row r="826" spans="11:11" ht="15.75" customHeight="1" x14ac:dyDescent="0.2">
      <c r="K826" s="86"/>
    </row>
    <row r="827" spans="11:11" ht="15.75" customHeight="1" x14ac:dyDescent="0.2">
      <c r="K827" s="86"/>
    </row>
    <row r="828" spans="11:11" ht="15.75" customHeight="1" x14ac:dyDescent="0.2">
      <c r="K828" s="86"/>
    </row>
    <row r="829" spans="11:11" ht="15.75" customHeight="1" x14ac:dyDescent="0.2">
      <c r="K829" s="86"/>
    </row>
    <row r="830" spans="11:11" ht="15.75" customHeight="1" x14ac:dyDescent="0.2">
      <c r="K830" s="86"/>
    </row>
    <row r="831" spans="11:11" ht="15.75" customHeight="1" x14ac:dyDescent="0.2">
      <c r="K831" s="86"/>
    </row>
    <row r="832" spans="11:11" ht="15.75" customHeight="1" x14ac:dyDescent="0.2">
      <c r="K832" s="86"/>
    </row>
    <row r="833" spans="11:11" ht="15.75" customHeight="1" x14ac:dyDescent="0.2">
      <c r="K833" s="86"/>
    </row>
    <row r="834" spans="11:11" ht="15.75" customHeight="1" x14ac:dyDescent="0.2">
      <c r="K834" s="86"/>
    </row>
    <row r="835" spans="11:11" ht="15.75" customHeight="1" x14ac:dyDescent="0.2">
      <c r="K835" s="86"/>
    </row>
    <row r="836" spans="11:11" ht="15.75" customHeight="1" x14ac:dyDescent="0.2">
      <c r="K836" s="86"/>
    </row>
    <row r="837" spans="11:11" ht="15.75" customHeight="1" x14ac:dyDescent="0.2">
      <c r="K837" s="86"/>
    </row>
    <row r="838" spans="11:11" ht="15.75" customHeight="1" x14ac:dyDescent="0.2">
      <c r="K838" s="86"/>
    </row>
    <row r="839" spans="11:11" ht="15.75" customHeight="1" x14ac:dyDescent="0.2">
      <c r="K839" s="86"/>
    </row>
    <row r="840" spans="11:11" ht="15.75" customHeight="1" x14ac:dyDescent="0.2">
      <c r="K840" s="86"/>
    </row>
    <row r="841" spans="11:11" ht="15.75" customHeight="1" x14ac:dyDescent="0.2">
      <c r="K841" s="86"/>
    </row>
    <row r="842" spans="11:11" ht="15.75" customHeight="1" x14ac:dyDescent="0.2">
      <c r="K842" s="86"/>
    </row>
    <row r="843" spans="11:11" ht="15.75" customHeight="1" x14ac:dyDescent="0.2">
      <c r="K843" s="86"/>
    </row>
    <row r="844" spans="11:11" ht="15.75" customHeight="1" x14ac:dyDescent="0.2">
      <c r="K844" s="86"/>
    </row>
    <row r="845" spans="11:11" ht="15.75" customHeight="1" x14ac:dyDescent="0.2">
      <c r="K845" s="86"/>
    </row>
    <row r="846" spans="11:11" ht="15.75" customHeight="1" x14ac:dyDescent="0.2">
      <c r="K846" s="86"/>
    </row>
    <row r="847" spans="11:11" ht="15.75" customHeight="1" x14ac:dyDescent="0.2">
      <c r="K847" s="86"/>
    </row>
    <row r="848" spans="11:11" ht="15.75" customHeight="1" x14ac:dyDescent="0.2">
      <c r="K848" s="86"/>
    </row>
    <row r="849" spans="11:11" ht="15.75" customHeight="1" x14ac:dyDescent="0.2">
      <c r="K849" s="86"/>
    </row>
    <row r="850" spans="11:11" ht="15.75" customHeight="1" x14ac:dyDescent="0.2">
      <c r="K850" s="86"/>
    </row>
    <row r="851" spans="11:11" ht="15.75" customHeight="1" x14ac:dyDescent="0.2">
      <c r="K851" s="86"/>
    </row>
    <row r="852" spans="11:11" ht="15.75" customHeight="1" x14ac:dyDescent="0.2">
      <c r="K852" s="86"/>
    </row>
    <row r="853" spans="11:11" ht="15.75" customHeight="1" x14ac:dyDescent="0.2">
      <c r="K853" s="86"/>
    </row>
    <row r="854" spans="11:11" ht="15.75" customHeight="1" x14ac:dyDescent="0.2">
      <c r="K854" s="86"/>
    </row>
    <row r="855" spans="11:11" ht="15.75" customHeight="1" x14ac:dyDescent="0.2">
      <c r="K855" s="86"/>
    </row>
    <row r="856" spans="11:11" ht="15.75" customHeight="1" x14ac:dyDescent="0.2">
      <c r="K856" s="86"/>
    </row>
    <row r="857" spans="11:11" ht="15.75" customHeight="1" x14ac:dyDescent="0.2">
      <c r="K857" s="86"/>
    </row>
    <row r="858" spans="11:11" ht="15.75" customHeight="1" x14ac:dyDescent="0.2">
      <c r="K858" s="86"/>
    </row>
    <row r="859" spans="11:11" ht="15.75" customHeight="1" x14ac:dyDescent="0.2">
      <c r="K859" s="86"/>
    </row>
    <row r="860" spans="11:11" ht="15.75" customHeight="1" x14ac:dyDescent="0.2">
      <c r="K860" s="86"/>
    </row>
    <row r="861" spans="11:11" ht="15.75" customHeight="1" x14ac:dyDescent="0.2">
      <c r="K861" s="86"/>
    </row>
    <row r="862" spans="11:11" ht="15.75" customHeight="1" x14ac:dyDescent="0.2">
      <c r="K862" s="86"/>
    </row>
    <row r="863" spans="11:11" ht="15.75" customHeight="1" x14ac:dyDescent="0.2">
      <c r="K863" s="86"/>
    </row>
    <row r="864" spans="11:11" ht="15.75" customHeight="1" x14ac:dyDescent="0.2">
      <c r="K864" s="86"/>
    </row>
    <row r="865" spans="11:11" ht="15.75" customHeight="1" x14ac:dyDescent="0.2">
      <c r="K865" s="86"/>
    </row>
    <row r="866" spans="11:11" ht="15.75" customHeight="1" x14ac:dyDescent="0.2">
      <c r="K866" s="86"/>
    </row>
    <row r="867" spans="11:11" ht="15.75" customHeight="1" x14ac:dyDescent="0.2">
      <c r="K867" s="86"/>
    </row>
    <row r="868" spans="11:11" ht="15.75" customHeight="1" x14ac:dyDescent="0.2">
      <c r="K868" s="86"/>
    </row>
    <row r="869" spans="11:11" ht="15.75" customHeight="1" x14ac:dyDescent="0.2">
      <c r="K869" s="86"/>
    </row>
    <row r="870" spans="11:11" ht="15.75" customHeight="1" x14ac:dyDescent="0.2">
      <c r="K870" s="86"/>
    </row>
    <row r="871" spans="11:11" ht="15.75" customHeight="1" x14ac:dyDescent="0.2">
      <c r="K871" s="86"/>
    </row>
    <row r="872" spans="11:11" ht="15.75" customHeight="1" x14ac:dyDescent="0.2">
      <c r="K872" s="86"/>
    </row>
    <row r="873" spans="11:11" ht="15.75" customHeight="1" x14ac:dyDescent="0.2">
      <c r="K873" s="86"/>
    </row>
    <row r="874" spans="11:11" ht="15.75" customHeight="1" x14ac:dyDescent="0.2">
      <c r="K874" s="86"/>
    </row>
    <row r="875" spans="11:11" ht="15.75" customHeight="1" x14ac:dyDescent="0.2">
      <c r="K875" s="86"/>
    </row>
    <row r="876" spans="11:11" ht="15.75" customHeight="1" x14ac:dyDescent="0.2">
      <c r="K876" s="86"/>
    </row>
    <row r="877" spans="11:11" ht="15.75" customHeight="1" x14ac:dyDescent="0.2">
      <c r="K877" s="86"/>
    </row>
    <row r="878" spans="11:11" ht="15.75" customHeight="1" x14ac:dyDescent="0.2">
      <c r="K878" s="86"/>
    </row>
    <row r="879" spans="11:11" ht="15.75" customHeight="1" x14ac:dyDescent="0.2">
      <c r="K879" s="86"/>
    </row>
    <row r="880" spans="11:11" ht="15.75" customHeight="1" x14ac:dyDescent="0.2">
      <c r="K880" s="86"/>
    </row>
    <row r="881" spans="11:11" ht="15.75" customHeight="1" x14ac:dyDescent="0.2">
      <c r="K881" s="86"/>
    </row>
    <row r="882" spans="11:11" ht="15.75" customHeight="1" x14ac:dyDescent="0.2">
      <c r="K882" s="86"/>
    </row>
    <row r="883" spans="11:11" ht="15.75" customHeight="1" x14ac:dyDescent="0.2">
      <c r="K883" s="86"/>
    </row>
    <row r="884" spans="11:11" ht="15.75" customHeight="1" x14ac:dyDescent="0.2">
      <c r="K884" s="86"/>
    </row>
    <row r="885" spans="11:11" ht="15.75" customHeight="1" x14ac:dyDescent="0.2">
      <c r="K885" s="86"/>
    </row>
    <row r="886" spans="11:11" ht="15.75" customHeight="1" x14ac:dyDescent="0.2">
      <c r="K886" s="86"/>
    </row>
    <row r="887" spans="11:11" ht="15.75" customHeight="1" x14ac:dyDescent="0.2">
      <c r="K887" s="86"/>
    </row>
    <row r="888" spans="11:11" ht="15.75" customHeight="1" x14ac:dyDescent="0.2">
      <c r="K888" s="86"/>
    </row>
    <row r="889" spans="11:11" ht="15.75" customHeight="1" x14ac:dyDescent="0.2">
      <c r="K889" s="86"/>
    </row>
    <row r="890" spans="11:11" ht="15.75" customHeight="1" x14ac:dyDescent="0.2">
      <c r="K890" s="86"/>
    </row>
    <row r="891" spans="11:11" ht="15.75" customHeight="1" x14ac:dyDescent="0.2">
      <c r="K891" s="86"/>
    </row>
    <row r="892" spans="11:11" ht="15.75" customHeight="1" x14ac:dyDescent="0.2">
      <c r="K892" s="86"/>
    </row>
    <row r="893" spans="11:11" ht="15.75" customHeight="1" x14ac:dyDescent="0.2">
      <c r="K893" s="86"/>
    </row>
    <row r="894" spans="11:11" ht="15.75" customHeight="1" x14ac:dyDescent="0.2">
      <c r="K894" s="86"/>
    </row>
    <row r="895" spans="11:11" ht="15.75" customHeight="1" x14ac:dyDescent="0.2">
      <c r="K895" s="86"/>
    </row>
    <row r="896" spans="11:11" ht="15.75" customHeight="1" x14ac:dyDescent="0.2">
      <c r="K896" s="86"/>
    </row>
    <row r="897" spans="11:11" ht="15.75" customHeight="1" x14ac:dyDescent="0.2">
      <c r="K897" s="86"/>
    </row>
    <row r="898" spans="11:11" ht="15.75" customHeight="1" x14ac:dyDescent="0.2">
      <c r="K898" s="86"/>
    </row>
    <row r="899" spans="11:11" ht="15.75" customHeight="1" x14ac:dyDescent="0.2">
      <c r="K899" s="86"/>
    </row>
    <row r="900" spans="11:11" ht="15.75" customHeight="1" x14ac:dyDescent="0.2">
      <c r="K900" s="86"/>
    </row>
    <row r="901" spans="11:11" ht="15.75" customHeight="1" x14ac:dyDescent="0.2">
      <c r="K901" s="86"/>
    </row>
    <row r="902" spans="11:11" ht="15.75" customHeight="1" x14ac:dyDescent="0.2">
      <c r="K902" s="86"/>
    </row>
    <row r="903" spans="11:11" ht="15.75" customHeight="1" x14ac:dyDescent="0.2">
      <c r="K903" s="86"/>
    </row>
    <row r="904" spans="11:11" ht="15.75" customHeight="1" x14ac:dyDescent="0.2">
      <c r="K904" s="86"/>
    </row>
    <row r="905" spans="11:11" ht="15.75" customHeight="1" x14ac:dyDescent="0.2">
      <c r="K905" s="86"/>
    </row>
    <row r="906" spans="11:11" ht="15.75" customHeight="1" x14ac:dyDescent="0.2">
      <c r="K906" s="86"/>
    </row>
    <row r="907" spans="11:11" ht="15.75" customHeight="1" x14ac:dyDescent="0.2">
      <c r="K907" s="86"/>
    </row>
    <row r="908" spans="11:11" ht="15.75" customHeight="1" x14ac:dyDescent="0.2">
      <c r="K908" s="86"/>
    </row>
    <row r="909" spans="11:11" ht="15.75" customHeight="1" x14ac:dyDescent="0.2">
      <c r="K909" s="86"/>
    </row>
    <row r="910" spans="11:11" ht="15.75" customHeight="1" x14ac:dyDescent="0.2">
      <c r="K910" s="86"/>
    </row>
    <row r="911" spans="11:11" ht="15.75" customHeight="1" x14ac:dyDescent="0.2">
      <c r="K911" s="86"/>
    </row>
    <row r="912" spans="11:11" ht="15.75" customHeight="1" x14ac:dyDescent="0.2">
      <c r="K912" s="86"/>
    </row>
    <row r="913" spans="11:11" ht="15.75" customHeight="1" x14ac:dyDescent="0.2">
      <c r="K913" s="86"/>
    </row>
    <row r="914" spans="11:11" ht="15.75" customHeight="1" x14ac:dyDescent="0.2">
      <c r="K914" s="86"/>
    </row>
    <row r="915" spans="11:11" ht="15.75" customHeight="1" x14ac:dyDescent="0.2">
      <c r="K915" s="86"/>
    </row>
    <row r="916" spans="11:11" ht="15.75" customHeight="1" x14ac:dyDescent="0.2">
      <c r="K916" s="86"/>
    </row>
    <row r="917" spans="11:11" ht="15.75" customHeight="1" x14ac:dyDescent="0.2">
      <c r="K917" s="86"/>
    </row>
    <row r="918" spans="11:11" ht="15.75" customHeight="1" x14ac:dyDescent="0.2">
      <c r="K918" s="86"/>
    </row>
    <row r="919" spans="11:11" ht="15.75" customHeight="1" x14ac:dyDescent="0.2">
      <c r="K919" s="86"/>
    </row>
    <row r="920" spans="11:11" ht="15.75" customHeight="1" x14ac:dyDescent="0.2">
      <c r="K920" s="86"/>
    </row>
    <row r="921" spans="11:11" ht="15.75" customHeight="1" x14ac:dyDescent="0.2">
      <c r="K921" s="86"/>
    </row>
    <row r="922" spans="11:11" ht="15.75" customHeight="1" x14ac:dyDescent="0.2">
      <c r="K922" s="86"/>
    </row>
    <row r="923" spans="11:11" ht="15.75" customHeight="1" x14ac:dyDescent="0.2">
      <c r="K923" s="86"/>
    </row>
    <row r="924" spans="11:11" ht="15.75" customHeight="1" x14ac:dyDescent="0.2">
      <c r="K924" s="86"/>
    </row>
    <row r="925" spans="11:11" ht="15.75" customHeight="1" x14ac:dyDescent="0.2">
      <c r="K925" s="86"/>
    </row>
    <row r="926" spans="11:11" ht="15.75" customHeight="1" x14ac:dyDescent="0.2">
      <c r="K926" s="86"/>
    </row>
    <row r="927" spans="11:11" ht="15.75" customHeight="1" x14ac:dyDescent="0.2">
      <c r="K927" s="86"/>
    </row>
    <row r="928" spans="11:11" ht="15.75" customHeight="1" x14ac:dyDescent="0.2">
      <c r="K928" s="86"/>
    </row>
    <row r="929" spans="11:11" ht="15.75" customHeight="1" x14ac:dyDescent="0.2">
      <c r="K929" s="86"/>
    </row>
    <row r="930" spans="11:11" ht="15.75" customHeight="1" x14ac:dyDescent="0.2">
      <c r="K930" s="86"/>
    </row>
    <row r="931" spans="11:11" ht="15.75" customHeight="1" x14ac:dyDescent="0.2">
      <c r="K931" s="86"/>
    </row>
    <row r="932" spans="11:11" ht="15.75" customHeight="1" x14ac:dyDescent="0.2">
      <c r="K932" s="86"/>
    </row>
    <row r="933" spans="11:11" ht="15.75" customHeight="1" x14ac:dyDescent="0.2">
      <c r="K933" s="86"/>
    </row>
    <row r="934" spans="11:11" ht="15.75" customHeight="1" x14ac:dyDescent="0.2">
      <c r="K934" s="86"/>
    </row>
    <row r="935" spans="11:11" ht="15.75" customHeight="1" x14ac:dyDescent="0.2">
      <c r="K935" s="86"/>
    </row>
    <row r="936" spans="11:11" ht="15.75" customHeight="1" x14ac:dyDescent="0.2">
      <c r="K936" s="86"/>
    </row>
    <row r="937" spans="11:11" ht="15.75" customHeight="1" x14ac:dyDescent="0.2">
      <c r="K937" s="86"/>
    </row>
    <row r="938" spans="11:11" ht="15.75" customHeight="1" x14ac:dyDescent="0.2">
      <c r="K938" s="86"/>
    </row>
    <row r="939" spans="11:11" ht="15.75" customHeight="1" x14ac:dyDescent="0.2">
      <c r="K939" s="86"/>
    </row>
    <row r="940" spans="11:11" ht="15.75" customHeight="1" x14ac:dyDescent="0.2">
      <c r="K940" s="86"/>
    </row>
    <row r="941" spans="11:11" ht="15.75" customHeight="1" x14ac:dyDescent="0.2">
      <c r="K941" s="86"/>
    </row>
    <row r="942" spans="11:11" ht="15.75" customHeight="1" x14ac:dyDescent="0.2">
      <c r="K942" s="86"/>
    </row>
    <row r="943" spans="11:11" ht="15.75" customHeight="1" x14ac:dyDescent="0.2">
      <c r="K943" s="86"/>
    </row>
    <row r="944" spans="11:11" ht="15.75" customHeight="1" x14ac:dyDescent="0.2">
      <c r="K944" s="86"/>
    </row>
    <row r="945" spans="11:11" ht="15.75" customHeight="1" x14ac:dyDescent="0.2">
      <c r="K945" s="86"/>
    </row>
    <row r="946" spans="11:11" ht="15.75" customHeight="1" x14ac:dyDescent="0.2">
      <c r="K946" s="86"/>
    </row>
    <row r="947" spans="11:11" ht="15.75" customHeight="1" x14ac:dyDescent="0.2">
      <c r="K947" s="86"/>
    </row>
    <row r="948" spans="11:11" ht="15.75" customHeight="1" x14ac:dyDescent="0.2">
      <c r="K948" s="86"/>
    </row>
    <row r="949" spans="11:11" ht="15.75" customHeight="1" x14ac:dyDescent="0.2">
      <c r="K949" s="86"/>
    </row>
    <row r="950" spans="11:11" ht="15.75" customHeight="1" x14ac:dyDescent="0.2">
      <c r="K950" s="86"/>
    </row>
    <row r="951" spans="11:11" ht="15.75" customHeight="1" x14ac:dyDescent="0.2">
      <c r="K951" s="86"/>
    </row>
    <row r="952" spans="11:11" ht="15.75" customHeight="1" x14ac:dyDescent="0.2">
      <c r="K952" s="86"/>
    </row>
    <row r="953" spans="11:11" ht="15.75" customHeight="1" x14ac:dyDescent="0.2">
      <c r="K953" s="86"/>
    </row>
    <row r="954" spans="11:11" ht="15.75" customHeight="1" x14ac:dyDescent="0.2">
      <c r="K954" s="86"/>
    </row>
    <row r="955" spans="11:11" ht="15.75" customHeight="1" x14ac:dyDescent="0.2">
      <c r="K955" s="86"/>
    </row>
    <row r="956" spans="11:11" ht="15.75" customHeight="1" x14ac:dyDescent="0.2">
      <c r="K956" s="86"/>
    </row>
    <row r="957" spans="11:11" ht="15.75" customHeight="1" x14ac:dyDescent="0.2">
      <c r="K957" s="86"/>
    </row>
    <row r="958" spans="11:11" ht="15.75" customHeight="1" x14ac:dyDescent="0.2">
      <c r="K958" s="86"/>
    </row>
    <row r="959" spans="11:11" ht="15.75" customHeight="1" x14ac:dyDescent="0.2">
      <c r="K959" s="86"/>
    </row>
    <row r="960" spans="11:11" ht="15.75" customHeight="1" x14ac:dyDescent="0.2">
      <c r="K960" s="86"/>
    </row>
    <row r="961" spans="11:11" ht="15.75" customHeight="1" x14ac:dyDescent="0.2">
      <c r="K961" s="86"/>
    </row>
    <row r="962" spans="11:11" ht="15.75" customHeight="1" x14ac:dyDescent="0.2">
      <c r="K962" s="86"/>
    </row>
    <row r="963" spans="11:11" ht="15.75" customHeight="1" x14ac:dyDescent="0.2">
      <c r="K963" s="86"/>
    </row>
    <row r="964" spans="11:11" ht="15.75" customHeight="1" x14ac:dyDescent="0.2">
      <c r="K964" s="86"/>
    </row>
    <row r="965" spans="11:11" ht="15.75" customHeight="1" x14ac:dyDescent="0.2">
      <c r="K965" s="86"/>
    </row>
    <row r="966" spans="11:11" ht="15.75" customHeight="1" x14ac:dyDescent="0.2">
      <c r="K966" s="86"/>
    </row>
    <row r="967" spans="11:11" ht="15.75" customHeight="1" x14ac:dyDescent="0.2">
      <c r="K967" s="86"/>
    </row>
    <row r="968" spans="11:11" ht="15.75" customHeight="1" x14ac:dyDescent="0.2">
      <c r="K968" s="86"/>
    </row>
    <row r="969" spans="11:11" ht="15.75" customHeight="1" x14ac:dyDescent="0.2">
      <c r="K969" s="86"/>
    </row>
    <row r="970" spans="11:11" ht="15.75" customHeight="1" x14ac:dyDescent="0.2">
      <c r="K970" s="86"/>
    </row>
    <row r="971" spans="11:11" ht="15.75" customHeight="1" x14ac:dyDescent="0.2">
      <c r="K971" s="86"/>
    </row>
    <row r="972" spans="11:11" ht="15.75" customHeight="1" x14ac:dyDescent="0.2">
      <c r="K972" s="86"/>
    </row>
    <row r="973" spans="11:11" ht="15.75" customHeight="1" x14ac:dyDescent="0.2">
      <c r="K973" s="86"/>
    </row>
    <row r="974" spans="11:11" ht="15.75" customHeight="1" x14ac:dyDescent="0.2">
      <c r="K974" s="86"/>
    </row>
    <row r="975" spans="11:11" ht="15.75" customHeight="1" x14ac:dyDescent="0.2">
      <c r="K975" s="86"/>
    </row>
    <row r="976" spans="11:11" ht="15.75" customHeight="1" x14ac:dyDescent="0.2">
      <c r="K976" s="86"/>
    </row>
    <row r="977" spans="11:11" ht="15.75" customHeight="1" x14ac:dyDescent="0.2">
      <c r="K977" s="86"/>
    </row>
    <row r="978" spans="11:11" ht="15.75" customHeight="1" x14ac:dyDescent="0.2">
      <c r="K978" s="86"/>
    </row>
    <row r="979" spans="11:11" ht="15.75" customHeight="1" x14ac:dyDescent="0.2">
      <c r="K979" s="86"/>
    </row>
    <row r="980" spans="11:11" ht="15.75" customHeight="1" x14ac:dyDescent="0.2">
      <c r="K980" s="86"/>
    </row>
    <row r="981" spans="11:11" ht="15.75" customHeight="1" x14ac:dyDescent="0.2">
      <c r="K981" s="86"/>
    </row>
    <row r="982" spans="11:11" ht="15.75" customHeight="1" x14ac:dyDescent="0.2">
      <c r="K982" s="86"/>
    </row>
    <row r="983" spans="11:11" ht="15.75" customHeight="1" x14ac:dyDescent="0.2">
      <c r="K983" s="86"/>
    </row>
    <row r="984" spans="11:11" ht="15.75" customHeight="1" x14ac:dyDescent="0.2">
      <c r="K984" s="86"/>
    </row>
    <row r="985" spans="11:11" ht="15.75" customHeight="1" x14ac:dyDescent="0.2">
      <c r="K985" s="86"/>
    </row>
    <row r="986" spans="11:11" ht="15.75" customHeight="1" x14ac:dyDescent="0.2">
      <c r="K986" s="86"/>
    </row>
    <row r="987" spans="11:11" ht="15.75" customHeight="1" x14ac:dyDescent="0.2">
      <c r="K987" s="86"/>
    </row>
    <row r="988" spans="11:11" ht="15.75" customHeight="1" x14ac:dyDescent="0.2">
      <c r="K988" s="86"/>
    </row>
    <row r="989" spans="11:11" ht="15.75" customHeight="1" x14ac:dyDescent="0.2">
      <c r="K989" s="86"/>
    </row>
    <row r="990" spans="11:11" ht="15.75" customHeight="1" x14ac:dyDescent="0.2">
      <c r="K990" s="86"/>
    </row>
    <row r="991" spans="11:11" ht="15.75" customHeight="1" x14ac:dyDescent="0.2">
      <c r="K991" s="86"/>
    </row>
    <row r="992" spans="11:11" ht="15.75" customHeight="1" x14ac:dyDescent="0.2">
      <c r="K992" s="86"/>
    </row>
    <row r="993" spans="11:11" ht="15.75" customHeight="1" x14ac:dyDescent="0.2">
      <c r="K993" s="86"/>
    </row>
    <row r="994" spans="11:11" ht="15.75" customHeight="1" x14ac:dyDescent="0.2">
      <c r="K994" s="86"/>
    </row>
    <row r="995" spans="11:11" ht="15.75" customHeight="1" x14ac:dyDescent="0.2">
      <c r="K995" s="86"/>
    </row>
    <row r="996" spans="11:11" ht="15.75" customHeight="1" x14ac:dyDescent="0.2">
      <c r="K996" s="86"/>
    </row>
    <row r="997" spans="11:11" ht="15.75" customHeight="1" x14ac:dyDescent="0.2">
      <c r="K997" s="86"/>
    </row>
    <row r="998" spans="11:11" ht="15.75" customHeight="1" x14ac:dyDescent="0.2">
      <c r="K998" s="86"/>
    </row>
    <row r="999" spans="11:11" ht="15.75" customHeight="1" x14ac:dyDescent="0.2">
      <c r="K999" s="86"/>
    </row>
    <row r="1000" spans="11:11" ht="15.75" customHeight="1" x14ac:dyDescent="0.2">
      <c r="K1000" s="86"/>
    </row>
    <row r="1001" spans="11:11" ht="15.75" customHeight="1" x14ac:dyDescent="0.2">
      <c r="K1001" s="86"/>
    </row>
    <row r="1002" spans="11:11" ht="15.75" customHeight="1" x14ac:dyDescent="0.2">
      <c r="K1002" s="86"/>
    </row>
  </sheetData>
  <autoFilter ref="A1:L78" xr:uid="{00ABCA40-613E-4AEC-B4AB-4451BA465DF4}"/>
  <hyperlinks>
    <hyperlink ref="J2" r:id="rId1" xr:uid="{00000000-0004-0000-0200-000000000000}"/>
    <hyperlink ref="L2" r:id="rId2" xr:uid="{00000000-0004-0000-0200-000001000000}"/>
    <hyperlink ref="J3" r:id="rId3" xr:uid="{00000000-0004-0000-0200-000002000000}"/>
    <hyperlink ref="L3" r:id="rId4" xr:uid="{00000000-0004-0000-0200-000003000000}"/>
    <hyperlink ref="J4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5" r:id="rId13" xr:uid="{00000000-0004-0000-0200-00000C000000}"/>
    <hyperlink ref="J20" r:id="rId14" xr:uid="{00000000-0004-0000-0200-00000D000000}"/>
    <hyperlink ref="J22" r:id="rId15" xr:uid="{00000000-0004-0000-0200-00000E000000}"/>
    <hyperlink ref="J23" r:id="rId16" xr:uid="{00000000-0004-0000-0200-00000F000000}"/>
    <hyperlink ref="J24" r:id="rId17" xr:uid="{00000000-0004-0000-0200-000010000000}"/>
    <hyperlink ref="J26" r:id="rId18" xr:uid="{00000000-0004-0000-0200-000011000000}"/>
    <hyperlink ref="J27" r:id="rId19" xr:uid="{00000000-0004-0000-0200-000012000000}"/>
    <hyperlink ref="J28" r:id="rId20" xr:uid="{00000000-0004-0000-0200-000013000000}"/>
    <hyperlink ref="J29" r:id="rId21" xr:uid="{00000000-0004-0000-0200-000014000000}"/>
    <hyperlink ref="J31" r:id="rId22" xr:uid="{00000000-0004-0000-0200-000015000000}"/>
    <hyperlink ref="J36" r:id="rId23" xr:uid="{00000000-0004-0000-0200-000016000000}"/>
    <hyperlink ref="J39" r:id="rId24" xr:uid="{00000000-0004-0000-0200-000017000000}"/>
    <hyperlink ref="J41" r:id="rId25" xr:uid="{00000000-0004-0000-0200-000018000000}"/>
    <hyperlink ref="J45" r:id="rId26" xr:uid="{00000000-0004-0000-0200-000019000000}"/>
    <hyperlink ref="L45" r:id="rId27" xr:uid="{00000000-0004-0000-0200-00001A000000}"/>
    <hyperlink ref="L46" r:id="rId28" xr:uid="{00000000-0004-0000-0200-00001B000000}"/>
    <hyperlink ref="J47" r:id="rId29" xr:uid="{00000000-0004-0000-0200-00001C000000}"/>
    <hyperlink ref="J48" r:id="rId30" xr:uid="{00000000-0004-0000-0200-00001D000000}"/>
    <hyperlink ref="J53" r:id="rId31" xr:uid="{00000000-0004-0000-0200-00001E000000}"/>
    <hyperlink ref="J54" r:id="rId32" xr:uid="{00000000-0004-0000-0200-00001F000000}"/>
    <hyperlink ref="J55" r:id="rId33" xr:uid="{00000000-0004-0000-0200-000020000000}"/>
    <hyperlink ref="J56" r:id="rId34" xr:uid="{00000000-0004-0000-0200-000021000000}"/>
    <hyperlink ref="J57" r:id="rId35" xr:uid="{00000000-0004-0000-0200-000022000000}"/>
    <hyperlink ref="J59" r:id="rId36" xr:uid="{00000000-0004-0000-0200-000023000000}"/>
    <hyperlink ref="J62" r:id="rId37" xr:uid="{00000000-0004-0000-0200-000024000000}"/>
    <hyperlink ref="J63" r:id="rId38" xr:uid="{00000000-0004-0000-0200-000025000000}"/>
    <hyperlink ref="J64" r:id="rId39" xr:uid="{00000000-0004-0000-0200-000026000000}"/>
    <hyperlink ref="J66" r:id="rId40" xr:uid="{00000000-0004-0000-0200-000027000000}"/>
    <hyperlink ref="J67" r:id="rId41" xr:uid="{00000000-0004-0000-0200-000028000000}"/>
    <hyperlink ref="J68" r:id="rId42" xr:uid="{00000000-0004-0000-0200-000029000000}"/>
    <hyperlink ref="J72" r:id="rId43" xr:uid="{00000000-0004-0000-0200-00002A000000}"/>
    <hyperlink ref="J74" r:id="rId44" xr:uid="{00000000-0004-0000-0200-00002B000000}"/>
    <hyperlink ref="J75" r:id="rId45" xr:uid="{00000000-0004-0000-0200-00002C000000}"/>
    <hyperlink ref="J76" r:id="rId46" xr:uid="{00000000-0004-0000-0200-00002D000000}"/>
    <hyperlink ref="J77" r:id="rId47" xr:uid="{00000000-0004-0000-0200-00002E000000}"/>
    <hyperlink ref="J78" r:id="rId48" xr:uid="{00000000-0004-0000-0200-00002F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2"/>
  <sheetViews>
    <sheetView workbookViewId="0">
      <selection activeCell="J87" sqref="J87"/>
    </sheetView>
  </sheetViews>
  <sheetFormatPr defaultColWidth="10.109375" defaultRowHeight="15" customHeight="1" x14ac:dyDescent="0.2"/>
  <cols>
    <col min="1" max="1" width="11.44140625" customWidth="1"/>
    <col min="2" max="2" width="11" customWidth="1"/>
    <col min="3" max="3" width="15.77734375" customWidth="1"/>
    <col min="4" max="4" width="14" customWidth="1"/>
    <col min="5" max="5" width="10.44140625" customWidth="1"/>
    <col min="6" max="6" width="11.21875" customWidth="1"/>
    <col min="7" max="8" width="10.44140625" customWidth="1"/>
    <col min="9" max="9" width="11" customWidth="1"/>
    <col min="10" max="10" width="12.5546875" customWidth="1"/>
    <col min="11" max="11" width="21.5546875" customWidth="1"/>
    <col min="12" max="12" width="18" customWidth="1"/>
    <col min="13" max="27" width="10.44140625" customWidth="1"/>
  </cols>
  <sheetData>
    <row r="1" spans="1:13" ht="15.75" customHeight="1" x14ac:dyDescent="0.2">
      <c r="A1" s="1" t="s">
        <v>8</v>
      </c>
      <c r="B1" s="1" t="s">
        <v>2</v>
      </c>
      <c r="C1" s="1" t="s">
        <v>10</v>
      </c>
      <c r="D1" s="1" t="s">
        <v>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08" t="s">
        <v>120</v>
      </c>
      <c r="K1" s="1" t="s">
        <v>183</v>
      </c>
      <c r="L1" s="109" t="s">
        <v>203</v>
      </c>
      <c r="M1" s="83" t="s">
        <v>204</v>
      </c>
    </row>
    <row r="2" spans="1:13" ht="15.75" customHeight="1" x14ac:dyDescent="0.2">
      <c r="A2" s="2">
        <v>10</v>
      </c>
      <c r="B2" s="2" t="s">
        <v>12</v>
      </c>
      <c r="C2" s="2" t="s">
        <v>13</v>
      </c>
      <c r="D2" s="2">
        <v>40</v>
      </c>
      <c r="E2" s="4">
        <v>2.4</v>
      </c>
      <c r="F2" s="4">
        <f>16*25</f>
        <v>400</v>
      </c>
      <c r="G2" s="2">
        <v>1.53</v>
      </c>
      <c r="H2" s="2">
        <v>0.53</v>
      </c>
      <c r="I2" s="2">
        <v>82</v>
      </c>
      <c r="J2" s="110">
        <v>45388</v>
      </c>
      <c r="K2" s="1"/>
      <c r="L2" s="111"/>
      <c r="M2" s="86"/>
    </row>
    <row r="3" spans="1:13" ht="15.75" customHeight="1" x14ac:dyDescent="0.25">
      <c r="A3" s="2">
        <v>10</v>
      </c>
      <c r="B3" s="2" t="s">
        <v>14</v>
      </c>
      <c r="C3" s="2" t="s">
        <v>15</v>
      </c>
      <c r="D3" s="2">
        <v>40</v>
      </c>
      <c r="E3" s="4">
        <v>2.5</v>
      </c>
      <c r="F3" s="3">
        <f>31.9*60</f>
        <v>1914</v>
      </c>
      <c r="G3" s="2">
        <v>1.86</v>
      </c>
      <c r="H3" s="2">
        <v>0.39</v>
      </c>
      <c r="I3" s="2">
        <v>93</v>
      </c>
      <c r="J3" s="110">
        <v>45603</v>
      </c>
      <c r="K3" s="1"/>
      <c r="L3" s="91" t="s">
        <v>205</v>
      </c>
      <c r="M3" s="86"/>
    </row>
    <row r="4" spans="1:13" ht="15.75" customHeight="1" x14ac:dyDescent="0.25">
      <c r="A4" s="2">
        <v>10</v>
      </c>
      <c r="B4" s="2" t="s">
        <v>16</v>
      </c>
      <c r="C4" s="2" t="s">
        <v>17</v>
      </c>
      <c r="D4" s="2">
        <v>40</v>
      </c>
      <c r="E4" s="6">
        <v>2.7</v>
      </c>
      <c r="F4" s="3">
        <f>16.9*60</f>
        <v>1013.9999999999999</v>
      </c>
      <c r="G4" s="5">
        <v>1.67</v>
      </c>
      <c r="H4" s="5">
        <v>0.48</v>
      </c>
      <c r="I4" s="5">
        <v>128</v>
      </c>
      <c r="J4" s="112" t="s">
        <v>206</v>
      </c>
      <c r="K4" s="1"/>
      <c r="L4" s="113" t="s">
        <v>207</v>
      </c>
      <c r="M4" s="86"/>
    </row>
    <row r="5" spans="1:13" ht="15.75" customHeight="1" x14ac:dyDescent="0.25">
      <c r="A5" s="2">
        <v>10</v>
      </c>
      <c r="B5" s="2" t="s">
        <v>18</v>
      </c>
      <c r="C5" s="2" t="s">
        <v>20</v>
      </c>
      <c r="D5" s="2">
        <v>40</v>
      </c>
      <c r="E5" s="4">
        <v>2.9</v>
      </c>
      <c r="F5" s="3">
        <f>8.9*60</f>
        <v>534</v>
      </c>
      <c r="G5" s="2">
        <v>2.41</v>
      </c>
      <c r="H5" s="2">
        <v>0.4</v>
      </c>
      <c r="I5" s="2">
        <v>74</v>
      </c>
      <c r="J5" s="110">
        <v>45252</v>
      </c>
      <c r="K5" s="1"/>
      <c r="L5" s="91" t="s">
        <v>144</v>
      </c>
      <c r="M5" s="86"/>
    </row>
    <row r="6" spans="1:13" ht="15.75" customHeight="1" x14ac:dyDescent="0.2">
      <c r="A6" s="2">
        <v>10</v>
      </c>
      <c r="B6" s="2" t="s">
        <v>21</v>
      </c>
      <c r="C6" s="2" t="s">
        <v>22</v>
      </c>
      <c r="D6" s="2">
        <v>40</v>
      </c>
      <c r="E6" s="4">
        <v>4</v>
      </c>
      <c r="F6" s="4">
        <f>13.4*25</f>
        <v>335</v>
      </c>
      <c r="G6" s="2">
        <v>2.15</v>
      </c>
      <c r="H6" s="2">
        <v>0.4</v>
      </c>
      <c r="I6" s="2">
        <v>70</v>
      </c>
      <c r="J6" s="110">
        <v>45250</v>
      </c>
      <c r="K6" s="1"/>
      <c r="L6" s="111"/>
      <c r="M6" s="86"/>
    </row>
    <row r="7" spans="1:13" ht="15.75" customHeight="1" x14ac:dyDescent="0.2">
      <c r="A7" s="8">
        <v>10</v>
      </c>
      <c r="B7" s="8" t="s">
        <v>24</v>
      </c>
      <c r="C7" s="8" t="s">
        <v>25</v>
      </c>
      <c r="D7" s="8">
        <v>10</v>
      </c>
      <c r="E7" s="10">
        <v>1.2</v>
      </c>
      <c r="F7" s="10">
        <f>7.2*25</f>
        <v>180</v>
      </c>
      <c r="G7" s="8">
        <v>1.61</v>
      </c>
      <c r="H7" s="8">
        <v>0.64</v>
      </c>
      <c r="I7" s="8">
        <v>83</v>
      </c>
      <c r="J7" s="114">
        <v>45388</v>
      </c>
      <c r="K7" s="1"/>
      <c r="L7" s="111"/>
      <c r="M7" s="86"/>
    </row>
    <row r="8" spans="1:13" ht="15.75" customHeight="1" x14ac:dyDescent="0.2">
      <c r="A8" s="8">
        <v>10</v>
      </c>
      <c r="B8" s="8" t="s">
        <v>26</v>
      </c>
      <c r="C8" s="8" t="s">
        <v>27</v>
      </c>
      <c r="D8" s="8">
        <v>10</v>
      </c>
      <c r="E8" s="10">
        <v>3.8</v>
      </c>
      <c r="F8" s="10">
        <f>8.9*25</f>
        <v>222.5</v>
      </c>
      <c r="G8" s="8">
        <v>2.16</v>
      </c>
      <c r="H8" s="8">
        <v>0.59</v>
      </c>
      <c r="I8" s="8">
        <v>69</v>
      </c>
      <c r="J8" s="114">
        <v>45250</v>
      </c>
      <c r="K8" s="1"/>
      <c r="L8" s="111"/>
      <c r="M8" s="86"/>
    </row>
    <row r="9" spans="1:13" ht="15.75" customHeight="1" x14ac:dyDescent="0.25">
      <c r="A9" s="8">
        <v>10</v>
      </c>
      <c r="B9" s="8" t="s">
        <v>28</v>
      </c>
      <c r="C9" s="8" t="s">
        <v>29</v>
      </c>
      <c r="D9" s="8">
        <v>10</v>
      </c>
      <c r="E9" s="10">
        <v>5.0999999999999996</v>
      </c>
      <c r="F9" s="9">
        <f>8.8*60</f>
        <v>528</v>
      </c>
      <c r="G9" s="8">
        <v>1.85</v>
      </c>
      <c r="H9" s="8">
        <v>0.56999999999999995</v>
      </c>
      <c r="I9" s="8">
        <v>94</v>
      </c>
      <c r="J9" s="114">
        <v>45603</v>
      </c>
      <c r="K9" s="91" t="s">
        <v>208</v>
      </c>
      <c r="L9" s="111"/>
      <c r="M9" s="92" t="s">
        <v>188</v>
      </c>
    </row>
    <row r="10" spans="1:13" ht="15.75" customHeight="1" x14ac:dyDescent="0.25">
      <c r="A10" s="8">
        <v>10</v>
      </c>
      <c r="B10" s="8" t="s">
        <v>30</v>
      </c>
      <c r="C10" s="8" t="s">
        <v>31</v>
      </c>
      <c r="D10" s="8">
        <v>10</v>
      </c>
      <c r="E10" s="9">
        <v>7.7</v>
      </c>
      <c r="F10" s="10">
        <f>3.7*55</f>
        <v>203.5</v>
      </c>
      <c r="G10" s="8">
        <v>2.5099999999999998</v>
      </c>
      <c r="H10" s="8">
        <v>0.24</v>
      </c>
      <c r="I10" s="8">
        <v>73</v>
      </c>
      <c r="J10" s="114">
        <v>45252</v>
      </c>
      <c r="K10" s="66" t="s">
        <v>144</v>
      </c>
      <c r="L10" s="111"/>
      <c r="M10" s="86" t="s">
        <v>188</v>
      </c>
    </row>
    <row r="11" spans="1:13" ht="15.75" customHeight="1" x14ac:dyDescent="0.25">
      <c r="A11" s="8">
        <v>10</v>
      </c>
      <c r="B11" s="8" t="s">
        <v>32</v>
      </c>
      <c r="C11" s="8" t="s">
        <v>33</v>
      </c>
      <c r="D11" s="8">
        <v>10</v>
      </c>
      <c r="E11" s="12">
        <v>2.9</v>
      </c>
      <c r="F11" s="9">
        <f>28.8*60</f>
        <v>1728</v>
      </c>
      <c r="G11" s="11">
        <v>1.77</v>
      </c>
      <c r="H11" s="11">
        <v>0.48</v>
      </c>
      <c r="I11" s="11">
        <v>130</v>
      </c>
      <c r="J11" s="115" t="s">
        <v>206</v>
      </c>
      <c r="K11" s="1"/>
      <c r="L11" s="113" t="s">
        <v>207</v>
      </c>
      <c r="M11" s="86"/>
    </row>
    <row r="12" spans="1:13" ht="15.75" customHeight="1" x14ac:dyDescent="0.25">
      <c r="A12" s="2">
        <v>10</v>
      </c>
      <c r="B12" s="2" t="s">
        <v>34</v>
      </c>
      <c r="C12" s="2" t="s">
        <v>35</v>
      </c>
      <c r="D12" s="2">
        <v>40</v>
      </c>
      <c r="E12" s="6">
        <v>2.8</v>
      </c>
      <c r="F12" s="3">
        <f>21.7*60</f>
        <v>1302</v>
      </c>
      <c r="G12" s="5">
        <v>1.73</v>
      </c>
      <c r="H12" s="5">
        <v>0.48</v>
      </c>
      <c r="I12" s="5">
        <v>129</v>
      </c>
      <c r="J12" s="112" t="s">
        <v>206</v>
      </c>
      <c r="K12" s="1"/>
      <c r="L12" s="113" t="s">
        <v>207</v>
      </c>
      <c r="M12" s="86"/>
    </row>
    <row r="13" spans="1:13" ht="15.75" customHeight="1" x14ac:dyDescent="0.25">
      <c r="A13" s="2">
        <v>10</v>
      </c>
      <c r="B13" s="2" t="s">
        <v>36</v>
      </c>
      <c r="C13" s="2" t="s">
        <v>37</v>
      </c>
      <c r="D13" s="2">
        <v>40</v>
      </c>
      <c r="E13" s="13">
        <v>2.9</v>
      </c>
      <c r="F13" s="3">
        <f>39*40</f>
        <v>1560</v>
      </c>
      <c r="G13" s="2">
        <v>1.83</v>
      </c>
      <c r="H13" s="2">
        <v>0.44</v>
      </c>
      <c r="I13" s="2">
        <v>90.1</v>
      </c>
      <c r="J13" s="110">
        <v>45542</v>
      </c>
      <c r="K13" s="1"/>
      <c r="L13" s="66" t="s">
        <v>205</v>
      </c>
      <c r="M13" s="86"/>
    </row>
    <row r="14" spans="1:13" ht="15.75" customHeight="1" x14ac:dyDescent="0.2">
      <c r="A14" s="2">
        <v>10</v>
      </c>
      <c r="B14" s="2" t="s">
        <v>38</v>
      </c>
      <c r="C14" s="2" t="s">
        <v>39</v>
      </c>
      <c r="D14" s="2">
        <v>40</v>
      </c>
      <c r="E14" s="4">
        <v>2.6</v>
      </c>
      <c r="F14" s="4">
        <f>6.6*60</f>
        <v>396</v>
      </c>
      <c r="G14" s="2">
        <v>2</v>
      </c>
      <c r="H14" s="2">
        <v>0.42</v>
      </c>
      <c r="I14" s="2">
        <v>127</v>
      </c>
      <c r="J14" s="116" t="s">
        <v>209</v>
      </c>
      <c r="K14" s="1"/>
      <c r="L14" s="111"/>
      <c r="M14" s="86"/>
    </row>
    <row r="15" spans="1:13" ht="15.75" customHeight="1" x14ac:dyDescent="0.25">
      <c r="A15" s="2">
        <v>10</v>
      </c>
      <c r="B15" s="2" t="s">
        <v>40</v>
      </c>
      <c r="C15" s="2" t="s">
        <v>41</v>
      </c>
      <c r="D15" s="2">
        <v>40</v>
      </c>
      <c r="E15" s="4">
        <v>5.3</v>
      </c>
      <c r="F15" s="3">
        <f>21.3*60</f>
        <v>1278</v>
      </c>
      <c r="G15" s="2">
        <v>1.75</v>
      </c>
      <c r="H15" s="2">
        <v>0.54</v>
      </c>
      <c r="I15" s="2">
        <v>100</v>
      </c>
      <c r="J15" s="116" t="s">
        <v>210</v>
      </c>
      <c r="K15" s="91" t="s">
        <v>205</v>
      </c>
      <c r="L15" s="111"/>
      <c r="M15" s="92" t="s">
        <v>188</v>
      </c>
    </row>
    <row r="16" spans="1:13" ht="15.75" customHeight="1" x14ac:dyDescent="0.25">
      <c r="A16" s="2">
        <v>10</v>
      </c>
      <c r="B16" s="2" t="s">
        <v>42</v>
      </c>
      <c r="C16" s="2" t="s">
        <v>43</v>
      </c>
      <c r="D16" s="2">
        <v>40</v>
      </c>
      <c r="E16" s="6">
        <v>1.6</v>
      </c>
      <c r="F16" s="3">
        <f>15.1*60</f>
        <v>906</v>
      </c>
      <c r="G16" s="5">
        <v>1.82</v>
      </c>
      <c r="H16" s="5">
        <v>0.43</v>
      </c>
      <c r="I16" s="5">
        <v>134</v>
      </c>
      <c r="J16" s="112" t="s">
        <v>211</v>
      </c>
      <c r="K16" s="1"/>
      <c r="L16" s="113" t="s">
        <v>212</v>
      </c>
      <c r="M16" s="86"/>
    </row>
    <row r="17" spans="1:13" ht="15.75" customHeight="1" x14ac:dyDescent="0.25">
      <c r="A17" s="8">
        <v>10</v>
      </c>
      <c r="B17" s="8" t="s">
        <v>44</v>
      </c>
      <c r="C17" s="8" t="s">
        <v>46</v>
      </c>
      <c r="D17" s="8">
        <v>10</v>
      </c>
      <c r="E17" s="12">
        <v>5.4</v>
      </c>
      <c r="F17" s="9">
        <f>13.8*60</f>
        <v>828</v>
      </c>
      <c r="G17" s="11">
        <v>1.91</v>
      </c>
      <c r="H17" s="11">
        <v>0.92</v>
      </c>
      <c r="I17" s="11">
        <v>131</v>
      </c>
      <c r="J17" s="115" t="s">
        <v>206</v>
      </c>
      <c r="K17" s="113" t="s">
        <v>207</v>
      </c>
      <c r="L17" s="111"/>
      <c r="M17" s="86"/>
    </row>
    <row r="18" spans="1:13" ht="15.75" customHeight="1" x14ac:dyDescent="0.25">
      <c r="A18" s="8">
        <v>10</v>
      </c>
      <c r="B18" s="8" t="s">
        <v>47</v>
      </c>
      <c r="C18" s="8" t="s">
        <v>48</v>
      </c>
      <c r="D18" s="8">
        <v>10</v>
      </c>
      <c r="E18" s="10">
        <v>2.6</v>
      </c>
      <c r="F18" s="15">
        <f>13.3*60</f>
        <v>798</v>
      </c>
      <c r="G18" s="8">
        <v>1.81</v>
      </c>
      <c r="H18" s="8">
        <v>0.47</v>
      </c>
      <c r="I18" s="8">
        <v>125</v>
      </c>
      <c r="J18" s="115" t="s">
        <v>213</v>
      </c>
      <c r="K18" s="1"/>
      <c r="L18" s="117" t="s">
        <v>214</v>
      </c>
      <c r="M18" s="86"/>
    </row>
    <row r="19" spans="1:13" ht="15.75" customHeight="1" x14ac:dyDescent="0.25">
      <c r="A19" s="8">
        <v>10</v>
      </c>
      <c r="B19" s="8" t="s">
        <v>49</v>
      </c>
      <c r="C19" s="8" t="s">
        <v>50</v>
      </c>
      <c r="D19" s="8">
        <v>10</v>
      </c>
      <c r="E19" s="12">
        <v>4.9000000000000004</v>
      </c>
      <c r="F19" s="9">
        <f>13.5*60</f>
        <v>810</v>
      </c>
      <c r="G19" s="11">
        <v>1.9</v>
      </c>
      <c r="H19" s="11">
        <v>0.46</v>
      </c>
      <c r="I19" s="11">
        <v>136</v>
      </c>
      <c r="J19" s="115" t="s">
        <v>211</v>
      </c>
      <c r="K19" s="113" t="s">
        <v>212</v>
      </c>
      <c r="L19" s="111"/>
      <c r="M19" s="86"/>
    </row>
    <row r="20" spans="1:13" ht="15.75" customHeight="1" x14ac:dyDescent="0.25">
      <c r="A20" s="8">
        <v>10</v>
      </c>
      <c r="B20" s="8" t="s">
        <v>51</v>
      </c>
      <c r="C20" s="8" t="s">
        <v>52</v>
      </c>
      <c r="D20" s="8">
        <v>10</v>
      </c>
      <c r="E20" s="12">
        <v>3.7</v>
      </c>
      <c r="F20" s="9">
        <f>18.2*60</f>
        <v>1092</v>
      </c>
      <c r="G20" s="11">
        <v>1.87</v>
      </c>
      <c r="H20" s="11">
        <v>0.76</v>
      </c>
      <c r="I20" s="11">
        <v>135</v>
      </c>
      <c r="J20" s="115" t="s">
        <v>211</v>
      </c>
      <c r="K20" s="1"/>
      <c r="L20" s="113" t="s">
        <v>212</v>
      </c>
      <c r="M20" s="86"/>
    </row>
    <row r="21" spans="1:13" ht="15.75" customHeight="1" x14ac:dyDescent="0.2">
      <c r="A21" s="8">
        <v>10</v>
      </c>
      <c r="B21" s="8" t="s">
        <v>53</v>
      </c>
      <c r="C21" s="8" t="s">
        <v>54</v>
      </c>
      <c r="D21" s="8">
        <v>10</v>
      </c>
      <c r="E21" s="10">
        <v>2.4</v>
      </c>
      <c r="F21" s="10">
        <f>7.6*25</f>
        <v>190</v>
      </c>
      <c r="G21" s="8">
        <v>1.89</v>
      </c>
      <c r="H21" s="8">
        <v>0.52</v>
      </c>
      <c r="I21" s="8">
        <v>68</v>
      </c>
      <c r="J21" s="114">
        <v>45250</v>
      </c>
      <c r="K21" s="1"/>
      <c r="L21" s="111"/>
      <c r="M21" s="86"/>
    </row>
    <row r="22" spans="1:13" ht="15.75" customHeight="1" x14ac:dyDescent="0.25">
      <c r="A22" s="16">
        <v>40</v>
      </c>
      <c r="B22" s="16" t="s">
        <v>12</v>
      </c>
      <c r="C22" s="18" t="s">
        <v>56</v>
      </c>
      <c r="D22" s="16">
        <v>40</v>
      </c>
      <c r="E22" s="19">
        <v>8</v>
      </c>
      <c r="F22" s="19">
        <f>30.6*25</f>
        <v>765</v>
      </c>
      <c r="G22" s="18">
        <v>1.5</v>
      </c>
      <c r="H22" s="18">
        <v>0.49</v>
      </c>
      <c r="I22" s="16">
        <v>84</v>
      </c>
      <c r="J22" s="118">
        <v>45388</v>
      </c>
      <c r="K22" s="66" t="s">
        <v>140</v>
      </c>
      <c r="L22" s="111"/>
      <c r="M22" s="86" t="s">
        <v>188</v>
      </c>
    </row>
    <row r="23" spans="1:13" ht="15.75" customHeight="1" x14ac:dyDescent="0.25">
      <c r="A23" s="16">
        <v>40</v>
      </c>
      <c r="B23" s="16" t="s">
        <v>14</v>
      </c>
      <c r="C23" s="18" t="s">
        <v>57</v>
      </c>
      <c r="D23" s="16">
        <v>40</v>
      </c>
      <c r="E23" s="19">
        <v>6.9</v>
      </c>
      <c r="F23" s="19">
        <f>9*60</f>
        <v>540</v>
      </c>
      <c r="G23" s="18">
        <v>1.95</v>
      </c>
      <c r="H23" s="18">
        <v>0.86</v>
      </c>
      <c r="I23" s="16">
        <v>123</v>
      </c>
      <c r="J23" s="119" t="s">
        <v>215</v>
      </c>
      <c r="K23" s="66" t="s">
        <v>126</v>
      </c>
      <c r="L23" s="111"/>
      <c r="M23" s="86" t="s">
        <v>188</v>
      </c>
    </row>
    <row r="24" spans="1:13" ht="15.75" customHeight="1" x14ac:dyDescent="0.25">
      <c r="A24" s="16">
        <v>40</v>
      </c>
      <c r="B24" s="16" t="s">
        <v>16</v>
      </c>
      <c r="C24" s="18" t="s">
        <v>58</v>
      </c>
      <c r="D24" s="16">
        <v>40</v>
      </c>
      <c r="E24" s="19">
        <v>6.4</v>
      </c>
      <c r="F24" s="19">
        <f>25.5*60</f>
        <v>1530</v>
      </c>
      <c r="G24" s="18">
        <v>1.89</v>
      </c>
      <c r="H24" s="18">
        <v>0.56999999999999995</v>
      </c>
      <c r="I24" s="16">
        <v>102</v>
      </c>
      <c r="J24" s="119" t="s">
        <v>216</v>
      </c>
      <c r="K24" s="66" t="s">
        <v>136</v>
      </c>
      <c r="L24" s="111"/>
      <c r="M24" s="86" t="s">
        <v>188</v>
      </c>
    </row>
    <row r="25" spans="1:13" ht="15.75" customHeight="1" x14ac:dyDescent="0.2">
      <c r="A25" s="16">
        <v>40</v>
      </c>
      <c r="B25" s="16" t="s">
        <v>18</v>
      </c>
      <c r="C25" s="16" t="s">
        <v>59</v>
      </c>
      <c r="D25" s="16">
        <v>40</v>
      </c>
      <c r="E25" s="23">
        <v>4.4000000000000004</v>
      </c>
      <c r="F25" s="23">
        <f>4.1*60</f>
        <v>245.99999999999997</v>
      </c>
      <c r="G25" s="16">
        <v>1.96</v>
      </c>
      <c r="H25" s="16">
        <v>0.45</v>
      </c>
      <c r="I25" s="16">
        <v>95</v>
      </c>
      <c r="J25" s="120" t="s">
        <v>217</v>
      </c>
      <c r="K25" s="1"/>
      <c r="L25" s="111"/>
      <c r="M25" s="86"/>
    </row>
    <row r="26" spans="1:13" ht="15.75" customHeight="1" x14ac:dyDescent="0.25">
      <c r="A26" s="16">
        <v>40</v>
      </c>
      <c r="B26" s="16" t="s">
        <v>21</v>
      </c>
      <c r="C26" s="18" t="s">
        <v>60</v>
      </c>
      <c r="D26" s="16">
        <v>40</v>
      </c>
      <c r="E26" s="19">
        <v>7.2</v>
      </c>
      <c r="F26" s="24">
        <f>3.8*55</f>
        <v>209</v>
      </c>
      <c r="G26" s="18">
        <v>2.33</v>
      </c>
      <c r="H26" s="18">
        <v>0.25</v>
      </c>
      <c r="I26" s="16">
        <v>75</v>
      </c>
      <c r="J26" s="118">
        <v>45252</v>
      </c>
      <c r="K26" s="66" t="s">
        <v>144</v>
      </c>
      <c r="L26" s="111"/>
      <c r="M26" s="86" t="s">
        <v>188</v>
      </c>
    </row>
    <row r="27" spans="1:13" ht="15.75" customHeight="1" x14ac:dyDescent="0.2">
      <c r="A27" s="16">
        <v>40</v>
      </c>
      <c r="B27" s="16" t="s">
        <v>44</v>
      </c>
      <c r="C27" s="16" t="s">
        <v>69</v>
      </c>
      <c r="D27" s="16">
        <v>40</v>
      </c>
      <c r="E27" s="26" t="s">
        <v>67</v>
      </c>
      <c r="F27" s="16"/>
      <c r="G27" s="16"/>
      <c r="H27" s="16"/>
      <c r="I27" s="16"/>
      <c r="J27" s="120"/>
      <c r="K27" s="1"/>
      <c r="L27" s="111"/>
      <c r="M27" s="86"/>
    </row>
    <row r="28" spans="1:13" ht="15.75" customHeight="1" x14ac:dyDescent="0.2">
      <c r="A28" s="16">
        <v>40</v>
      </c>
      <c r="B28" s="16" t="s">
        <v>47</v>
      </c>
      <c r="C28" s="16" t="s">
        <v>70</v>
      </c>
      <c r="D28" s="16">
        <v>40</v>
      </c>
      <c r="E28" s="23">
        <v>1.1000000000000001</v>
      </c>
      <c r="F28" s="23">
        <f>4.5*25</f>
        <v>112.5</v>
      </c>
      <c r="G28" s="16">
        <v>1.97</v>
      </c>
      <c r="H28" s="16">
        <v>0.41</v>
      </c>
      <c r="I28" s="16">
        <v>71</v>
      </c>
      <c r="J28" s="121">
        <v>45250</v>
      </c>
      <c r="K28" s="1"/>
      <c r="L28" s="111"/>
      <c r="M28" s="86"/>
    </row>
    <row r="29" spans="1:13" ht="15.75" customHeight="1" x14ac:dyDescent="0.25">
      <c r="A29" s="16">
        <v>40</v>
      </c>
      <c r="B29" s="16" t="s">
        <v>49</v>
      </c>
      <c r="C29" s="18" t="s">
        <v>71</v>
      </c>
      <c r="D29" s="16">
        <v>40</v>
      </c>
      <c r="E29" s="24">
        <v>5.0999999999999996</v>
      </c>
      <c r="F29" s="19">
        <f>14.7*60</f>
        <v>882</v>
      </c>
      <c r="G29" s="18">
        <v>1.78</v>
      </c>
      <c r="H29" s="18">
        <v>0.35</v>
      </c>
      <c r="I29" s="16">
        <v>118</v>
      </c>
      <c r="J29" s="118">
        <v>45634</v>
      </c>
      <c r="K29" s="66" t="s">
        <v>218</v>
      </c>
      <c r="L29" s="111"/>
      <c r="M29" s="86" t="s">
        <v>193</v>
      </c>
    </row>
    <row r="30" spans="1:13" ht="15.75" customHeight="1" x14ac:dyDescent="0.25">
      <c r="A30" s="16">
        <v>40</v>
      </c>
      <c r="B30" s="16" t="s">
        <v>51</v>
      </c>
      <c r="C30" s="16" t="s">
        <v>72</v>
      </c>
      <c r="D30" s="16">
        <v>40</v>
      </c>
      <c r="E30" s="34">
        <v>7.7</v>
      </c>
      <c r="F30" s="17">
        <f>17.1*60</f>
        <v>1026</v>
      </c>
      <c r="G30" s="33">
        <v>1.91</v>
      </c>
      <c r="H30" s="33">
        <v>0.92</v>
      </c>
      <c r="I30" s="33">
        <v>132</v>
      </c>
      <c r="J30" s="122" t="s">
        <v>206</v>
      </c>
      <c r="K30" s="113" t="s">
        <v>207</v>
      </c>
      <c r="L30" s="111"/>
      <c r="M30" s="86"/>
    </row>
    <row r="31" spans="1:13" ht="15.75" customHeight="1" x14ac:dyDescent="0.25">
      <c r="A31" s="16">
        <v>40</v>
      </c>
      <c r="B31" s="16" t="s">
        <v>53</v>
      </c>
      <c r="C31" s="18" t="s">
        <v>73</v>
      </c>
      <c r="D31" s="16">
        <v>40</v>
      </c>
      <c r="E31" s="19">
        <v>8.6999999999999993</v>
      </c>
      <c r="F31" s="19">
        <f>9*60</f>
        <v>540</v>
      </c>
      <c r="G31" s="18">
        <v>1.88</v>
      </c>
      <c r="H31" s="18">
        <v>0.64</v>
      </c>
      <c r="I31" s="16">
        <v>108</v>
      </c>
      <c r="J31" s="118">
        <v>45299</v>
      </c>
      <c r="K31" s="66" t="s">
        <v>205</v>
      </c>
      <c r="L31" s="111"/>
      <c r="M31" s="86" t="s">
        <v>188</v>
      </c>
    </row>
    <row r="32" spans="1:13" ht="15.75" customHeight="1" x14ac:dyDescent="0.25">
      <c r="A32" s="26">
        <v>40</v>
      </c>
      <c r="B32" s="26" t="s">
        <v>34</v>
      </c>
      <c r="C32" s="18" t="s">
        <v>61</v>
      </c>
      <c r="D32" s="26">
        <v>10</v>
      </c>
      <c r="E32" s="24">
        <v>0</v>
      </c>
      <c r="F32" s="19">
        <f>23.2*33</f>
        <v>765.6</v>
      </c>
      <c r="G32" s="18">
        <v>1.72</v>
      </c>
      <c r="H32" s="18">
        <v>0.56000000000000005</v>
      </c>
      <c r="I32" s="26">
        <v>79</v>
      </c>
      <c r="J32" s="118">
        <v>45252</v>
      </c>
      <c r="K32" s="1"/>
      <c r="L32" s="66" t="s">
        <v>144</v>
      </c>
      <c r="M32" s="86"/>
    </row>
    <row r="33" spans="1:13" ht="15.75" customHeight="1" x14ac:dyDescent="0.25">
      <c r="A33" s="26">
        <v>40</v>
      </c>
      <c r="B33" s="26" t="s">
        <v>36</v>
      </c>
      <c r="C33" s="18" t="s">
        <v>63</v>
      </c>
      <c r="D33" s="26">
        <v>10</v>
      </c>
      <c r="E33" s="19">
        <v>8.5</v>
      </c>
      <c r="F33" s="18"/>
      <c r="G33" s="18"/>
      <c r="H33" s="18"/>
      <c r="I33" s="28" t="s">
        <v>62</v>
      </c>
      <c r="J33" s="118">
        <v>45536</v>
      </c>
      <c r="K33" s="66" t="s">
        <v>129</v>
      </c>
      <c r="L33" s="111"/>
      <c r="M33" s="86" t="s">
        <v>188</v>
      </c>
    </row>
    <row r="34" spans="1:13" ht="15.75" customHeight="1" x14ac:dyDescent="0.25">
      <c r="A34" s="26">
        <v>40</v>
      </c>
      <c r="B34" s="26" t="s">
        <v>38</v>
      </c>
      <c r="C34" s="18" t="s">
        <v>65</v>
      </c>
      <c r="D34" s="26">
        <v>10</v>
      </c>
      <c r="E34" s="19">
        <v>7.4</v>
      </c>
      <c r="F34" s="24">
        <f>2.1*25</f>
        <v>52.5</v>
      </c>
      <c r="G34" s="18">
        <v>2.2400000000000002</v>
      </c>
      <c r="H34" s="18">
        <v>1.01</v>
      </c>
      <c r="I34" s="26">
        <v>81</v>
      </c>
      <c r="J34" s="118">
        <v>45388</v>
      </c>
      <c r="K34" s="66" t="s">
        <v>140</v>
      </c>
      <c r="L34" s="111"/>
      <c r="M34" s="86" t="s">
        <v>219</v>
      </c>
    </row>
    <row r="35" spans="1:13" ht="15.75" customHeight="1" x14ac:dyDescent="0.2">
      <c r="A35" s="26">
        <v>40</v>
      </c>
      <c r="B35" s="26" t="s">
        <v>40</v>
      </c>
      <c r="C35" s="26" t="s">
        <v>66</v>
      </c>
      <c r="D35" s="26">
        <v>10</v>
      </c>
      <c r="E35" s="26" t="s">
        <v>67</v>
      </c>
      <c r="F35" s="26"/>
      <c r="G35" s="26"/>
      <c r="H35" s="26"/>
      <c r="I35" s="26"/>
      <c r="J35" s="123"/>
      <c r="K35" s="1"/>
      <c r="L35" s="111"/>
      <c r="M35" s="86"/>
    </row>
    <row r="36" spans="1:13" ht="15.75" customHeight="1" x14ac:dyDescent="0.25">
      <c r="A36" s="26">
        <v>40</v>
      </c>
      <c r="B36" s="26" t="s">
        <v>42</v>
      </c>
      <c r="C36" s="18" t="s">
        <v>68</v>
      </c>
      <c r="D36" s="26">
        <v>10</v>
      </c>
      <c r="E36" s="31">
        <v>7.6</v>
      </c>
      <c r="F36" s="19">
        <f>18.2*30</f>
        <v>546</v>
      </c>
      <c r="G36" s="18">
        <v>1.83</v>
      </c>
      <c r="H36" s="18">
        <v>0.52</v>
      </c>
      <c r="I36" s="26">
        <v>91</v>
      </c>
      <c r="J36" s="118">
        <v>45572</v>
      </c>
      <c r="K36" s="66" t="s">
        <v>148</v>
      </c>
      <c r="L36" s="111"/>
      <c r="M36" s="86" t="s">
        <v>188</v>
      </c>
    </row>
    <row r="37" spans="1:13" ht="15.75" customHeight="1" x14ac:dyDescent="0.25">
      <c r="A37" s="26">
        <v>40</v>
      </c>
      <c r="B37" s="26" t="s">
        <v>24</v>
      </c>
      <c r="C37" s="26" t="s">
        <v>74</v>
      </c>
      <c r="D37" s="26">
        <v>10</v>
      </c>
      <c r="E37" s="37">
        <v>2.8</v>
      </c>
      <c r="F37" s="27">
        <f>36.3*60</f>
        <v>2178</v>
      </c>
      <c r="G37" s="36">
        <v>1.8</v>
      </c>
      <c r="H37" s="36">
        <v>0.46</v>
      </c>
      <c r="I37" s="36">
        <v>133</v>
      </c>
      <c r="J37" s="115" t="s">
        <v>206</v>
      </c>
      <c r="K37" s="1"/>
      <c r="L37" s="113" t="s">
        <v>207</v>
      </c>
      <c r="M37" s="86"/>
    </row>
    <row r="38" spans="1:13" ht="15.75" customHeight="1" x14ac:dyDescent="0.25">
      <c r="A38" s="26">
        <v>40</v>
      </c>
      <c r="B38" s="26" t="s">
        <v>26</v>
      </c>
      <c r="C38" s="26" t="s">
        <v>75</v>
      </c>
      <c r="D38" s="26">
        <v>10</v>
      </c>
      <c r="E38" s="30">
        <v>2.4</v>
      </c>
      <c r="F38" s="27">
        <f>10.7*60</f>
        <v>642</v>
      </c>
      <c r="G38" s="26">
        <v>2</v>
      </c>
      <c r="H38" s="26">
        <v>0.44</v>
      </c>
      <c r="I38" s="36">
        <v>126</v>
      </c>
      <c r="J38" s="123" t="s">
        <v>220</v>
      </c>
      <c r="K38" s="1"/>
      <c r="L38" s="117" t="s">
        <v>221</v>
      </c>
      <c r="M38" s="86"/>
    </row>
    <row r="39" spans="1:13" ht="15.75" customHeight="1" x14ac:dyDescent="0.2">
      <c r="A39" s="26">
        <v>40</v>
      </c>
      <c r="B39" s="26" t="s">
        <v>28</v>
      </c>
      <c r="C39" s="18" t="s">
        <v>76</v>
      </c>
      <c r="D39" s="26">
        <v>10</v>
      </c>
      <c r="E39" s="38">
        <v>1</v>
      </c>
      <c r="F39" s="24">
        <f>7.8*60</f>
        <v>468</v>
      </c>
      <c r="G39" s="18">
        <v>1.96</v>
      </c>
      <c r="H39" s="18">
        <v>0.56999999999999995</v>
      </c>
      <c r="I39" s="26">
        <v>103</v>
      </c>
      <c r="J39" s="124" t="s">
        <v>222</v>
      </c>
      <c r="K39" s="1"/>
      <c r="L39" s="117" t="s">
        <v>223</v>
      </c>
      <c r="M39" s="86"/>
    </row>
    <row r="40" spans="1:13" ht="15.75" customHeight="1" x14ac:dyDescent="0.2">
      <c r="A40" s="93">
        <v>40</v>
      </c>
      <c r="B40" s="93" t="s">
        <v>30</v>
      </c>
      <c r="C40" s="93" t="s">
        <v>78</v>
      </c>
      <c r="D40" s="93">
        <v>10</v>
      </c>
      <c r="E40" s="95">
        <v>0</v>
      </c>
      <c r="F40" s="95">
        <f>2.2*60</f>
        <v>132</v>
      </c>
      <c r="G40" s="93">
        <v>2.54</v>
      </c>
      <c r="H40" s="93">
        <v>0.36</v>
      </c>
      <c r="I40" s="93">
        <v>72</v>
      </c>
      <c r="J40" s="125">
        <v>45252</v>
      </c>
      <c r="K40" s="96"/>
      <c r="L40" s="111"/>
      <c r="M40" s="86"/>
    </row>
    <row r="41" spans="1:13" ht="15.75" customHeight="1" x14ac:dyDescent="0.2">
      <c r="A41" s="26">
        <v>40</v>
      </c>
      <c r="B41" s="26" t="s">
        <v>32</v>
      </c>
      <c r="C41" s="18" t="s">
        <v>79</v>
      </c>
      <c r="D41" s="26">
        <v>10</v>
      </c>
      <c r="E41" s="24">
        <v>2.9</v>
      </c>
      <c r="F41" s="24">
        <f>3.7*25</f>
        <v>92.5</v>
      </c>
      <c r="G41" s="18">
        <v>2.5299999999999998</v>
      </c>
      <c r="H41" s="18">
        <v>0.31</v>
      </c>
      <c r="I41" s="26">
        <v>67</v>
      </c>
      <c r="J41" s="126">
        <v>45250</v>
      </c>
      <c r="K41" s="1"/>
      <c r="L41" s="111"/>
      <c r="M41" s="86"/>
    </row>
    <row r="42" spans="1:13" ht="15.75" customHeight="1" x14ac:dyDescent="0.2">
      <c r="A42" s="29"/>
      <c r="B42" s="29"/>
      <c r="C42" s="29"/>
      <c r="D42" s="29"/>
      <c r="E42" s="73"/>
      <c r="F42" s="73"/>
      <c r="G42" s="29"/>
      <c r="H42" s="29"/>
      <c r="I42" s="29"/>
      <c r="J42" s="127"/>
      <c r="K42" s="29"/>
      <c r="L42" s="111"/>
    </row>
    <row r="43" spans="1:13" ht="15.75" customHeight="1" x14ac:dyDescent="0.2">
      <c r="B43" s="29"/>
      <c r="C43" s="29"/>
      <c r="E43" s="73"/>
      <c r="F43" s="73"/>
      <c r="G43" s="29"/>
      <c r="H43" s="29"/>
      <c r="I43" s="29"/>
      <c r="J43" s="127"/>
      <c r="K43" s="29"/>
      <c r="L43" s="111"/>
    </row>
    <row r="44" spans="1:13" ht="15.75" customHeight="1" x14ac:dyDescent="0.2">
      <c r="A44" s="1" t="s">
        <v>8</v>
      </c>
      <c r="B44" s="1" t="s">
        <v>2</v>
      </c>
      <c r="C44" s="1" t="s">
        <v>10</v>
      </c>
      <c r="D44" s="1" t="s">
        <v>9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3</v>
      </c>
      <c r="J44" s="128" t="s">
        <v>120</v>
      </c>
      <c r="K44" s="1" t="s">
        <v>183</v>
      </c>
      <c r="L44" s="111"/>
      <c r="M44" s="86"/>
    </row>
    <row r="45" spans="1:13" ht="15.75" customHeight="1" x14ac:dyDescent="0.2">
      <c r="A45" s="39">
        <v>40</v>
      </c>
      <c r="B45" s="99" t="s">
        <v>12</v>
      </c>
      <c r="C45" s="129" t="s">
        <v>82</v>
      </c>
      <c r="D45" s="39">
        <v>40</v>
      </c>
      <c r="E45" s="130" t="s">
        <v>67</v>
      </c>
      <c r="F45" s="131"/>
      <c r="G45" s="131"/>
      <c r="H45" s="131"/>
      <c r="I45" s="132" t="s">
        <v>67</v>
      </c>
      <c r="J45" s="133"/>
      <c r="K45" s="134"/>
      <c r="L45" s="111"/>
      <c r="M45" s="86"/>
    </row>
    <row r="46" spans="1:13" ht="15.75" customHeight="1" x14ac:dyDescent="0.25">
      <c r="A46" s="39">
        <v>40</v>
      </c>
      <c r="B46" s="39" t="s">
        <v>14</v>
      </c>
      <c r="C46" s="44" t="s">
        <v>83</v>
      </c>
      <c r="D46" s="39">
        <v>40</v>
      </c>
      <c r="E46" s="24">
        <v>3.1</v>
      </c>
      <c r="F46" s="19">
        <f>23.2*33</f>
        <v>765.6</v>
      </c>
      <c r="G46" s="18">
        <v>2.0299999999999998</v>
      </c>
      <c r="H46" s="18">
        <v>0.39</v>
      </c>
      <c r="I46" s="39">
        <v>77</v>
      </c>
      <c r="J46" s="135">
        <v>45250</v>
      </c>
      <c r="K46" s="1"/>
      <c r="L46" s="66" t="s">
        <v>144</v>
      </c>
      <c r="M46" s="86"/>
    </row>
    <row r="47" spans="1:13" ht="15.75" customHeight="1" x14ac:dyDescent="0.2">
      <c r="A47" s="39">
        <v>40</v>
      </c>
      <c r="B47" s="39" t="s">
        <v>16</v>
      </c>
      <c r="C47" s="21" t="s">
        <v>84</v>
      </c>
      <c r="D47" s="39">
        <v>40</v>
      </c>
      <c r="E47" s="24">
        <v>3</v>
      </c>
      <c r="F47" s="24">
        <f>8.4*25</f>
        <v>210</v>
      </c>
      <c r="G47" s="18">
        <v>1.87</v>
      </c>
      <c r="H47" s="18">
        <v>0.37</v>
      </c>
      <c r="I47" s="39">
        <v>65</v>
      </c>
      <c r="J47" s="136">
        <v>45250</v>
      </c>
      <c r="K47" s="1"/>
      <c r="L47" s="111"/>
      <c r="M47" s="86"/>
    </row>
    <row r="48" spans="1:13" ht="15.75" customHeight="1" x14ac:dyDescent="0.25">
      <c r="A48" s="39">
        <v>40</v>
      </c>
      <c r="B48" s="39" t="s">
        <v>18</v>
      </c>
      <c r="C48" s="45" t="s">
        <v>85</v>
      </c>
      <c r="D48" s="39">
        <v>40</v>
      </c>
      <c r="E48" s="24">
        <v>2.6</v>
      </c>
      <c r="F48" s="19">
        <f>15.1*60</f>
        <v>906</v>
      </c>
      <c r="G48" s="18">
        <v>1.84</v>
      </c>
      <c r="H48" s="18">
        <v>0.49</v>
      </c>
      <c r="I48" s="39">
        <v>101</v>
      </c>
      <c r="J48" s="137" t="s">
        <v>216</v>
      </c>
      <c r="K48" s="1"/>
      <c r="L48" s="117" t="s">
        <v>136</v>
      </c>
      <c r="M48" s="86"/>
    </row>
    <row r="49" spans="1:13" ht="15.75" customHeight="1" x14ac:dyDescent="0.25">
      <c r="A49" s="39">
        <v>40</v>
      </c>
      <c r="B49" s="39" t="s">
        <v>21</v>
      </c>
      <c r="C49" s="26" t="s">
        <v>86</v>
      </c>
      <c r="D49" s="39">
        <v>40</v>
      </c>
      <c r="E49" s="38">
        <v>2.2000000000000002</v>
      </c>
      <c r="F49" s="19">
        <f>41*60</f>
        <v>2460</v>
      </c>
      <c r="G49" s="18">
        <v>1.69</v>
      </c>
      <c r="H49" s="18">
        <v>0.44</v>
      </c>
      <c r="I49" s="39">
        <v>104</v>
      </c>
      <c r="J49" s="138" t="s">
        <v>224</v>
      </c>
      <c r="K49" s="1"/>
      <c r="L49" s="117" t="s">
        <v>223</v>
      </c>
      <c r="M49" s="86"/>
    </row>
    <row r="50" spans="1:13" ht="15.75" customHeight="1" x14ac:dyDescent="0.2">
      <c r="A50" s="39">
        <v>40</v>
      </c>
      <c r="B50" s="39" t="s">
        <v>44</v>
      </c>
      <c r="C50" s="46" t="s">
        <v>87</v>
      </c>
      <c r="D50" s="39">
        <v>40</v>
      </c>
      <c r="E50" s="24">
        <v>1.4</v>
      </c>
      <c r="F50" s="24">
        <f>3.8*25</f>
        <v>95</v>
      </c>
      <c r="G50" s="18">
        <v>1.82</v>
      </c>
      <c r="H50" s="18">
        <v>0.51</v>
      </c>
      <c r="I50" s="39">
        <v>85</v>
      </c>
      <c r="J50" s="139">
        <v>45388</v>
      </c>
      <c r="K50" s="1"/>
      <c r="L50" s="111"/>
      <c r="M50" s="86"/>
    </row>
    <row r="51" spans="1:13" ht="15.75" customHeight="1" x14ac:dyDescent="0.25">
      <c r="A51" s="39">
        <v>40</v>
      </c>
      <c r="B51" s="39" t="s">
        <v>47</v>
      </c>
      <c r="C51" s="47" t="s">
        <v>88</v>
      </c>
      <c r="D51" s="39">
        <v>40</v>
      </c>
      <c r="E51" s="24">
        <v>1</v>
      </c>
      <c r="F51" s="19">
        <f>9.6*60</f>
        <v>576</v>
      </c>
      <c r="G51" s="18">
        <v>1.78</v>
      </c>
      <c r="H51" s="18">
        <v>0.46</v>
      </c>
      <c r="I51" s="39">
        <v>113</v>
      </c>
      <c r="J51" s="140">
        <v>45481</v>
      </c>
      <c r="K51" s="1"/>
      <c r="L51" s="117" t="s">
        <v>225</v>
      </c>
      <c r="M51" s="86"/>
    </row>
    <row r="52" spans="1:13" ht="15.75" customHeight="1" x14ac:dyDescent="0.2">
      <c r="A52" s="48">
        <v>10</v>
      </c>
      <c r="B52" s="48" t="s">
        <v>34</v>
      </c>
      <c r="C52" s="18" t="s">
        <v>90</v>
      </c>
      <c r="D52" s="48">
        <v>40</v>
      </c>
      <c r="E52" s="24">
        <v>2.4</v>
      </c>
      <c r="F52" s="24">
        <f>13.4*25</f>
        <v>335</v>
      </c>
      <c r="G52" s="18">
        <v>1.91</v>
      </c>
      <c r="H52" s="18">
        <v>0.37</v>
      </c>
      <c r="I52" s="48">
        <v>62</v>
      </c>
      <c r="J52" s="118">
        <v>45245</v>
      </c>
      <c r="K52" s="1"/>
      <c r="L52" s="111"/>
      <c r="M52" s="86"/>
    </row>
    <row r="53" spans="1:13" ht="15.75" customHeight="1" x14ac:dyDescent="0.2">
      <c r="A53" s="48">
        <v>10</v>
      </c>
      <c r="B53" s="48" t="s">
        <v>36</v>
      </c>
      <c r="C53" s="18" t="s">
        <v>91</v>
      </c>
      <c r="D53" s="48">
        <v>40</v>
      </c>
      <c r="E53" s="24">
        <v>2</v>
      </c>
      <c r="F53" s="24">
        <f>4.5*25</f>
        <v>112.5</v>
      </c>
      <c r="G53" s="18">
        <v>1.82</v>
      </c>
      <c r="H53" s="18">
        <v>0.46</v>
      </c>
      <c r="I53" s="48">
        <v>86</v>
      </c>
      <c r="J53" s="118">
        <v>45388</v>
      </c>
      <c r="K53" s="1"/>
      <c r="L53" s="111"/>
      <c r="M53" s="86"/>
    </row>
    <row r="54" spans="1:13" ht="15.75" customHeight="1" x14ac:dyDescent="0.25">
      <c r="A54" s="48">
        <v>10</v>
      </c>
      <c r="B54" s="48" t="s">
        <v>38</v>
      </c>
      <c r="C54" s="18" t="s">
        <v>92</v>
      </c>
      <c r="D54" s="48">
        <v>40</v>
      </c>
      <c r="E54" s="24">
        <v>3.3</v>
      </c>
      <c r="F54" s="19">
        <f>42.4*33</f>
        <v>1399.2</v>
      </c>
      <c r="G54" s="18">
        <v>2.1800000000000002</v>
      </c>
      <c r="H54" s="18">
        <v>0.51</v>
      </c>
      <c r="I54" s="48">
        <v>76</v>
      </c>
      <c r="J54" s="118">
        <v>45252</v>
      </c>
      <c r="K54" s="1"/>
      <c r="L54" s="91" t="s">
        <v>144</v>
      </c>
      <c r="M54" s="86"/>
    </row>
    <row r="55" spans="1:13" ht="15.75" customHeight="1" x14ac:dyDescent="0.25">
      <c r="A55" s="48">
        <v>10</v>
      </c>
      <c r="B55" s="48" t="s">
        <v>40</v>
      </c>
      <c r="C55" s="18" t="s">
        <v>93</v>
      </c>
      <c r="D55" s="48">
        <v>40</v>
      </c>
      <c r="E55" s="24">
        <v>4.0999999999999996</v>
      </c>
      <c r="F55" s="19">
        <f>45.5*60</f>
        <v>2730</v>
      </c>
      <c r="G55" s="18">
        <v>2.11</v>
      </c>
      <c r="H55" s="18">
        <v>0.59</v>
      </c>
      <c r="I55" s="48">
        <v>99</v>
      </c>
      <c r="J55" s="118" t="s">
        <v>210</v>
      </c>
      <c r="K55" s="1"/>
      <c r="L55" s="66" t="s">
        <v>148</v>
      </c>
      <c r="M55" s="92" t="s">
        <v>188</v>
      </c>
    </row>
    <row r="56" spans="1:13" ht="15.75" customHeight="1" x14ac:dyDescent="0.25">
      <c r="A56" s="48">
        <v>10</v>
      </c>
      <c r="B56" s="48" t="s">
        <v>42</v>
      </c>
      <c r="C56" s="18" t="s">
        <v>94</v>
      </c>
      <c r="D56" s="48">
        <v>40</v>
      </c>
      <c r="E56" s="19">
        <v>7</v>
      </c>
      <c r="F56" s="19">
        <f>58.7*60</f>
        <v>3522</v>
      </c>
      <c r="G56" s="18">
        <v>1.8</v>
      </c>
      <c r="H56" s="18">
        <v>0.4</v>
      </c>
      <c r="I56" s="48">
        <v>117</v>
      </c>
      <c r="J56" s="118">
        <v>45634</v>
      </c>
      <c r="K56" s="66" t="s">
        <v>158</v>
      </c>
      <c r="L56" s="111"/>
      <c r="M56" s="86" t="s">
        <v>188</v>
      </c>
    </row>
    <row r="57" spans="1:13" ht="15.75" customHeight="1" x14ac:dyDescent="0.25">
      <c r="A57" s="48">
        <v>10</v>
      </c>
      <c r="B57" s="48" t="s">
        <v>32</v>
      </c>
      <c r="C57" s="18" t="s">
        <v>95</v>
      </c>
      <c r="D57" s="48">
        <v>40</v>
      </c>
      <c r="E57" s="19">
        <v>7.8</v>
      </c>
      <c r="F57" s="19">
        <f>34.7*60</f>
        <v>2082</v>
      </c>
      <c r="G57" s="18">
        <v>1.69</v>
      </c>
      <c r="H57" s="18">
        <v>0.53</v>
      </c>
      <c r="I57" s="48">
        <v>114</v>
      </c>
      <c r="J57" s="118">
        <v>45481</v>
      </c>
      <c r="K57" s="66" t="s">
        <v>162</v>
      </c>
      <c r="L57" s="111"/>
      <c r="M57" s="86" t="s">
        <v>188</v>
      </c>
    </row>
    <row r="58" spans="1:13" ht="15.75" customHeight="1" x14ac:dyDescent="0.25">
      <c r="A58" s="48">
        <v>10</v>
      </c>
      <c r="B58" s="48" t="s">
        <v>30</v>
      </c>
      <c r="C58" s="48" t="s">
        <v>96</v>
      </c>
      <c r="D58" s="48">
        <v>40</v>
      </c>
      <c r="E58" s="54">
        <v>1.3</v>
      </c>
      <c r="F58" s="49">
        <f>8.6*60</f>
        <v>516</v>
      </c>
      <c r="G58" s="48">
        <v>1.71</v>
      </c>
      <c r="H58" s="48">
        <v>0.4</v>
      </c>
      <c r="I58" s="53">
        <v>124</v>
      </c>
      <c r="J58" s="115" t="s">
        <v>213</v>
      </c>
      <c r="K58" s="1"/>
      <c r="L58" s="117" t="s">
        <v>214</v>
      </c>
      <c r="M58" s="86"/>
    </row>
    <row r="59" spans="1:13" ht="15.75" customHeight="1" x14ac:dyDescent="0.2">
      <c r="A59" s="48">
        <v>10</v>
      </c>
      <c r="B59" s="48" t="s">
        <v>28</v>
      </c>
      <c r="C59" s="48" t="s">
        <v>97</v>
      </c>
      <c r="D59" s="48">
        <v>40</v>
      </c>
      <c r="E59" s="50">
        <v>2.4</v>
      </c>
      <c r="F59" s="50">
        <f>15.1*25</f>
        <v>377.5</v>
      </c>
      <c r="G59" s="48">
        <v>1.85</v>
      </c>
      <c r="H59" s="48">
        <v>0.51</v>
      </c>
      <c r="I59" s="48">
        <v>64</v>
      </c>
      <c r="J59" s="141">
        <v>45250</v>
      </c>
      <c r="K59" s="1"/>
      <c r="L59" s="111"/>
      <c r="M59" s="86"/>
    </row>
    <row r="60" spans="1:13" ht="15.75" customHeight="1" x14ac:dyDescent="0.2">
      <c r="A60" s="48">
        <v>10</v>
      </c>
      <c r="B60" s="48" t="s">
        <v>26</v>
      </c>
      <c r="C60" s="48" t="s">
        <v>98</v>
      </c>
      <c r="D60" s="48">
        <v>40</v>
      </c>
      <c r="E60" s="50">
        <v>2.1</v>
      </c>
      <c r="F60" s="50">
        <f>4.4*60</f>
        <v>264</v>
      </c>
      <c r="G60" s="48">
        <v>1.8</v>
      </c>
      <c r="H60" s="48">
        <v>0.41</v>
      </c>
      <c r="I60" s="48">
        <v>96</v>
      </c>
      <c r="J60" s="141" t="s">
        <v>217</v>
      </c>
      <c r="K60" s="1"/>
      <c r="L60" s="111"/>
      <c r="M60" s="86"/>
    </row>
    <row r="61" spans="1:13" ht="15.75" customHeight="1" x14ac:dyDescent="0.2">
      <c r="A61" s="48">
        <v>10</v>
      </c>
      <c r="B61" s="48" t="s">
        <v>24</v>
      </c>
      <c r="C61" s="48" t="s">
        <v>99</v>
      </c>
      <c r="D61" s="48">
        <v>40</v>
      </c>
      <c r="E61" s="50">
        <v>1.6</v>
      </c>
      <c r="F61" s="50">
        <f>19.6*25</f>
        <v>490.00000000000006</v>
      </c>
      <c r="G61" s="48">
        <v>1.95</v>
      </c>
      <c r="H61" s="48">
        <v>0.46</v>
      </c>
      <c r="I61" s="48">
        <v>61</v>
      </c>
      <c r="J61" s="141">
        <v>45245</v>
      </c>
      <c r="K61" s="1"/>
      <c r="L61" s="111"/>
      <c r="M61" s="86"/>
    </row>
    <row r="62" spans="1:13" ht="15.75" customHeight="1" x14ac:dyDescent="0.2">
      <c r="A62" s="21">
        <v>40</v>
      </c>
      <c r="B62" s="21" t="s">
        <v>34</v>
      </c>
      <c r="C62" s="22" t="s">
        <v>100</v>
      </c>
      <c r="D62" s="21">
        <v>10</v>
      </c>
      <c r="E62" s="24">
        <v>4.0999999999999996</v>
      </c>
      <c r="F62" s="24">
        <f>4.9*25</f>
        <v>122.50000000000001</v>
      </c>
      <c r="G62" s="18">
        <v>1.79</v>
      </c>
      <c r="H62" s="18">
        <v>0.55000000000000004</v>
      </c>
      <c r="I62" s="21">
        <v>87</v>
      </c>
      <c r="J62" s="142">
        <v>45388</v>
      </c>
      <c r="K62" s="1"/>
      <c r="L62" s="111"/>
      <c r="M62" s="86"/>
    </row>
    <row r="63" spans="1:13" ht="15.75" customHeight="1" x14ac:dyDescent="0.2">
      <c r="A63" s="21">
        <v>40</v>
      </c>
      <c r="B63" s="21" t="s">
        <v>36</v>
      </c>
      <c r="C63" s="44" t="s">
        <v>101</v>
      </c>
      <c r="D63" s="21">
        <v>10</v>
      </c>
      <c r="E63" s="43" t="s">
        <v>67</v>
      </c>
      <c r="F63" s="18"/>
      <c r="G63" s="18"/>
      <c r="H63" s="18"/>
      <c r="I63" s="56" t="s">
        <v>67</v>
      </c>
      <c r="J63" s="135"/>
      <c r="K63" s="1"/>
      <c r="L63" s="111"/>
      <c r="M63" s="86"/>
    </row>
    <row r="64" spans="1:13" ht="15.75" customHeight="1" x14ac:dyDescent="0.25">
      <c r="A64" s="21">
        <v>40</v>
      </c>
      <c r="B64" s="21" t="s">
        <v>38</v>
      </c>
      <c r="C64" s="21" t="s">
        <v>102</v>
      </c>
      <c r="D64" s="21">
        <v>10</v>
      </c>
      <c r="E64" s="19">
        <v>6.1</v>
      </c>
      <c r="F64" s="24">
        <f>13.7*25</f>
        <v>342.5</v>
      </c>
      <c r="G64" s="18">
        <v>2.06</v>
      </c>
      <c r="H64" s="18">
        <v>0.95</v>
      </c>
      <c r="I64" s="21">
        <v>66</v>
      </c>
      <c r="J64" s="136">
        <v>45250</v>
      </c>
      <c r="K64" s="66" t="s">
        <v>226</v>
      </c>
      <c r="L64" s="111"/>
      <c r="M64" s="86" t="s">
        <v>188</v>
      </c>
    </row>
    <row r="65" spans="1:13" ht="15.75" customHeight="1" x14ac:dyDescent="0.2">
      <c r="A65" s="21">
        <v>40</v>
      </c>
      <c r="B65" s="21" t="s">
        <v>40</v>
      </c>
      <c r="C65" s="45" t="s">
        <v>103</v>
      </c>
      <c r="D65" s="21">
        <v>10</v>
      </c>
      <c r="E65" s="43" t="s">
        <v>67</v>
      </c>
      <c r="F65" s="18"/>
      <c r="G65" s="18"/>
      <c r="H65" s="18"/>
      <c r="I65" s="56" t="s">
        <v>67</v>
      </c>
      <c r="J65" s="143"/>
      <c r="K65" s="1"/>
      <c r="L65" s="111"/>
      <c r="M65" s="86"/>
    </row>
    <row r="66" spans="1:13" ht="15.75" customHeight="1" x14ac:dyDescent="0.25">
      <c r="A66" s="21">
        <v>40</v>
      </c>
      <c r="B66" s="21" t="s">
        <v>42</v>
      </c>
      <c r="C66" s="26" t="s">
        <v>104</v>
      </c>
      <c r="D66" s="21">
        <v>10</v>
      </c>
      <c r="E66" s="19">
        <v>6.1</v>
      </c>
      <c r="F66" s="24">
        <f>12.2*33</f>
        <v>402.59999999999997</v>
      </c>
      <c r="G66" s="18">
        <v>1.8</v>
      </c>
      <c r="H66" s="18">
        <v>0.39</v>
      </c>
      <c r="I66" s="21">
        <v>78</v>
      </c>
      <c r="J66" s="138">
        <v>45252</v>
      </c>
      <c r="K66" s="91" t="s">
        <v>144</v>
      </c>
      <c r="L66" s="111"/>
      <c r="M66" s="92" t="s">
        <v>188</v>
      </c>
    </row>
    <row r="67" spans="1:13" ht="15.75" customHeight="1" x14ac:dyDescent="0.2">
      <c r="A67" s="21">
        <v>40</v>
      </c>
      <c r="B67" s="21" t="s">
        <v>24</v>
      </c>
      <c r="C67" s="46" t="s">
        <v>105</v>
      </c>
      <c r="D67" s="21">
        <v>10</v>
      </c>
      <c r="E67" s="43" t="s">
        <v>67</v>
      </c>
      <c r="F67" s="18"/>
      <c r="G67" s="18"/>
      <c r="H67" s="18"/>
      <c r="I67" s="56" t="s">
        <v>67</v>
      </c>
      <c r="J67" s="144"/>
      <c r="K67" s="1"/>
      <c r="L67" s="111"/>
      <c r="M67" s="86"/>
    </row>
    <row r="68" spans="1:13" ht="15.75" customHeight="1" x14ac:dyDescent="0.2">
      <c r="A68" s="21">
        <v>40</v>
      </c>
      <c r="B68" s="21" t="s">
        <v>26</v>
      </c>
      <c r="C68" s="47" t="s">
        <v>106</v>
      </c>
      <c r="D68" s="21">
        <v>10</v>
      </c>
      <c r="E68" s="43" t="s">
        <v>67</v>
      </c>
      <c r="F68" s="18"/>
      <c r="G68" s="18"/>
      <c r="H68" s="18"/>
      <c r="I68" s="56" t="s">
        <v>67</v>
      </c>
      <c r="J68" s="140"/>
      <c r="K68" s="1"/>
      <c r="L68" s="111"/>
      <c r="M68" s="86"/>
    </row>
    <row r="69" spans="1:13" ht="15.75" customHeight="1" x14ac:dyDescent="0.25">
      <c r="A69" s="22">
        <v>10</v>
      </c>
      <c r="B69" s="22" t="s">
        <v>44</v>
      </c>
      <c r="C69" s="22" t="s">
        <v>108</v>
      </c>
      <c r="D69" s="22">
        <v>10</v>
      </c>
      <c r="E69" s="59">
        <v>7.6</v>
      </c>
      <c r="F69" s="59">
        <f>61.1*25</f>
        <v>1527.5</v>
      </c>
      <c r="G69" s="22">
        <v>2.16</v>
      </c>
      <c r="H69" s="22">
        <v>2.04</v>
      </c>
      <c r="I69" s="22">
        <v>63</v>
      </c>
      <c r="J69" s="142">
        <v>45245</v>
      </c>
      <c r="K69" s="66" t="s">
        <v>139</v>
      </c>
      <c r="L69" s="111"/>
      <c r="M69" s="86" t="s">
        <v>188</v>
      </c>
    </row>
    <row r="70" spans="1:13" ht="15.75" customHeight="1" x14ac:dyDescent="0.2">
      <c r="A70" s="22">
        <v>10</v>
      </c>
      <c r="B70" s="22" t="s">
        <v>47</v>
      </c>
      <c r="C70" s="22" t="s">
        <v>109</v>
      </c>
      <c r="D70" s="22">
        <v>10</v>
      </c>
      <c r="E70" s="58">
        <v>1.2</v>
      </c>
      <c r="F70" s="58">
        <f>1.2*25</f>
        <v>30</v>
      </c>
      <c r="G70" s="22">
        <v>2.65</v>
      </c>
      <c r="H70" s="22">
        <v>15.08</v>
      </c>
      <c r="I70" s="22">
        <v>88</v>
      </c>
      <c r="J70" s="142">
        <v>45388</v>
      </c>
      <c r="K70" s="1"/>
      <c r="L70" s="111"/>
      <c r="M70" s="86"/>
    </row>
    <row r="71" spans="1:13" ht="15.75" customHeight="1" x14ac:dyDescent="0.25">
      <c r="A71" s="22">
        <v>10</v>
      </c>
      <c r="B71" s="22" t="s">
        <v>49</v>
      </c>
      <c r="C71" s="22" t="s">
        <v>110</v>
      </c>
      <c r="D71" s="22">
        <v>10</v>
      </c>
      <c r="E71" s="60">
        <v>1.8</v>
      </c>
      <c r="F71" s="59">
        <f>31.7*40</f>
        <v>1268</v>
      </c>
      <c r="G71" s="22">
        <v>1.86</v>
      </c>
      <c r="H71" s="22">
        <v>0.45</v>
      </c>
      <c r="I71" s="22">
        <v>89.1</v>
      </c>
      <c r="J71" s="142">
        <v>45542</v>
      </c>
      <c r="K71" s="1"/>
      <c r="L71" s="117" t="s">
        <v>227</v>
      </c>
      <c r="M71" s="86"/>
    </row>
    <row r="72" spans="1:13" ht="15.75" customHeight="1" x14ac:dyDescent="0.25">
      <c r="A72" s="22">
        <v>10</v>
      </c>
      <c r="B72" s="22" t="s">
        <v>51</v>
      </c>
      <c r="C72" s="18" t="s">
        <v>111</v>
      </c>
      <c r="D72" s="22">
        <v>10</v>
      </c>
      <c r="E72" s="24">
        <v>2.7</v>
      </c>
      <c r="F72" s="19">
        <f>10.7*60</f>
        <v>642</v>
      </c>
      <c r="G72" s="18">
        <v>2.0699999999999998</v>
      </c>
      <c r="H72" s="18">
        <v>1.2</v>
      </c>
      <c r="I72" s="22">
        <v>92</v>
      </c>
      <c r="J72" s="118">
        <v>45572</v>
      </c>
      <c r="K72" s="1"/>
      <c r="L72" s="66" t="s">
        <v>148</v>
      </c>
      <c r="M72" s="86"/>
    </row>
    <row r="73" spans="1:13" ht="15.75" customHeight="1" x14ac:dyDescent="0.25">
      <c r="A73" s="22">
        <v>10</v>
      </c>
      <c r="B73" s="22" t="s">
        <v>53</v>
      </c>
      <c r="C73" s="18" t="s">
        <v>112</v>
      </c>
      <c r="D73" s="22">
        <v>10</v>
      </c>
      <c r="E73" s="19">
        <v>7.3</v>
      </c>
      <c r="F73" s="19">
        <f>11.2*60</f>
        <v>672</v>
      </c>
      <c r="G73" s="18">
        <v>1.8</v>
      </c>
      <c r="H73" s="18">
        <v>0.5</v>
      </c>
      <c r="I73" s="22">
        <v>97</v>
      </c>
      <c r="J73" s="119" t="s">
        <v>210</v>
      </c>
      <c r="K73" s="66" t="s">
        <v>148</v>
      </c>
      <c r="L73" s="111"/>
      <c r="M73" s="86" t="s">
        <v>188</v>
      </c>
    </row>
    <row r="74" spans="1:13" ht="15.75" customHeight="1" x14ac:dyDescent="0.25">
      <c r="A74" s="22">
        <v>10</v>
      </c>
      <c r="B74" s="22" t="s">
        <v>12</v>
      </c>
      <c r="C74" s="18" t="s">
        <v>113</v>
      </c>
      <c r="D74" s="22">
        <v>10</v>
      </c>
      <c r="E74" s="24">
        <v>1</v>
      </c>
      <c r="F74" s="19">
        <f>31*60</f>
        <v>1860</v>
      </c>
      <c r="G74" s="18">
        <v>2.08</v>
      </c>
      <c r="H74" s="18">
        <v>1.33</v>
      </c>
      <c r="I74" s="22">
        <v>122</v>
      </c>
      <c r="J74" s="124" t="s">
        <v>228</v>
      </c>
      <c r="K74" s="1"/>
      <c r="L74" s="66" t="s">
        <v>126</v>
      </c>
      <c r="M74" s="86"/>
    </row>
    <row r="75" spans="1:13" ht="15.75" customHeight="1" x14ac:dyDescent="0.2">
      <c r="A75" s="22">
        <v>10</v>
      </c>
      <c r="B75" s="22" t="s">
        <v>14</v>
      </c>
      <c r="C75" s="18" t="s">
        <v>115</v>
      </c>
      <c r="D75" s="22">
        <v>10</v>
      </c>
      <c r="E75" s="18"/>
      <c r="F75" s="18"/>
      <c r="G75" s="18"/>
      <c r="H75" s="18"/>
      <c r="I75" s="62" t="s">
        <v>67</v>
      </c>
      <c r="J75" s="118"/>
      <c r="K75" s="1"/>
      <c r="L75" s="111"/>
      <c r="M75" s="86"/>
    </row>
    <row r="76" spans="1:13" ht="15.75" customHeight="1" x14ac:dyDescent="0.25">
      <c r="A76" s="22">
        <v>10</v>
      </c>
      <c r="B76" s="22" t="s">
        <v>16</v>
      </c>
      <c r="C76" s="18" t="s">
        <v>116</v>
      </c>
      <c r="D76" s="22">
        <v>10</v>
      </c>
      <c r="E76" s="38">
        <v>2.7</v>
      </c>
      <c r="F76" s="19">
        <f>14.7*60</f>
        <v>882</v>
      </c>
      <c r="G76" s="18">
        <v>1.83</v>
      </c>
      <c r="H76" s="18">
        <v>0.5</v>
      </c>
      <c r="I76" s="22">
        <v>109</v>
      </c>
      <c r="J76" s="118">
        <v>45299</v>
      </c>
      <c r="K76" s="1"/>
      <c r="L76" s="117" t="s">
        <v>229</v>
      </c>
      <c r="M76" s="86"/>
    </row>
    <row r="77" spans="1:13" ht="15.75" customHeight="1" x14ac:dyDescent="0.2">
      <c r="A77" s="22">
        <v>10</v>
      </c>
      <c r="B77" s="22" t="s">
        <v>18</v>
      </c>
      <c r="C77" s="18" t="s">
        <v>117</v>
      </c>
      <c r="D77" s="22">
        <v>10</v>
      </c>
      <c r="E77" s="18"/>
      <c r="F77" s="18"/>
      <c r="G77" s="18"/>
      <c r="H77" s="18"/>
      <c r="I77" s="62" t="s">
        <v>67</v>
      </c>
      <c r="J77" s="119"/>
      <c r="K77" s="1"/>
      <c r="L77" s="111"/>
      <c r="M77" s="86"/>
    </row>
    <row r="78" spans="1:13" ht="15.75" customHeight="1" x14ac:dyDescent="0.25">
      <c r="A78" s="22">
        <v>10</v>
      </c>
      <c r="B78" s="22" t="s">
        <v>21</v>
      </c>
      <c r="C78" s="18" t="s">
        <v>118</v>
      </c>
      <c r="D78" s="22">
        <v>10</v>
      </c>
      <c r="E78" s="19">
        <v>7.6</v>
      </c>
      <c r="F78" s="19">
        <f>28.3*60</f>
        <v>1698</v>
      </c>
      <c r="G78" s="18">
        <v>2.0699999999999998</v>
      </c>
      <c r="H78" s="18">
        <v>0.98</v>
      </c>
      <c r="I78" s="22">
        <v>98</v>
      </c>
      <c r="J78" s="119" t="s">
        <v>210</v>
      </c>
      <c r="K78" s="66" t="s">
        <v>148</v>
      </c>
      <c r="L78" s="111"/>
      <c r="M78" s="86" t="s">
        <v>219</v>
      </c>
    </row>
    <row r="79" spans="1:13" ht="15.75" customHeight="1" x14ac:dyDescent="0.2">
      <c r="J79" s="70"/>
    </row>
    <row r="80" spans="1:13" ht="15.75" customHeight="1" x14ac:dyDescent="0.2">
      <c r="J80" s="70"/>
    </row>
    <row r="81" spans="10:10" ht="15.75" customHeight="1" x14ac:dyDescent="0.2">
      <c r="J81" s="70"/>
    </row>
    <row r="82" spans="10:10" ht="15.75" customHeight="1" x14ac:dyDescent="0.2">
      <c r="J82" s="70"/>
    </row>
    <row r="83" spans="10:10" ht="15.75" customHeight="1" x14ac:dyDescent="0.2">
      <c r="J83" s="70"/>
    </row>
    <row r="84" spans="10:10" ht="15.75" customHeight="1" x14ac:dyDescent="0.2">
      <c r="J84" s="70"/>
    </row>
    <row r="85" spans="10:10" ht="15.75" customHeight="1" x14ac:dyDescent="0.2">
      <c r="J85" s="70"/>
    </row>
    <row r="86" spans="10:10" ht="15.75" customHeight="1" x14ac:dyDescent="0.2">
      <c r="J86" s="70"/>
    </row>
    <row r="87" spans="10:10" ht="15.75" customHeight="1" x14ac:dyDescent="0.2">
      <c r="J87" s="70"/>
    </row>
    <row r="88" spans="10:10" ht="15.75" customHeight="1" x14ac:dyDescent="0.2">
      <c r="J88" s="70"/>
    </row>
    <row r="89" spans="10:10" ht="15.75" customHeight="1" x14ac:dyDescent="0.2">
      <c r="J89" s="70"/>
    </row>
    <row r="90" spans="10:10" ht="15.75" customHeight="1" x14ac:dyDescent="0.2">
      <c r="J90" s="70"/>
    </row>
    <row r="91" spans="10:10" ht="15.75" customHeight="1" x14ac:dyDescent="0.2">
      <c r="J91" s="70"/>
    </row>
    <row r="92" spans="10:10" ht="15.75" customHeight="1" x14ac:dyDescent="0.2">
      <c r="J92" s="70"/>
    </row>
    <row r="93" spans="10:10" ht="15.75" customHeight="1" x14ac:dyDescent="0.2">
      <c r="J93" s="70"/>
    </row>
    <row r="94" spans="10:10" ht="15.75" customHeight="1" x14ac:dyDescent="0.2">
      <c r="J94" s="70"/>
    </row>
    <row r="95" spans="10:10" ht="15.75" customHeight="1" x14ac:dyDescent="0.2">
      <c r="J95" s="70"/>
    </row>
    <row r="96" spans="10:10" ht="15.75" customHeight="1" x14ac:dyDescent="0.2">
      <c r="J96" s="70"/>
    </row>
    <row r="97" spans="10:10" ht="15.75" customHeight="1" x14ac:dyDescent="0.2">
      <c r="J97" s="70"/>
    </row>
    <row r="98" spans="10:10" ht="15.75" customHeight="1" x14ac:dyDescent="0.2">
      <c r="J98" s="70"/>
    </row>
    <row r="99" spans="10:10" ht="15.75" customHeight="1" x14ac:dyDescent="0.2">
      <c r="J99" s="70"/>
    </row>
    <row r="100" spans="10:10" ht="15.75" customHeight="1" x14ac:dyDescent="0.2">
      <c r="J100" s="70"/>
    </row>
    <row r="101" spans="10:10" ht="15.75" customHeight="1" x14ac:dyDescent="0.2">
      <c r="J101" s="70"/>
    </row>
    <row r="102" spans="10:10" ht="15.75" customHeight="1" x14ac:dyDescent="0.2">
      <c r="J102" s="70"/>
    </row>
    <row r="103" spans="10:10" ht="15.75" customHeight="1" x14ac:dyDescent="0.2">
      <c r="J103" s="70"/>
    </row>
    <row r="104" spans="10:10" ht="15.75" customHeight="1" x14ac:dyDescent="0.2">
      <c r="J104" s="70"/>
    </row>
    <row r="105" spans="10:10" ht="15.75" customHeight="1" x14ac:dyDescent="0.2">
      <c r="J105" s="70"/>
    </row>
    <row r="106" spans="10:10" ht="15.75" customHeight="1" x14ac:dyDescent="0.2">
      <c r="J106" s="70"/>
    </row>
    <row r="107" spans="10:10" ht="15.75" customHeight="1" x14ac:dyDescent="0.2">
      <c r="J107" s="70"/>
    </row>
    <row r="108" spans="10:10" ht="15.75" customHeight="1" x14ac:dyDescent="0.2">
      <c r="J108" s="70"/>
    </row>
    <row r="109" spans="10:10" ht="15.75" customHeight="1" x14ac:dyDescent="0.2">
      <c r="J109" s="70"/>
    </row>
    <row r="110" spans="10:10" ht="15.75" customHeight="1" x14ac:dyDescent="0.2">
      <c r="J110" s="70"/>
    </row>
    <row r="111" spans="10:10" ht="15.75" customHeight="1" x14ac:dyDescent="0.2">
      <c r="J111" s="70"/>
    </row>
    <row r="112" spans="10:10" ht="15.75" customHeight="1" x14ac:dyDescent="0.2">
      <c r="J112" s="70"/>
    </row>
    <row r="113" spans="10:10" ht="15.75" customHeight="1" x14ac:dyDescent="0.2">
      <c r="J113" s="70"/>
    </row>
    <row r="114" spans="10:10" ht="15.75" customHeight="1" x14ac:dyDescent="0.2">
      <c r="J114" s="70"/>
    </row>
    <row r="115" spans="10:10" ht="15.75" customHeight="1" x14ac:dyDescent="0.2">
      <c r="J115" s="70"/>
    </row>
    <row r="116" spans="10:10" ht="15.75" customHeight="1" x14ac:dyDescent="0.2">
      <c r="J116" s="70"/>
    </row>
    <row r="117" spans="10:10" ht="15.75" customHeight="1" x14ac:dyDescent="0.2">
      <c r="J117" s="70"/>
    </row>
    <row r="118" spans="10:10" ht="15.75" customHeight="1" x14ac:dyDescent="0.2">
      <c r="J118" s="70"/>
    </row>
    <row r="119" spans="10:10" ht="15.75" customHeight="1" x14ac:dyDescent="0.2">
      <c r="J119" s="70"/>
    </row>
    <row r="120" spans="10:10" ht="15.75" customHeight="1" x14ac:dyDescent="0.2">
      <c r="J120" s="70"/>
    </row>
    <row r="121" spans="10:10" ht="15.75" customHeight="1" x14ac:dyDescent="0.2">
      <c r="J121" s="70"/>
    </row>
    <row r="122" spans="10:10" ht="15.75" customHeight="1" x14ac:dyDescent="0.2">
      <c r="J122" s="70"/>
    </row>
    <row r="123" spans="10:10" ht="15.75" customHeight="1" x14ac:dyDescent="0.2">
      <c r="J123" s="70"/>
    </row>
    <row r="124" spans="10:10" ht="15.75" customHeight="1" x14ac:dyDescent="0.2">
      <c r="J124" s="70"/>
    </row>
    <row r="125" spans="10:10" ht="15.75" customHeight="1" x14ac:dyDescent="0.2">
      <c r="J125" s="70"/>
    </row>
    <row r="126" spans="10:10" ht="15.75" customHeight="1" x14ac:dyDescent="0.2">
      <c r="J126" s="70"/>
    </row>
    <row r="127" spans="10:10" ht="15.75" customHeight="1" x14ac:dyDescent="0.2">
      <c r="J127" s="70"/>
    </row>
    <row r="128" spans="10:10" ht="15.75" customHeight="1" x14ac:dyDescent="0.2">
      <c r="J128" s="70"/>
    </row>
    <row r="129" spans="10:10" ht="15.75" customHeight="1" x14ac:dyDescent="0.2">
      <c r="J129" s="70"/>
    </row>
    <row r="130" spans="10:10" ht="15.75" customHeight="1" x14ac:dyDescent="0.2">
      <c r="J130" s="70"/>
    </row>
    <row r="131" spans="10:10" ht="15.75" customHeight="1" x14ac:dyDescent="0.2">
      <c r="J131" s="70"/>
    </row>
    <row r="132" spans="10:10" ht="15.75" customHeight="1" x14ac:dyDescent="0.2">
      <c r="J132" s="70"/>
    </row>
    <row r="133" spans="10:10" ht="15.75" customHeight="1" x14ac:dyDescent="0.2">
      <c r="J133" s="70"/>
    </row>
    <row r="134" spans="10:10" ht="15.75" customHeight="1" x14ac:dyDescent="0.2">
      <c r="J134" s="70"/>
    </row>
    <row r="135" spans="10:10" ht="15.75" customHeight="1" x14ac:dyDescent="0.2">
      <c r="J135" s="70"/>
    </row>
    <row r="136" spans="10:10" ht="15.75" customHeight="1" x14ac:dyDescent="0.2">
      <c r="J136" s="70"/>
    </row>
    <row r="137" spans="10:10" ht="15.75" customHeight="1" x14ac:dyDescent="0.2">
      <c r="J137" s="70"/>
    </row>
    <row r="138" spans="10:10" ht="15.75" customHeight="1" x14ac:dyDescent="0.2">
      <c r="J138" s="70"/>
    </row>
    <row r="139" spans="10:10" ht="15.75" customHeight="1" x14ac:dyDescent="0.2">
      <c r="J139" s="70"/>
    </row>
    <row r="140" spans="10:10" ht="15.75" customHeight="1" x14ac:dyDescent="0.2">
      <c r="J140" s="70"/>
    </row>
    <row r="141" spans="10:10" ht="15.75" customHeight="1" x14ac:dyDescent="0.2">
      <c r="J141" s="70"/>
    </row>
    <row r="142" spans="10:10" ht="15.75" customHeight="1" x14ac:dyDescent="0.2">
      <c r="J142" s="70"/>
    </row>
    <row r="143" spans="10:10" ht="15.75" customHeight="1" x14ac:dyDescent="0.2">
      <c r="J143" s="70"/>
    </row>
    <row r="144" spans="10:10" ht="15.75" customHeight="1" x14ac:dyDescent="0.2">
      <c r="J144" s="70"/>
    </row>
    <row r="145" spans="10:10" ht="15.75" customHeight="1" x14ac:dyDescent="0.2">
      <c r="J145" s="70"/>
    </row>
    <row r="146" spans="10:10" ht="15.75" customHeight="1" x14ac:dyDescent="0.2">
      <c r="J146" s="70"/>
    </row>
    <row r="147" spans="10:10" ht="15.75" customHeight="1" x14ac:dyDescent="0.2">
      <c r="J147" s="70"/>
    </row>
    <row r="148" spans="10:10" ht="15.75" customHeight="1" x14ac:dyDescent="0.2">
      <c r="J148" s="70"/>
    </row>
    <row r="149" spans="10:10" ht="15.75" customHeight="1" x14ac:dyDescent="0.2">
      <c r="J149" s="70"/>
    </row>
    <row r="150" spans="10:10" ht="15.75" customHeight="1" x14ac:dyDescent="0.2">
      <c r="J150" s="70"/>
    </row>
    <row r="151" spans="10:10" ht="15.75" customHeight="1" x14ac:dyDescent="0.2">
      <c r="J151" s="70"/>
    </row>
    <row r="152" spans="10:10" ht="15.75" customHeight="1" x14ac:dyDescent="0.2">
      <c r="J152" s="70"/>
    </row>
    <row r="153" spans="10:10" ht="15.75" customHeight="1" x14ac:dyDescent="0.2">
      <c r="J153" s="70"/>
    </row>
    <row r="154" spans="10:10" ht="15.75" customHeight="1" x14ac:dyDescent="0.2">
      <c r="J154" s="70"/>
    </row>
    <row r="155" spans="10:10" ht="15.75" customHeight="1" x14ac:dyDescent="0.2">
      <c r="J155" s="70"/>
    </row>
    <row r="156" spans="10:10" ht="15.75" customHeight="1" x14ac:dyDescent="0.2">
      <c r="J156" s="70"/>
    </row>
    <row r="157" spans="10:10" ht="15.75" customHeight="1" x14ac:dyDescent="0.2">
      <c r="J157" s="70"/>
    </row>
    <row r="158" spans="10:10" ht="15.75" customHeight="1" x14ac:dyDescent="0.2">
      <c r="J158" s="70"/>
    </row>
    <row r="159" spans="10:10" ht="15.75" customHeight="1" x14ac:dyDescent="0.2">
      <c r="J159" s="70"/>
    </row>
    <row r="160" spans="10:10" ht="15.75" customHeight="1" x14ac:dyDescent="0.2">
      <c r="J160" s="70"/>
    </row>
    <row r="161" spans="10:10" ht="15.75" customHeight="1" x14ac:dyDescent="0.2">
      <c r="J161" s="70"/>
    </row>
    <row r="162" spans="10:10" ht="15.75" customHeight="1" x14ac:dyDescent="0.2">
      <c r="J162" s="70"/>
    </row>
    <row r="163" spans="10:10" ht="15.75" customHeight="1" x14ac:dyDescent="0.2">
      <c r="J163" s="70"/>
    </row>
    <row r="164" spans="10:10" ht="15.75" customHeight="1" x14ac:dyDescent="0.2">
      <c r="J164" s="70"/>
    </row>
    <row r="165" spans="10:10" ht="15.75" customHeight="1" x14ac:dyDescent="0.2">
      <c r="J165" s="70"/>
    </row>
    <row r="166" spans="10:10" ht="15.75" customHeight="1" x14ac:dyDescent="0.2">
      <c r="J166" s="70"/>
    </row>
    <row r="167" spans="10:10" ht="15.75" customHeight="1" x14ac:dyDescent="0.2">
      <c r="J167" s="70"/>
    </row>
    <row r="168" spans="10:10" ht="15.75" customHeight="1" x14ac:dyDescent="0.2">
      <c r="J168" s="70"/>
    </row>
    <row r="169" spans="10:10" ht="15.75" customHeight="1" x14ac:dyDescent="0.2">
      <c r="J169" s="70"/>
    </row>
    <row r="170" spans="10:10" ht="15.75" customHeight="1" x14ac:dyDescent="0.2">
      <c r="J170" s="70"/>
    </row>
    <row r="171" spans="10:10" ht="15.75" customHeight="1" x14ac:dyDescent="0.2">
      <c r="J171" s="70"/>
    </row>
    <row r="172" spans="10:10" ht="15.75" customHeight="1" x14ac:dyDescent="0.2">
      <c r="J172" s="70"/>
    </row>
    <row r="173" spans="10:10" ht="15.75" customHeight="1" x14ac:dyDescent="0.2">
      <c r="J173" s="70"/>
    </row>
    <row r="174" spans="10:10" ht="15.75" customHeight="1" x14ac:dyDescent="0.2">
      <c r="J174" s="70"/>
    </row>
    <row r="175" spans="10:10" ht="15.75" customHeight="1" x14ac:dyDescent="0.2">
      <c r="J175" s="70"/>
    </row>
    <row r="176" spans="10:10" ht="15.75" customHeight="1" x14ac:dyDescent="0.2">
      <c r="J176" s="70"/>
    </row>
    <row r="177" spans="10:10" ht="15.75" customHeight="1" x14ac:dyDescent="0.2">
      <c r="J177" s="70"/>
    </row>
    <row r="178" spans="10:10" ht="15.75" customHeight="1" x14ac:dyDescent="0.2">
      <c r="J178" s="70"/>
    </row>
    <row r="179" spans="10:10" ht="15.75" customHeight="1" x14ac:dyDescent="0.2">
      <c r="J179" s="70"/>
    </row>
    <row r="180" spans="10:10" ht="15.75" customHeight="1" x14ac:dyDescent="0.2">
      <c r="J180" s="70"/>
    </row>
    <row r="181" spans="10:10" ht="15.75" customHeight="1" x14ac:dyDescent="0.2">
      <c r="J181" s="70"/>
    </row>
    <row r="182" spans="10:10" ht="15.75" customHeight="1" x14ac:dyDescent="0.2">
      <c r="J182" s="70"/>
    </row>
    <row r="183" spans="10:10" ht="15.75" customHeight="1" x14ac:dyDescent="0.2">
      <c r="J183" s="70"/>
    </row>
    <row r="184" spans="10:10" ht="15.75" customHeight="1" x14ac:dyDescent="0.2">
      <c r="J184" s="70"/>
    </row>
    <row r="185" spans="10:10" ht="15.75" customHeight="1" x14ac:dyDescent="0.2">
      <c r="J185" s="70"/>
    </row>
    <row r="186" spans="10:10" ht="15.75" customHeight="1" x14ac:dyDescent="0.2">
      <c r="J186" s="70"/>
    </row>
    <row r="187" spans="10:10" ht="15.75" customHeight="1" x14ac:dyDescent="0.2">
      <c r="J187" s="70"/>
    </row>
    <row r="188" spans="10:10" ht="15.75" customHeight="1" x14ac:dyDescent="0.2">
      <c r="J188" s="70"/>
    </row>
    <row r="189" spans="10:10" ht="15.75" customHeight="1" x14ac:dyDescent="0.2">
      <c r="J189" s="70"/>
    </row>
    <row r="190" spans="10:10" ht="15.75" customHeight="1" x14ac:dyDescent="0.2">
      <c r="J190" s="70"/>
    </row>
    <row r="191" spans="10:10" ht="15.75" customHeight="1" x14ac:dyDescent="0.2">
      <c r="J191" s="70"/>
    </row>
    <row r="192" spans="10:10" ht="15.75" customHeight="1" x14ac:dyDescent="0.2">
      <c r="J192" s="70"/>
    </row>
    <row r="193" spans="10:10" ht="15.75" customHeight="1" x14ac:dyDescent="0.2">
      <c r="J193" s="70"/>
    </row>
    <row r="194" spans="10:10" ht="15.75" customHeight="1" x14ac:dyDescent="0.2">
      <c r="J194" s="70"/>
    </row>
    <row r="195" spans="10:10" ht="15.75" customHeight="1" x14ac:dyDescent="0.2">
      <c r="J195" s="70"/>
    </row>
    <row r="196" spans="10:10" ht="15.75" customHeight="1" x14ac:dyDescent="0.2">
      <c r="J196" s="70"/>
    </row>
    <row r="197" spans="10:10" ht="15.75" customHeight="1" x14ac:dyDescent="0.2">
      <c r="J197" s="70"/>
    </row>
    <row r="198" spans="10:10" ht="15.75" customHeight="1" x14ac:dyDescent="0.2">
      <c r="J198" s="70"/>
    </row>
    <row r="199" spans="10:10" ht="15.75" customHeight="1" x14ac:dyDescent="0.2">
      <c r="J199" s="70"/>
    </row>
    <row r="200" spans="10:10" ht="15.75" customHeight="1" x14ac:dyDescent="0.2">
      <c r="J200" s="70"/>
    </row>
    <row r="201" spans="10:10" ht="15.75" customHeight="1" x14ac:dyDescent="0.2">
      <c r="J201" s="70"/>
    </row>
    <row r="202" spans="10:10" ht="15.75" customHeight="1" x14ac:dyDescent="0.2">
      <c r="J202" s="70"/>
    </row>
    <row r="203" spans="10:10" ht="15.75" customHeight="1" x14ac:dyDescent="0.2">
      <c r="J203" s="70"/>
    </row>
    <row r="204" spans="10:10" ht="15.75" customHeight="1" x14ac:dyDescent="0.2">
      <c r="J204" s="70"/>
    </row>
    <row r="205" spans="10:10" ht="15.75" customHeight="1" x14ac:dyDescent="0.2">
      <c r="J205" s="70"/>
    </row>
    <row r="206" spans="10:10" ht="15.75" customHeight="1" x14ac:dyDescent="0.2">
      <c r="J206" s="70"/>
    </row>
    <row r="207" spans="10:10" ht="15.75" customHeight="1" x14ac:dyDescent="0.2">
      <c r="J207" s="70"/>
    </row>
    <row r="208" spans="10:10" ht="15.75" customHeight="1" x14ac:dyDescent="0.2">
      <c r="J208" s="70"/>
    </row>
    <row r="209" spans="10:10" ht="15.75" customHeight="1" x14ac:dyDescent="0.2">
      <c r="J209" s="70"/>
    </row>
    <row r="210" spans="10:10" ht="15.75" customHeight="1" x14ac:dyDescent="0.2">
      <c r="J210" s="70"/>
    </row>
    <row r="211" spans="10:10" ht="15.75" customHeight="1" x14ac:dyDescent="0.2">
      <c r="J211" s="70"/>
    </row>
    <row r="212" spans="10:10" ht="15.75" customHeight="1" x14ac:dyDescent="0.2">
      <c r="J212" s="70"/>
    </row>
    <row r="213" spans="10:10" ht="15.75" customHeight="1" x14ac:dyDescent="0.2">
      <c r="J213" s="70"/>
    </row>
    <row r="214" spans="10:10" ht="15.75" customHeight="1" x14ac:dyDescent="0.2">
      <c r="J214" s="70"/>
    </row>
    <row r="215" spans="10:10" ht="15.75" customHeight="1" x14ac:dyDescent="0.2">
      <c r="J215" s="70"/>
    </row>
    <row r="216" spans="10:10" ht="15.75" customHeight="1" x14ac:dyDescent="0.2">
      <c r="J216" s="70"/>
    </row>
    <row r="217" spans="10:10" ht="15.75" customHeight="1" x14ac:dyDescent="0.2">
      <c r="J217" s="70"/>
    </row>
    <row r="218" spans="10:10" ht="15.75" customHeight="1" x14ac:dyDescent="0.2">
      <c r="J218" s="70"/>
    </row>
    <row r="219" spans="10:10" ht="15.75" customHeight="1" x14ac:dyDescent="0.2">
      <c r="J219" s="70"/>
    </row>
    <row r="220" spans="10:10" ht="15.75" customHeight="1" x14ac:dyDescent="0.2">
      <c r="J220" s="70"/>
    </row>
    <row r="221" spans="10:10" ht="15.75" customHeight="1" x14ac:dyDescent="0.2">
      <c r="J221" s="70"/>
    </row>
    <row r="222" spans="10:10" ht="15.75" customHeight="1" x14ac:dyDescent="0.2">
      <c r="J222" s="70"/>
    </row>
    <row r="223" spans="10:10" ht="15.75" customHeight="1" x14ac:dyDescent="0.2">
      <c r="J223" s="70"/>
    </row>
    <row r="224" spans="10:10" ht="15.75" customHeight="1" x14ac:dyDescent="0.2">
      <c r="J224" s="70"/>
    </row>
    <row r="225" spans="10:10" ht="15.75" customHeight="1" x14ac:dyDescent="0.2">
      <c r="J225" s="70"/>
    </row>
    <row r="226" spans="10:10" ht="15.75" customHeight="1" x14ac:dyDescent="0.2">
      <c r="J226" s="70"/>
    </row>
    <row r="227" spans="10:10" ht="15.75" customHeight="1" x14ac:dyDescent="0.2">
      <c r="J227" s="70"/>
    </row>
    <row r="228" spans="10:10" ht="15.75" customHeight="1" x14ac:dyDescent="0.2">
      <c r="J228" s="70"/>
    </row>
    <row r="229" spans="10:10" ht="15.75" customHeight="1" x14ac:dyDescent="0.2">
      <c r="J229" s="70"/>
    </row>
    <row r="230" spans="10:10" ht="15.75" customHeight="1" x14ac:dyDescent="0.2">
      <c r="J230" s="70"/>
    </row>
    <row r="231" spans="10:10" ht="15.75" customHeight="1" x14ac:dyDescent="0.2">
      <c r="J231" s="70"/>
    </row>
    <row r="232" spans="10:10" ht="15.75" customHeight="1" x14ac:dyDescent="0.2">
      <c r="J232" s="70"/>
    </row>
    <row r="233" spans="10:10" ht="15.75" customHeight="1" x14ac:dyDescent="0.2">
      <c r="J233" s="70"/>
    </row>
    <row r="234" spans="10:10" ht="15.75" customHeight="1" x14ac:dyDescent="0.2">
      <c r="J234" s="70"/>
    </row>
    <row r="235" spans="10:10" ht="15.75" customHeight="1" x14ac:dyDescent="0.2">
      <c r="J235" s="70"/>
    </row>
    <row r="236" spans="10:10" ht="15.75" customHeight="1" x14ac:dyDescent="0.2">
      <c r="J236" s="70"/>
    </row>
    <row r="237" spans="10:10" ht="15.75" customHeight="1" x14ac:dyDescent="0.2">
      <c r="J237" s="70"/>
    </row>
    <row r="238" spans="10:10" ht="15.75" customHeight="1" x14ac:dyDescent="0.2">
      <c r="J238" s="70"/>
    </row>
    <row r="239" spans="10:10" ht="15.75" customHeight="1" x14ac:dyDescent="0.2">
      <c r="J239" s="70"/>
    </row>
    <row r="240" spans="10:10" ht="15.75" customHeight="1" x14ac:dyDescent="0.2">
      <c r="J240" s="70"/>
    </row>
    <row r="241" spans="10:10" ht="15.75" customHeight="1" x14ac:dyDescent="0.2">
      <c r="J241" s="70"/>
    </row>
    <row r="242" spans="10:10" ht="15.75" customHeight="1" x14ac:dyDescent="0.2">
      <c r="J242" s="70"/>
    </row>
    <row r="243" spans="10:10" ht="15.75" customHeight="1" x14ac:dyDescent="0.2">
      <c r="J243" s="70"/>
    </row>
    <row r="244" spans="10:10" ht="15.75" customHeight="1" x14ac:dyDescent="0.2">
      <c r="J244" s="70"/>
    </row>
    <row r="245" spans="10:10" ht="15.75" customHeight="1" x14ac:dyDescent="0.2">
      <c r="J245" s="70"/>
    </row>
    <row r="246" spans="10:10" ht="15.75" customHeight="1" x14ac:dyDescent="0.2">
      <c r="J246" s="70"/>
    </row>
    <row r="247" spans="10:10" ht="15.75" customHeight="1" x14ac:dyDescent="0.2">
      <c r="J247" s="70"/>
    </row>
    <row r="248" spans="10:10" ht="15.75" customHeight="1" x14ac:dyDescent="0.2">
      <c r="J248" s="70"/>
    </row>
    <row r="249" spans="10:10" ht="15.75" customHeight="1" x14ac:dyDescent="0.2">
      <c r="J249" s="70"/>
    </row>
    <row r="250" spans="10:10" ht="15.75" customHeight="1" x14ac:dyDescent="0.2">
      <c r="J250" s="70"/>
    </row>
    <row r="251" spans="10:10" ht="15.75" customHeight="1" x14ac:dyDescent="0.2">
      <c r="J251" s="70"/>
    </row>
    <row r="252" spans="10:10" ht="15.75" customHeight="1" x14ac:dyDescent="0.2">
      <c r="J252" s="70"/>
    </row>
    <row r="253" spans="10:10" ht="15.75" customHeight="1" x14ac:dyDescent="0.2">
      <c r="J253" s="70"/>
    </row>
    <row r="254" spans="10:10" ht="15.75" customHeight="1" x14ac:dyDescent="0.2">
      <c r="J254" s="70"/>
    </row>
    <row r="255" spans="10:10" ht="15.75" customHeight="1" x14ac:dyDescent="0.2">
      <c r="J255" s="70"/>
    </row>
    <row r="256" spans="10:10" ht="15.75" customHeight="1" x14ac:dyDescent="0.2">
      <c r="J256" s="70"/>
    </row>
    <row r="257" spans="10:10" ht="15.75" customHeight="1" x14ac:dyDescent="0.2">
      <c r="J257" s="70"/>
    </row>
    <row r="258" spans="10:10" ht="15.75" customHeight="1" x14ac:dyDescent="0.2">
      <c r="J258" s="70"/>
    </row>
    <row r="259" spans="10:10" ht="15.75" customHeight="1" x14ac:dyDescent="0.2">
      <c r="J259" s="70"/>
    </row>
    <row r="260" spans="10:10" ht="15.75" customHeight="1" x14ac:dyDescent="0.2">
      <c r="J260" s="70"/>
    </row>
    <row r="261" spans="10:10" ht="15.75" customHeight="1" x14ac:dyDescent="0.2">
      <c r="J261" s="70"/>
    </row>
    <row r="262" spans="10:10" ht="15.75" customHeight="1" x14ac:dyDescent="0.2">
      <c r="J262" s="70"/>
    </row>
    <row r="263" spans="10:10" ht="15.75" customHeight="1" x14ac:dyDescent="0.2">
      <c r="J263" s="70"/>
    </row>
    <row r="264" spans="10:10" ht="15.75" customHeight="1" x14ac:dyDescent="0.2">
      <c r="J264" s="70"/>
    </row>
    <row r="265" spans="10:10" ht="15.75" customHeight="1" x14ac:dyDescent="0.2">
      <c r="J265" s="70"/>
    </row>
    <row r="266" spans="10:10" ht="15.75" customHeight="1" x14ac:dyDescent="0.2">
      <c r="J266" s="70"/>
    </row>
    <row r="267" spans="10:10" ht="15.75" customHeight="1" x14ac:dyDescent="0.2">
      <c r="J267" s="70"/>
    </row>
    <row r="268" spans="10:10" ht="15.75" customHeight="1" x14ac:dyDescent="0.2">
      <c r="J268" s="70"/>
    </row>
    <row r="269" spans="10:10" ht="15.75" customHeight="1" x14ac:dyDescent="0.2">
      <c r="J269" s="70"/>
    </row>
    <row r="270" spans="10:10" ht="15.75" customHeight="1" x14ac:dyDescent="0.2">
      <c r="J270" s="70"/>
    </row>
    <row r="271" spans="10:10" ht="15.75" customHeight="1" x14ac:dyDescent="0.2">
      <c r="J271" s="70"/>
    </row>
    <row r="272" spans="10:10" ht="15.75" customHeight="1" x14ac:dyDescent="0.2">
      <c r="J272" s="70"/>
    </row>
    <row r="273" spans="10:10" ht="15.75" customHeight="1" x14ac:dyDescent="0.2">
      <c r="J273" s="70"/>
    </row>
    <row r="274" spans="10:10" ht="15.75" customHeight="1" x14ac:dyDescent="0.2">
      <c r="J274" s="70"/>
    </row>
    <row r="275" spans="10:10" ht="15.75" customHeight="1" x14ac:dyDescent="0.2">
      <c r="J275" s="70"/>
    </row>
    <row r="276" spans="10:10" ht="15.75" customHeight="1" x14ac:dyDescent="0.2">
      <c r="J276" s="70"/>
    </row>
    <row r="277" spans="10:10" ht="15.75" customHeight="1" x14ac:dyDescent="0.2">
      <c r="J277" s="70"/>
    </row>
    <row r="278" spans="10:10" ht="15.75" customHeight="1" x14ac:dyDescent="0.2">
      <c r="J278" s="70"/>
    </row>
    <row r="279" spans="10:10" ht="15.75" customHeight="1" x14ac:dyDescent="0.2">
      <c r="J279" s="70"/>
    </row>
    <row r="280" spans="10:10" ht="15.75" customHeight="1" x14ac:dyDescent="0.2">
      <c r="J280" s="70"/>
    </row>
    <row r="281" spans="10:10" ht="15.75" customHeight="1" x14ac:dyDescent="0.2">
      <c r="J281" s="70"/>
    </row>
    <row r="282" spans="10:10" ht="15.75" customHeight="1" x14ac:dyDescent="0.2">
      <c r="J282" s="70"/>
    </row>
    <row r="283" spans="10:10" ht="15.75" customHeight="1" x14ac:dyDescent="0.2">
      <c r="J283" s="70"/>
    </row>
    <row r="284" spans="10:10" ht="15.75" customHeight="1" x14ac:dyDescent="0.2">
      <c r="J284" s="70"/>
    </row>
    <row r="285" spans="10:10" ht="15.75" customHeight="1" x14ac:dyDescent="0.2">
      <c r="J285" s="70"/>
    </row>
    <row r="286" spans="10:10" ht="15.75" customHeight="1" x14ac:dyDescent="0.2">
      <c r="J286" s="70"/>
    </row>
    <row r="287" spans="10:10" ht="15.75" customHeight="1" x14ac:dyDescent="0.2">
      <c r="J287" s="70"/>
    </row>
    <row r="288" spans="10:10" ht="15.75" customHeight="1" x14ac:dyDescent="0.2">
      <c r="J288" s="70"/>
    </row>
    <row r="289" spans="10:10" ht="15.75" customHeight="1" x14ac:dyDescent="0.2">
      <c r="J289" s="70"/>
    </row>
    <row r="290" spans="10:10" ht="15.75" customHeight="1" x14ac:dyDescent="0.2">
      <c r="J290" s="70"/>
    </row>
    <row r="291" spans="10:10" ht="15.75" customHeight="1" x14ac:dyDescent="0.2">
      <c r="J291" s="70"/>
    </row>
    <row r="292" spans="10:10" ht="15.75" customHeight="1" x14ac:dyDescent="0.2">
      <c r="J292" s="70"/>
    </row>
    <row r="293" spans="10:10" ht="15.75" customHeight="1" x14ac:dyDescent="0.2">
      <c r="J293" s="70"/>
    </row>
    <row r="294" spans="10:10" ht="15.75" customHeight="1" x14ac:dyDescent="0.2">
      <c r="J294" s="70"/>
    </row>
    <row r="295" spans="10:10" ht="15.75" customHeight="1" x14ac:dyDescent="0.2">
      <c r="J295" s="70"/>
    </row>
    <row r="296" spans="10:10" ht="15.75" customHeight="1" x14ac:dyDescent="0.2">
      <c r="J296" s="70"/>
    </row>
    <row r="297" spans="10:10" ht="15.75" customHeight="1" x14ac:dyDescent="0.2">
      <c r="J297" s="70"/>
    </row>
    <row r="298" spans="10:10" ht="15.75" customHeight="1" x14ac:dyDescent="0.2">
      <c r="J298" s="70"/>
    </row>
    <row r="299" spans="10:10" ht="15.75" customHeight="1" x14ac:dyDescent="0.2">
      <c r="J299" s="70"/>
    </row>
    <row r="300" spans="10:10" ht="15.75" customHeight="1" x14ac:dyDescent="0.2">
      <c r="J300" s="70"/>
    </row>
    <row r="301" spans="10:10" ht="15.75" customHeight="1" x14ac:dyDescent="0.2">
      <c r="J301" s="70"/>
    </row>
    <row r="302" spans="10:10" ht="15.75" customHeight="1" x14ac:dyDescent="0.2">
      <c r="J302" s="70"/>
    </row>
    <row r="303" spans="10:10" ht="15.75" customHeight="1" x14ac:dyDescent="0.2">
      <c r="J303" s="70"/>
    </row>
    <row r="304" spans="10:10" ht="15.75" customHeight="1" x14ac:dyDescent="0.2">
      <c r="J304" s="70"/>
    </row>
    <row r="305" spans="10:10" ht="15.75" customHeight="1" x14ac:dyDescent="0.2">
      <c r="J305" s="70"/>
    </row>
    <row r="306" spans="10:10" ht="15.75" customHeight="1" x14ac:dyDescent="0.2">
      <c r="J306" s="70"/>
    </row>
    <row r="307" spans="10:10" ht="15.75" customHeight="1" x14ac:dyDescent="0.2">
      <c r="J307" s="70"/>
    </row>
    <row r="308" spans="10:10" ht="15.75" customHeight="1" x14ac:dyDescent="0.2">
      <c r="J308" s="70"/>
    </row>
    <row r="309" spans="10:10" ht="15.75" customHeight="1" x14ac:dyDescent="0.2">
      <c r="J309" s="70"/>
    </row>
    <row r="310" spans="10:10" ht="15.75" customHeight="1" x14ac:dyDescent="0.2">
      <c r="J310" s="70"/>
    </row>
    <row r="311" spans="10:10" ht="15.75" customHeight="1" x14ac:dyDescent="0.2">
      <c r="J311" s="70"/>
    </row>
    <row r="312" spans="10:10" ht="15.75" customHeight="1" x14ac:dyDescent="0.2">
      <c r="J312" s="70"/>
    </row>
    <row r="313" spans="10:10" ht="15.75" customHeight="1" x14ac:dyDescent="0.2">
      <c r="J313" s="70"/>
    </row>
    <row r="314" spans="10:10" ht="15.75" customHeight="1" x14ac:dyDescent="0.2">
      <c r="J314" s="70"/>
    </row>
    <row r="315" spans="10:10" ht="15.75" customHeight="1" x14ac:dyDescent="0.2">
      <c r="J315" s="70"/>
    </row>
    <row r="316" spans="10:10" ht="15.75" customHeight="1" x14ac:dyDescent="0.2">
      <c r="J316" s="70"/>
    </row>
    <row r="317" spans="10:10" ht="15.75" customHeight="1" x14ac:dyDescent="0.2">
      <c r="J317" s="70"/>
    </row>
    <row r="318" spans="10:10" ht="15.75" customHeight="1" x14ac:dyDescent="0.2">
      <c r="J318" s="70"/>
    </row>
    <row r="319" spans="10:10" ht="15.75" customHeight="1" x14ac:dyDescent="0.2">
      <c r="J319" s="70"/>
    </row>
    <row r="320" spans="10:10" ht="15.75" customHeight="1" x14ac:dyDescent="0.2">
      <c r="J320" s="70"/>
    </row>
    <row r="321" spans="10:10" ht="15.75" customHeight="1" x14ac:dyDescent="0.2">
      <c r="J321" s="70"/>
    </row>
    <row r="322" spans="10:10" ht="15.75" customHeight="1" x14ac:dyDescent="0.2">
      <c r="J322" s="70"/>
    </row>
    <row r="323" spans="10:10" ht="15.75" customHeight="1" x14ac:dyDescent="0.2">
      <c r="J323" s="70"/>
    </row>
    <row r="324" spans="10:10" ht="15.75" customHeight="1" x14ac:dyDescent="0.2">
      <c r="J324" s="70"/>
    </row>
    <row r="325" spans="10:10" ht="15.75" customHeight="1" x14ac:dyDescent="0.2">
      <c r="J325" s="70"/>
    </row>
    <row r="326" spans="10:10" ht="15.75" customHeight="1" x14ac:dyDescent="0.2">
      <c r="J326" s="70"/>
    </row>
    <row r="327" spans="10:10" ht="15.75" customHeight="1" x14ac:dyDescent="0.2">
      <c r="J327" s="70"/>
    </row>
    <row r="328" spans="10:10" ht="15.75" customHeight="1" x14ac:dyDescent="0.2">
      <c r="J328" s="70"/>
    </row>
    <row r="329" spans="10:10" ht="15.75" customHeight="1" x14ac:dyDescent="0.2">
      <c r="J329" s="70"/>
    </row>
    <row r="330" spans="10:10" ht="15.75" customHeight="1" x14ac:dyDescent="0.2">
      <c r="J330" s="70"/>
    </row>
    <row r="331" spans="10:10" ht="15.75" customHeight="1" x14ac:dyDescent="0.2">
      <c r="J331" s="70"/>
    </row>
    <row r="332" spans="10:10" ht="15.75" customHeight="1" x14ac:dyDescent="0.2">
      <c r="J332" s="70"/>
    </row>
    <row r="333" spans="10:10" ht="15.75" customHeight="1" x14ac:dyDescent="0.2">
      <c r="J333" s="70"/>
    </row>
    <row r="334" spans="10:10" ht="15.75" customHeight="1" x14ac:dyDescent="0.2">
      <c r="J334" s="70"/>
    </row>
    <row r="335" spans="10:10" ht="15.75" customHeight="1" x14ac:dyDescent="0.2">
      <c r="J335" s="70"/>
    </row>
    <row r="336" spans="10:10" ht="15.75" customHeight="1" x14ac:dyDescent="0.2">
      <c r="J336" s="70"/>
    </row>
    <row r="337" spans="10:10" ht="15.75" customHeight="1" x14ac:dyDescent="0.2">
      <c r="J337" s="70"/>
    </row>
    <row r="338" spans="10:10" ht="15.75" customHeight="1" x14ac:dyDescent="0.2">
      <c r="J338" s="70"/>
    </row>
    <row r="339" spans="10:10" ht="15.75" customHeight="1" x14ac:dyDescent="0.2">
      <c r="J339" s="70"/>
    </row>
    <row r="340" spans="10:10" ht="15.75" customHeight="1" x14ac:dyDescent="0.2">
      <c r="J340" s="70"/>
    </row>
    <row r="341" spans="10:10" ht="15.75" customHeight="1" x14ac:dyDescent="0.2">
      <c r="J341" s="70"/>
    </row>
    <row r="342" spans="10:10" ht="15.75" customHeight="1" x14ac:dyDescent="0.2">
      <c r="J342" s="70"/>
    </row>
    <row r="343" spans="10:10" ht="15.75" customHeight="1" x14ac:dyDescent="0.2">
      <c r="J343" s="70"/>
    </row>
    <row r="344" spans="10:10" ht="15.75" customHeight="1" x14ac:dyDescent="0.2">
      <c r="J344" s="70"/>
    </row>
    <row r="345" spans="10:10" ht="15.75" customHeight="1" x14ac:dyDescent="0.2">
      <c r="J345" s="70"/>
    </row>
    <row r="346" spans="10:10" ht="15.75" customHeight="1" x14ac:dyDescent="0.2">
      <c r="J346" s="70"/>
    </row>
    <row r="347" spans="10:10" ht="15.75" customHeight="1" x14ac:dyDescent="0.2">
      <c r="J347" s="70"/>
    </row>
    <row r="348" spans="10:10" ht="15.75" customHeight="1" x14ac:dyDescent="0.2">
      <c r="J348" s="70"/>
    </row>
    <row r="349" spans="10:10" ht="15.75" customHeight="1" x14ac:dyDescent="0.2">
      <c r="J349" s="70"/>
    </row>
    <row r="350" spans="10:10" ht="15.75" customHeight="1" x14ac:dyDescent="0.2">
      <c r="J350" s="70"/>
    </row>
    <row r="351" spans="10:10" ht="15.75" customHeight="1" x14ac:dyDescent="0.2">
      <c r="J351" s="70"/>
    </row>
    <row r="352" spans="10:10" ht="15.75" customHeight="1" x14ac:dyDescent="0.2">
      <c r="J352" s="70"/>
    </row>
    <row r="353" spans="10:10" ht="15.75" customHeight="1" x14ac:dyDescent="0.2">
      <c r="J353" s="70"/>
    </row>
    <row r="354" spans="10:10" ht="15.75" customHeight="1" x14ac:dyDescent="0.2">
      <c r="J354" s="70"/>
    </row>
    <row r="355" spans="10:10" ht="15.75" customHeight="1" x14ac:dyDescent="0.2">
      <c r="J355" s="70"/>
    </row>
    <row r="356" spans="10:10" ht="15.75" customHeight="1" x14ac:dyDescent="0.2">
      <c r="J356" s="70"/>
    </row>
    <row r="357" spans="10:10" ht="15.75" customHeight="1" x14ac:dyDescent="0.2">
      <c r="J357" s="70"/>
    </row>
    <row r="358" spans="10:10" ht="15.75" customHeight="1" x14ac:dyDescent="0.2">
      <c r="J358" s="70"/>
    </row>
    <row r="359" spans="10:10" ht="15.75" customHeight="1" x14ac:dyDescent="0.2">
      <c r="J359" s="70"/>
    </row>
    <row r="360" spans="10:10" ht="15.75" customHeight="1" x14ac:dyDescent="0.2">
      <c r="J360" s="70"/>
    </row>
    <row r="361" spans="10:10" ht="15.75" customHeight="1" x14ac:dyDescent="0.2">
      <c r="J361" s="70"/>
    </row>
    <row r="362" spans="10:10" ht="15.75" customHeight="1" x14ac:dyDescent="0.2">
      <c r="J362" s="70"/>
    </row>
    <row r="363" spans="10:10" ht="15.75" customHeight="1" x14ac:dyDescent="0.2">
      <c r="J363" s="70"/>
    </row>
    <row r="364" spans="10:10" ht="15.75" customHeight="1" x14ac:dyDescent="0.2">
      <c r="J364" s="70"/>
    </row>
    <row r="365" spans="10:10" ht="15.75" customHeight="1" x14ac:dyDescent="0.2">
      <c r="J365" s="70"/>
    </row>
    <row r="366" spans="10:10" ht="15.75" customHeight="1" x14ac:dyDescent="0.2">
      <c r="J366" s="70"/>
    </row>
    <row r="367" spans="10:10" ht="15.75" customHeight="1" x14ac:dyDescent="0.2">
      <c r="J367" s="70"/>
    </row>
    <row r="368" spans="10:10" ht="15.75" customHeight="1" x14ac:dyDescent="0.2">
      <c r="J368" s="70"/>
    </row>
    <row r="369" spans="10:10" ht="15.75" customHeight="1" x14ac:dyDescent="0.2">
      <c r="J369" s="70"/>
    </row>
    <row r="370" spans="10:10" ht="15.75" customHeight="1" x14ac:dyDescent="0.2">
      <c r="J370" s="70"/>
    </row>
    <row r="371" spans="10:10" ht="15.75" customHeight="1" x14ac:dyDescent="0.2">
      <c r="J371" s="70"/>
    </row>
    <row r="372" spans="10:10" ht="15.75" customHeight="1" x14ac:dyDescent="0.2">
      <c r="J372" s="70"/>
    </row>
    <row r="373" spans="10:10" ht="15.75" customHeight="1" x14ac:dyDescent="0.2">
      <c r="J373" s="70"/>
    </row>
    <row r="374" spans="10:10" ht="15.75" customHeight="1" x14ac:dyDescent="0.2">
      <c r="J374" s="70"/>
    </row>
    <row r="375" spans="10:10" ht="15.75" customHeight="1" x14ac:dyDescent="0.2">
      <c r="J375" s="70"/>
    </row>
    <row r="376" spans="10:10" ht="15.75" customHeight="1" x14ac:dyDescent="0.2">
      <c r="J376" s="70"/>
    </row>
    <row r="377" spans="10:10" ht="15.75" customHeight="1" x14ac:dyDescent="0.2">
      <c r="J377" s="70"/>
    </row>
    <row r="378" spans="10:10" ht="15.75" customHeight="1" x14ac:dyDescent="0.2">
      <c r="J378" s="70"/>
    </row>
    <row r="379" spans="10:10" ht="15.75" customHeight="1" x14ac:dyDescent="0.2">
      <c r="J379" s="70"/>
    </row>
    <row r="380" spans="10:10" ht="15.75" customHeight="1" x14ac:dyDescent="0.2">
      <c r="J380" s="70"/>
    </row>
    <row r="381" spans="10:10" ht="15.75" customHeight="1" x14ac:dyDescent="0.2">
      <c r="J381" s="70"/>
    </row>
    <row r="382" spans="10:10" ht="15.75" customHeight="1" x14ac:dyDescent="0.2">
      <c r="J382" s="70"/>
    </row>
    <row r="383" spans="10:10" ht="15.75" customHeight="1" x14ac:dyDescent="0.2">
      <c r="J383" s="70"/>
    </row>
    <row r="384" spans="10:10" ht="15.75" customHeight="1" x14ac:dyDescent="0.2">
      <c r="J384" s="70"/>
    </row>
    <row r="385" spans="10:10" ht="15.75" customHeight="1" x14ac:dyDescent="0.2">
      <c r="J385" s="70"/>
    </row>
    <row r="386" spans="10:10" ht="15.75" customHeight="1" x14ac:dyDescent="0.2">
      <c r="J386" s="70"/>
    </row>
    <row r="387" spans="10:10" ht="15.75" customHeight="1" x14ac:dyDescent="0.2">
      <c r="J387" s="70"/>
    </row>
    <row r="388" spans="10:10" ht="15.75" customHeight="1" x14ac:dyDescent="0.2">
      <c r="J388" s="70"/>
    </row>
    <row r="389" spans="10:10" ht="15.75" customHeight="1" x14ac:dyDescent="0.2">
      <c r="J389" s="70"/>
    </row>
    <row r="390" spans="10:10" ht="15.75" customHeight="1" x14ac:dyDescent="0.2">
      <c r="J390" s="70"/>
    </row>
    <row r="391" spans="10:10" ht="15.75" customHeight="1" x14ac:dyDescent="0.2">
      <c r="J391" s="70"/>
    </row>
    <row r="392" spans="10:10" ht="15.75" customHeight="1" x14ac:dyDescent="0.2">
      <c r="J392" s="70"/>
    </row>
    <row r="393" spans="10:10" ht="15.75" customHeight="1" x14ac:dyDescent="0.2">
      <c r="J393" s="70"/>
    </row>
    <row r="394" spans="10:10" ht="15.75" customHeight="1" x14ac:dyDescent="0.2">
      <c r="J394" s="70"/>
    </row>
    <row r="395" spans="10:10" ht="15.75" customHeight="1" x14ac:dyDescent="0.2">
      <c r="J395" s="70"/>
    </row>
    <row r="396" spans="10:10" ht="15.75" customHeight="1" x14ac:dyDescent="0.2">
      <c r="J396" s="70"/>
    </row>
    <row r="397" spans="10:10" ht="15.75" customHeight="1" x14ac:dyDescent="0.2">
      <c r="J397" s="70"/>
    </row>
    <row r="398" spans="10:10" ht="15.75" customHeight="1" x14ac:dyDescent="0.2">
      <c r="J398" s="70"/>
    </row>
    <row r="399" spans="10:10" ht="15.75" customHeight="1" x14ac:dyDescent="0.2">
      <c r="J399" s="70"/>
    </row>
    <row r="400" spans="10:10" ht="15.75" customHeight="1" x14ac:dyDescent="0.2">
      <c r="J400" s="70"/>
    </row>
    <row r="401" spans="10:10" ht="15.75" customHeight="1" x14ac:dyDescent="0.2">
      <c r="J401" s="70"/>
    </row>
    <row r="402" spans="10:10" ht="15.75" customHeight="1" x14ac:dyDescent="0.2">
      <c r="J402" s="70"/>
    </row>
    <row r="403" spans="10:10" ht="15.75" customHeight="1" x14ac:dyDescent="0.2">
      <c r="J403" s="70"/>
    </row>
    <row r="404" spans="10:10" ht="15.75" customHeight="1" x14ac:dyDescent="0.2">
      <c r="J404" s="70"/>
    </row>
    <row r="405" spans="10:10" ht="15.75" customHeight="1" x14ac:dyDescent="0.2">
      <c r="J405" s="70"/>
    </row>
    <row r="406" spans="10:10" ht="15.75" customHeight="1" x14ac:dyDescent="0.2">
      <c r="J406" s="70"/>
    </row>
    <row r="407" spans="10:10" ht="15.75" customHeight="1" x14ac:dyDescent="0.2">
      <c r="J407" s="70"/>
    </row>
    <row r="408" spans="10:10" ht="15.75" customHeight="1" x14ac:dyDescent="0.2">
      <c r="J408" s="70"/>
    </row>
    <row r="409" spans="10:10" ht="15.75" customHeight="1" x14ac:dyDescent="0.2">
      <c r="J409" s="70"/>
    </row>
    <row r="410" spans="10:10" ht="15.75" customHeight="1" x14ac:dyDescent="0.2">
      <c r="J410" s="70"/>
    </row>
    <row r="411" spans="10:10" ht="15.75" customHeight="1" x14ac:dyDescent="0.2">
      <c r="J411" s="70"/>
    </row>
    <row r="412" spans="10:10" ht="15.75" customHeight="1" x14ac:dyDescent="0.2">
      <c r="J412" s="70"/>
    </row>
    <row r="413" spans="10:10" ht="15.75" customHeight="1" x14ac:dyDescent="0.2">
      <c r="J413" s="70"/>
    </row>
    <row r="414" spans="10:10" ht="15.75" customHeight="1" x14ac:dyDescent="0.2">
      <c r="J414" s="70"/>
    </row>
    <row r="415" spans="10:10" ht="15.75" customHeight="1" x14ac:dyDescent="0.2">
      <c r="J415" s="70"/>
    </row>
    <row r="416" spans="10:10" ht="15.75" customHeight="1" x14ac:dyDescent="0.2">
      <c r="J416" s="70"/>
    </row>
    <row r="417" spans="10:10" ht="15.75" customHeight="1" x14ac:dyDescent="0.2">
      <c r="J417" s="70"/>
    </row>
    <row r="418" spans="10:10" ht="15.75" customHeight="1" x14ac:dyDescent="0.2">
      <c r="J418" s="70"/>
    </row>
    <row r="419" spans="10:10" ht="15.75" customHeight="1" x14ac:dyDescent="0.2">
      <c r="J419" s="70"/>
    </row>
    <row r="420" spans="10:10" ht="15.75" customHeight="1" x14ac:dyDescent="0.2">
      <c r="J420" s="70"/>
    </row>
    <row r="421" spans="10:10" ht="15.75" customHeight="1" x14ac:dyDescent="0.2">
      <c r="J421" s="70"/>
    </row>
    <row r="422" spans="10:10" ht="15.75" customHeight="1" x14ac:dyDescent="0.2">
      <c r="J422" s="70"/>
    </row>
    <row r="423" spans="10:10" ht="15.75" customHeight="1" x14ac:dyDescent="0.2">
      <c r="J423" s="70"/>
    </row>
    <row r="424" spans="10:10" ht="15.75" customHeight="1" x14ac:dyDescent="0.2">
      <c r="J424" s="70"/>
    </row>
    <row r="425" spans="10:10" ht="15.75" customHeight="1" x14ac:dyDescent="0.2">
      <c r="J425" s="70"/>
    </row>
    <row r="426" spans="10:10" ht="15.75" customHeight="1" x14ac:dyDescent="0.2">
      <c r="J426" s="70"/>
    </row>
    <row r="427" spans="10:10" ht="15.75" customHeight="1" x14ac:dyDescent="0.2">
      <c r="J427" s="70"/>
    </row>
    <row r="428" spans="10:10" ht="15.75" customHeight="1" x14ac:dyDescent="0.2">
      <c r="J428" s="70"/>
    </row>
    <row r="429" spans="10:10" ht="15.75" customHeight="1" x14ac:dyDescent="0.2">
      <c r="J429" s="70"/>
    </row>
    <row r="430" spans="10:10" ht="15.75" customHeight="1" x14ac:dyDescent="0.2">
      <c r="J430" s="70"/>
    </row>
    <row r="431" spans="10:10" ht="15.75" customHeight="1" x14ac:dyDescent="0.2">
      <c r="J431" s="70"/>
    </row>
    <row r="432" spans="10:10" ht="15.75" customHeight="1" x14ac:dyDescent="0.2">
      <c r="J432" s="70"/>
    </row>
    <row r="433" spans="10:10" ht="15.75" customHeight="1" x14ac:dyDescent="0.2">
      <c r="J433" s="70"/>
    </row>
    <row r="434" spans="10:10" ht="15.75" customHeight="1" x14ac:dyDescent="0.2">
      <c r="J434" s="70"/>
    </row>
    <row r="435" spans="10:10" ht="15.75" customHeight="1" x14ac:dyDescent="0.2">
      <c r="J435" s="70"/>
    </row>
    <row r="436" spans="10:10" ht="15.75" customHeight="1" x14ac:dyDescent="0.2">
      <c r="J436" s="70"/>
    </row>
    <row r="437" spans="10:10" ht="15.75" customHeight="1" x14ac:dyDescent="0.2">
      <c r="J437" s="70"/>
    </row>
    <row r="438" spans="10:10" ht="15.75" customHeight="1" x14ac:dyDescent="0.2">
      <c r="J438" s="70"/>
    </row>
    <row r="439" spans="10:10" ht="15.75" customHeight="1" x14ac:dyDescent="0.2">
      <c r="J439" s="70"/>
    </row>
    <row r="440" spans="10:10" ht="15.75" customHeight="1" x14ac:dyDescent="0.2">
      <c r="J440" s="70"/>
    </row>
    <row r="441" spans="10:10" ht="15.75" customHeight="1" x14ac:dyDescent="0.2">
      <c r="J441" s="70"/>
    </row>
    <row r="442" spans="10:10" ht="15.75" customHeight="1" x14ac:dyDescent="0.2">
      <c r="J442" s="70"/>
    </row>
    <row r="443" spans="10:10" ht="15.75" customHeight="1" x14ac:dyDescent="0.2">
      <c r="J443" s="70"/>
    </row>
    <row r="444" spans="10:10" ht="15.75" customHeight="1" x14ac:dyDescent="0.2">
      <c r="J444" s="70"/>
    </row>
    <row r="445" spans="10:10" ht="15.75" customHeight="1" x14ac:dyDescent="0.2">
      <c r="J445" s="70"/>
    </row>
    <row r="446" spans="10:10" ht="15.75" customHeight="1" x14ac:dyDescent="0.2">
      <c r="J446" s="70"/>
    </row>
    <row r="447" spans="10:10" ht="15.75" customHeight="1" x14ac:dyDescent="0.2">
      <c r="J447" s="70"/>
    </row>
    <row r="448" spans="10:10" ht="15.75" customHeight="1" x14ac:dyDescent="0.2">
      <c r="J448" s="70"/>
    </row>
    <row r="449" spans="10:10" ht="15.75" customHeight="1" x14ac:dyDescent="0.2">
      <c r="J449" s="70"/>
    </row>
    <row r="450" spans="10:10" ht="15.75" customHeight="1" x14ac:dyDescent="0.2">
      <c r="J450" s="70"/>
    </row>
    <row r="451" spans="10:10" ht="15.75" customHeight="1" x14ac:dyDescent="0.2">
      <c r="J451" s="70"/>
    </row>
    <row r="452" spans="10:10" ht="15.75" customHeight="1" x14ac:dyDescent="0.2">
      <c r="J452" s="70"/>
    </row>
    <row r="453" spans="10:10" ht="15.75" customHeight="1" x14ac:dyDescent="0.2">
      <c r="J453" s="70"/>
    </row>
    <row r="454" spans="10:10" ht="15.75" customHeight="1" x14ac:dyDescent="0.2">
      <c r="J454" s="70"/>
    </row>
    <row r="455" spans="10:10" ht="15.75" customHeight="1" x14ac:dyDescent="0.2">
      <c r="J455" s="70"/>
    </row>
    <row r="456" spans="10:10" ht="15.75" customHeight="1" x14ac:dyDescent="0.2">
      <c r="J456" s="70"/>
    </row>
    <row r="457" spans="10:10" ht="15.75" customHeight="1" x14ac:dyDescent="0.2">
      <c r="J457" s="70"/>
    </row>
    <row r="458" spans="10:10" ht="15.75" customHeight="1" x14ac:dyDescent="0.2">
      <c r="J458" s="70"/>
    </row>
    <row r="459" spans="10:10" ht="15.75" customHeight="1" x14ac:dyDescent="0.2">
      <c r="J459" s="70"/>
    </row>
    <row r="460" spans="10:10" ht="15.75" customHeight="1" x14ac:dyDescent="0.2">
      <c r="J460" s="70"/>
    </row>
    <row r="461" spans="10:10" ht="15.75" customHeight="1" x14ac:dyDescent="0.2">
      <c r="J461" s="70"/>
    </row>
    <row r="462" spans="10:10" ht="15.75" customHeight="1" x14ac:dyDescent="0.2">
      <c r="J462" s="70"/>
    </row>
    <row r="463" spans="10:10" ht="15.75" customHeight="1" x14ac:dyDescent="0.2">
      <c r="J463" s="70"/>
    </row>
    <row r="464" spans="10:10" ht="15.75" customHeight="1" x14ac:dyDescent="0.2">
      <c r="J464" s="70"/>
    </row>
    <row r="465" spans="10:10" ht="15.75" customHeight="1" x14ac:dyDescent="0.2">
      <c r="J465" s="70"/>
    </row>
    <row r="466" spans="10:10" ht="15.75" customHeight="1" x14ac:dyDescent="0.2">
      <c r="J466" s="70"/>
    </row>
    <row r="467" spans="10:10" ht="15.75" customHeight="1" x14ac:dyDescent="0.2">
      <c r="J467" s="70"/>
    </row>
    <row r="468" spans="10:10" ht="15.75" customHeight="1" x14ac:dyDescent="0.2">
      <c r="J468" s="70"/>
    </row>
    <row r="469" spans="10:10" ht="15.75" customHeight="1" x14ac:dyDescent="0.2">
      <c r="J469" s="70"/>
    </row>
    <row r="470" spans="10:10" ht="15.75" customHeight="1" x14ac:dyDescent="0.2">
      <c r="J470" s="70"/>
    </row>
    <row r="471" spans="10:10" ht="15.75" customHeight="1" x14ac:dyDescent="0.2">
      <c r="J471" s="70"/>
    </row>
    <row r="472" spans="10:10" ht="15.75" customHeight="1" x14ac:dyDescent="0.2">
      <c r="J472" s="70"/>
    </row>
    <row r="473" spans="10:10" ht="15.75" customHeight="1" x14ac:dyDescent="0.2">
      <c r="J473" s="70"/>
    </row>
    <row r="474" spans="10:10" ht="15.75" customHeight="1" x14ac:dyDescent="0.2">
      <c r="J474" s="70"/>
    </row>
    <row r="475" spans="10:10" ht="15.75" customHeight="1" x14ac:dyDescent="0.2">
      <c r="J475" s="70"/>
    </row>
    <row r="476" spans="10:10" ht="15.75" customHeight="1" x14ac:dyDescent="0.2">
      <c r="J476" s="70"/>
    </row>
    <row r="477" spans="10:10" ht="15.75" customHeight="1" x14ac:dyDescent="0.2">
      <c r="J477" s="70"/>
    </row>
    <row r="478" spans="10:10" ht="15.75" customHeight="1" x14ac:dyDescent="0.2">
      <c r="J478" s="70"/>
    </row>
    <row r="479" spans="10:10" ht="15.75" customHeight="1" x14ac:dyDescent="0.2">
      <c r="J479" s="70"/>
    </row>
    <row r="480" spans="10:10" ht="15.75" customHeight="1" x14ac:dyDescent="0.2">
      <c r="J480" s="70"/>
    </row>
    <row r="481" spans="10:10" ht="15.75" customHeight="1" x14ac:dyDescent="0.2">
      <c r="J481" s="70"/>
    </row>
    <row r="482" spans="10:10" ht="15.75" customHeight="1" x14ac:dyDescent="0.2">
      <c r="J482" s="70"/>
    </row>
    <row r="483" spans="10:10" ht="15.75" customHeight="1" x14ac:dyDescent="0.2">
      <c r="J483" s="70"/>
    </row>
    <row r="484" spans="10:10" ht="15.75" customHeight="1" x14ac:dyDescent="0.2">
      <c r="J484" s="70"/>
    </row>
    <row r="485" spans="10:10" ht="15.75" customHeight="1" x14ac:dyDescent="0.2">
      <c r="J485" s="70"/>
    </row>
    <row r="486" spans="10:10" ht="15.75" customHeight="1" x14ac:dyDescent="0.2">
      <c r="J486" s="70"/>
    </row>
    <row r="487" spans="10:10" ht="15.75" customHeight="1" x14ac:dyDescent="0.2">
      <c r="J487" s="70"/>
    </row>
    <row r="488" spans="10:10" ht="15.75" customHeight="1" x14ac:dyDescent="0.2">
      <c r="J488" s="70"/>
    </row>
    <row r="489" spans="10:10" ht="15.75" customHeight="1" x14ac:dyDescent="0.2">
      <c r="J489" s="70"/>
    </row>
    <row r="490" spans="10:10" ht="15.75" customHeight="1" x14ac:dyDescent="0.2">
      <c r="J490" s="70"/>
    </row>
    <row r="491" spans="10:10" ht="15.75" customHeight="1" x14ac:dyDescent="0.2">
      <c r="J491" s="70"/>
    </row>
    <row r="492" spans="10:10" ht="15.75" customHeight="1" x14ac:dyDescent="0.2">
      <c r="J492" s="70"/>
    </row>
    <row r="493" spans="10:10" ht="15.75" customHeight="1" x14ac:dyDescent="0.2">
      <c r="J493" s="70"/>
    </row>
    <row r="494" spans="10:10" ht="15.75" customHeight="1" x14ac:dyDescent="0.2">
      <c r="J494" s="70"/>
    </row>
    <row r="495" spans="10:10" ht="15.75" customHeight="1" x14ac:dyDescent="0.2">
      <c r="J495" s="70"/>
    </row>
    <row r="496" spans="10:10" ht="15.75" customHeight="1" x14ac:dyDescent="0.2">
      <c r="J496" s="70"/>
    </row>
    <row r="497" spans="10:10" ht="15.75" customHeight="1" x14ac:dyDescent="0.2">
      <c r="J497" s="70"/>
    </row>
    <row r="498" spans="10:10" ht="15.75" customHeight="1" x14ac:dyDescent="0.2">
      <c r="J498" s="70"/>
    </row>
    <row r="499" spans="10:10" ht="15.75" customHeight="1" x14ac:dyDescent="0.2">
      <c r="J499" s="70"/>
    </row>
    <row r="500" spans="10:10" ht="15.75" customHeight="1" x14ac:dyDescent="0.2">
      <c r="J500" s="70"/>
    </row>
    <row r="501" spans="10:10" ht="15.75" customHeight="1" x14ac:dyDescent="0.2">
      <c r="J501" s="70"/>
    </row>
    <row r="502" spans="10:10" ht="15.75" customHeight="1" x14ac:dyDescent="0.2">
      <c r="J502" s="70"/>
    </row>
    <row r="503" spans="10:10" ht="15.75" customHeight="1" x14ac:dyDescent="0.2">
      <c r="J503" s="70"/>
    </row>
    <row r="504" spans="10:10" ht="15.75" customHeight="1" x14ac:dyDescent="0.2">
      <c r="J504" s="70"/>
    </row>
    <row r="505" spans="10:10" ht="15.75" customHeight="1" x14ac:dyDescent="0.2">
      <c r="J505" s="70"/>
    </row>
    <row r="506" spans="10:10" ht="15.75" customHeight="1" x14ac:dyDescent="0.2">
      <c r="J506" s="70"/>
    </row>
    <row r="507" spans="10:10" ht="15.75" customHeight="1" x14ac:dyDescent="0.2">
      <c r="J507" s="70"/>
    </row>
    <row r="508" spans="10:10" ht="15.75" customHeight="1" x14ac:dyDescent="0.2">
      <c r="J508" s="70"/>
    </row>
    <row r="509" spans="10:10" ht="15.75" customHeight="1" x14ac:dyDescent="0.2">
      <c r="J509" s="70"/>
    </row>
    <row r="510" spans="10:10" ht="15.75" customHeight="1" x14ac:dyDescent="0.2">
      <c r="J510" s="70"/>
    </row>
    <row r="511" spans="10:10" ht="15.75" customHeight="1" x14ac:dyDescent="0.2">
      <c r="J511" s="70"/>
    </row>
    <row r="512" spans="10:10" ht="15.75" customHeight="1" x14ac:dyDescent="0.2">
      <c r="J512" s="70"/>
    </row>
    <row r="513" spans="10:10" ht="15.75" customHeight="1" x14ac:dyDescent="0.2">
      <c r="J513" s="70"/>
    </row>
    <row r="514" spans="10:10" ht="15.75" customHeight="1" x14ac:dyDescent="0.2">
      <c r="J514" s="70"/>
    </row>
    <row r="515" spans="10:10" ht="15.75" customHeight="1" x14ac:dyDescent="0.2">
      <c r="J515" s="70"/>
    </row>
    <row r="516" spans="10:10" ht="15.75" customHeight="1" x14ac:dyDescent="0.2">
      <c r="J516" s="70"/>
    </row>
    <row r="517" spans="10:10" ht="15.75" customHeight="1" x14ac:dyDescent="0.2">
      <c r="J517" s="70"/>
    </row>
    <row r="518" spans="10:10" ht="15.75" customHeight="1" x14ac:dyDescent="0.2">
      <c r="J518" s="70"/>
    </row>
    <row r="519" spans="10:10" ht="15.75" customHeight="1" x14ac:dyDescent="0.2">
      <c r="J519" s="70"/>
    </row>
    <row r="520" spans="10:10" ht="15.75" customHeight="1" x14ac:dyDescent="0.2">
      <c r="J520" s="70"/>
    </row>
    <row r="521" spans="10:10" ht="15.75" customHeight="1" x14ac:dyDescent="0.2">
      <c r="J521" s="70"/>
    </row>
    <row r="522" spans="10:10" ht="15.75" customHeight="1" x14ac:dyDescent="0.2">
      <c r="J522" s="70"/>
    </row>
    <row r="523" spans="10:10" ht="15.75" customHeight="1" x14ac:dyDescent="0.2">
      <c r="J523" s="70"/>
    </row>
    <row r="524" spans="10:10" ht="15.75" customHeight="1" x14ac:dyDescent="0.2">
      <c r="J524" s="70"/>
    </row>
    <row r="525" spans="10:10" ht="15.75" customHeight="1" x14ac:dyDescent="0.2">
      <c r="J525" s="70"/>
    </row>
    <row r="526" spans="10:10" ht="15.75" customHeight="1" x14ac:dyDescent="0.2">
      <c r="J526" s="70"/>
    </row>
    <row r="527" spans="10:10" ht="15.75" customHeight="1" x14ac:dyDescent="0.2">
      <c r="J527" s="70"/>
    </row>
    <row r="528" spans="10:10" ht="15.75" customHeight="1" x14ac:dyDescent="0.2">
      <c r="J528" s="70"/>
    </row>
    <row r="529" spans="10:10" ht="15.75" customHeight="1" x14ac:dyDescent="0.2">
      <c r="J529" s="70"/>
    </row>
    <row r="530" spans="10:10" ht="15.75" customHeight="1" x14ac:dyDescent="0.2">
      <c r="J530" s="70"/>
    </row>
    <row r="531" spans="10:10" ht="15.75" customHeight="1" x14ac:dyDescent="0.2">
      <c r="J531" s="70"/>
    </row>
    <row r="532" spans="10:10" ht="15.75" customHeight="1" x14ac:dyDescent="0.2">
      <c r="J532" s="70"/>
    </row>
    <row r="533" spans="10:10" ht="15.75" customHeight="1" x14ac:dyDescent="0.2">
      <c r="J533" s="70"/>
    </row>
    <row r="534" spans="10:10" ht="15.75" customHeight="1" x14ac:dyDescent="0.2">
      <c r="J534" s="70"/>
    </row>
    <row r="535" spans="10:10" ht="15.75" customHeight="1" x14ac:dyDescent="0.2">
      <c r="J535" s="70"/>
    </row>
    <row r="536" spans="10:10" ht="15.75" customHeight="1" x14ac:dyDescent="0.2">
      <c r="J536" s="70"/>
    </row>
    <row r="537" spans="10:10" ht="15.75" customHeight="1" x14ac:dyDescent="0.2">
      <c r="J537" s="70"/>
    </row>
    <row r="538" spans="10:10" ht="15.75" customHeight="1" x14ac:dyDescent="0.2">
      <c r="J538" s="70"/>
    </row>
    <row r="539" spans="10:10" ht="15.75" customHeight="1" x14ac:dyDescent="0.2">
      <c r="J539" s="70"/>
    </row>
    <row r="540" spans="10:10" ht="15.75" customHeight="1" x14ac:dyDescent="0.2">
      <c r="J540" s="70"/>
    </row>
    <row r="541" spans="10:10" ht="15.75" customHeight="1" x14ac:dyDescent="0.2">
      <c r="J541" s="70"/>
    </row>
    <row r="542" spans="10:10" ht="15.75" customHeight="1" x14ac:dyDescent="0.2">
      <c r="J542" s="70"/>
    </row>
    <row r="543" spans="10:10" ht="15.75" customHeight="1" x14ac:dyDescent="0.2">
      <c r="J543" s="70"/>
    </row>
    <row r="544" spans="10:10" ht="15.75" customHeight="1" x14ac:dyDescent="0.2">
      <c r="J544" s="70"/>
    </row>
    <row r="545" spans="10:10" ht="15.75" customHeight="1" x14ac:dyDescent="0.2">
      <c r="J545" s="70"/>
    </row>
    <row r="546" spans="10:10" ht="15.75" customHeight="1" x14ac:dyDescent="0.2">
      <c r="J546" s="70"/>
    </row>
    <row r="547" spans="10:10" ht="15.75" customHeight="1" x14ac:dyDescent="0.2">
      <c r="J547" s="70"/>
    </row>
    <row r="548" spans="10:10" ht="15.75" customHeight="1" x14ac:dyDescent="0.2">
      <c r="J548" s="70"/>
    </row>
    <row r="549" spans="10:10" ht="15.75" customHeight="1" x14ac:dyDescent="0.2">
      <c r="J549" s="70"/>
    </row>
    <row r="550" spans="10:10" ht="15.75" customHeight="1" x14ac:dyDescent="0.2">
      <c r="J550" s="70"/>
    </row>
    <row r="551" spans="10:10" ht="15.75" customHeight="1" x14ac:dyDescent="0.2">
      <c r="J551" s="70"/>
    </row>
    <row r="552" spans="10:10" ht="15.75" customHeight="1" x14ac:dyDescent="0.2">
      <c r="J552" s="70"/>
    </row>
    <row r="553" spans="10:10" ht="15.75" customHeight="1" x14ac:dyDescent="0.2">
      <c r="J553" s="70"/>
    </row>
    <row r="554" spans="10:10" ht="15.75" customHeight="1" x14ac:dyDescent="0.2">
      <c r="J554" s="70"/>
    </row>
    <row r="555" spans="10:10" ht="15.75" customHeight="1" x14ac:dyDescent="0.2">
      <c r="J555" s="70"/>
    </row>
    <row r="556" spans="10:10" ht="15.75" customHeight="1" x14ac:dyDescent="0.2">
      <c r="J556" s="70"/>
    </row>
    <row r="557" spans="10:10" ht="15.75" customHeight="1" x14ac:dyDescent="0.2">
      <c r="J557" s="70"/>
    </row>
    <row r="558" spans="10:10" ht="15.75" customHeight="1" x14ac:dyDescent="0.2">
      <c r="J558" s="70"/>
    </row>
    <row r="559" spans="10:10" ht="15.75" customHeight="1" x14ac:dyDescent="0.2">
      <c r="J559" s="70"/>
    </row>
    <row r="560" spans="10:10" ht="15.75" customHeight="1" x14ac:dyDescent="0.2">
      <c r="J560" s="70"/>
    </row>
    <row r="561" spans="10:10" ht="15.75" customHeight="1" x14ac:dyDescent="0.2">
      <c r="J561" s="70"/>
    </row>
    <row r="562" spans="10:10" ht="15.75" customHeight="1" x14ac:dyDescent="0.2">
      <c r="J562" s="70"/>
    </row>
    <row r="563" spans="10:10" ht="15.75" customHeight="1" x14ac:dyDescent="0.2">
      <c r="J563" s="70"/>
    </row>
    <row r="564" spans="10:10" ht="15.75" customHeight="1" x14ac:dyDescent="0.2">
      <c r="J564" s="70"/>
    </row>
    <row r="565" spans="10:10" ht="15.75" customHeight="1" x14ac:dyDescent="0.2">
      <c r="J565" s="70"/>
    </row>
    <row r="566" spans="10:10" ht="15.75" customHeight="1" x14ac:dyDescent="0.2">
      <c r="J566" s="70"/>
    </row>
    <row r="567" spans="10:10" ht="15.75" customHeight="1" x14ac:dyDescent="0.2">
      <c r="J567" s="70"/>
    </row>
    <row r="568" spans="10:10" ht="15.75" customHeight="1" x14ac:dyDescent="0.2">
      <c r="J568" s="70"/>
    </row>
    <row r="569" spans="10:10" ht="15.75" customHeight="1" x14ac:dyDescent="0.2">
      <c r="J569" s="70"/>
    </row>
    <row r="570" spans="10:10" ht="15.75" customHeight="1" x14ac:dyDescent="0.2">
      <c r="J570" s="70"/>
    </row>
    <row r="571" spans="10:10" ht="15.75" customHeight="1" x14ac:dyDescent="0.2">
      <c r="J571" s="70"/>
    </row>
    <row r="572" spans="10:10" ht="15.75" customHeight="1" x14ac:dyDescent="0.2">
      <c r="J572" s="70"/>
    </row>
    <row r="573" spans="10:10" ht="15.75" customHeight="1" x14ac:dyDescent="0.2">
      <c r="J573" s="70"/>
    </row>
    <row r="574" spans="10:10" ht="15.75" customHeight="1" x14ac:dyDescent="0.2">
      <c r="J574" s="70"/>
    </row>
    <row r="575" spans="10:10" ht="15.75" customHeight="1" x14ac:dyDescent="0.2">
      <c r="J575" s="70"/>
    </row>
    <row r="576" spans="10:10" ht="15.75" customHeight="1" x14ac:dyDescent="0.2">
      <c r="J576" s="70"/>
    </row>
    <row r="577" spans="10:10" ht="15.75" customHeight="1" x14ac:dyDescent="0.2">
      <c r="J577" s="70"/>
    </row>
    <row r="578" spans="10:10" ht="15.75" customHeight="1" x14ac:dyDescent="0.2">
      <c r="J578" s="70"/>
    </row>
    <row r="579" spans="10:10" ht="15.75" customHeight="1" x14ac:dyDescent="0.2">
      <c r="J579" s="70"/>
    </row>
    <row r="580" spans="10:10" ht="15.75" customHeight="1" x14ac:dyDescent="0.2">
      <c r="J580" s="70"/>
    </row>
    <row r="581" spans="10:10" ht="15.75" customHeight="1" x14ac:dyDescent="0.2">
      <c r="J581" s="70"/>
    </row>
    <row r="582" spans="10:10" ht="15.75" customHeight="1" x14ac:dyDescent="0.2">
      <c r="J582" s="70"/>
    </row>
    <row r="583" spans="10:10" ht="15.75" customHeight="1" x14ac:dyDescent="0.2">
      <c r="J583" s="70"/>
    </row>
    <row r="584" spans="10:10" ht="15.75" customHeight="1" x14ac:dyDescent="0.2">
      <c r="J584" s="70"/>
    </row>
    <row r="585" spans="10:10" ht="15.75" customHeight="1" x14ac:dyDescent="0.2">
      <c r="J585" s="70"/>
    </row>
    <row r="586" spans="10:10" ht="15.75" customHeight="1" x14ac:dyDescent="0.2">
      <c r="J586" s="70"/>
    </row>
    <row r="587" spans="10:10" ht="15.75" customHeight="1" x14ac:dyDescent="0.2">
      <c r="J587" s="70"/>
    </row>
    <row r="588" spans="10:10" ht="15.75" customHeight="1" x14ac:dyDescent="0.2">
      <c r="J588" s="70"/>
    </row>
    <row r="589" spans="10:10" ht="15.75" customHeight="1" x14ac:dyDescent="0.2">
      <c r="J589" s="70"/>
    </row>
    <row r="590" spans="10:10" ht="15.75" customHeight="1" x14ac:dyDescent="0.2">
      <c r="J590" s="70"/>
    </row>
    <row r="591" spans="10:10" ht="15.75" customHeight="1" x14ac:dyDescent="0.2">
      <c r="J591" s="70"/>
    </row>
    <row r="592" spans="10:10" ht="15.75" customHeight="1" x14ac:dyDescent="0.2">
      <c r="J592" s="70"/>
    </row>
    <row r="593" spans="10:10" ht="15.75" customHeight="1" x14ac:dyDescent="0.2">
      <c r="J593" s="70"/>
    </row>
    <row r="594" spans="10:10" ht="15.75" customHeight="1" x14ac:dyDescent="0.2">
      <c r="J594" s="70"/>
    </row>
    <row r="595" spans="10:10" ht="15.75" customHeight="1" x14ac:dyDescent="0.2">
      <c r="J595" s="70"/>
    </row>
    <row r="596" spans="10:10" ht="15.75" customHeight="1" x14ac:dyDescent="0.2">
      <c r="J596" s="70"/>
    </row>
    <row r="597" spans="10:10" ht="15.75" customHeight="1" x14ac:dyDescent="0.2">
      <c r="J597" s="70"/>
    </row>
    <row r="598" spans="10:10" ht="15.75" customHeight="1" x14ac:dyDescent="0.2">
      <c r="J598" s="70"/>
    </row>
    <row r="599" spans="10:10" ht="15.75" customHeight="1" x14ac:dyDescent="0.2">
      <c r="J599" s="70"/>
    </row>
    <row r="600" spans="10:10" ht="15.75" customHeight="1" x14ac:dyDescent="0.2">
      <c r="J600" s="70"/>
    </row>
    <row r="601" spans="10:10" ht="15.75" customHeight="1" x14ac:dyDescent="0.2">
      <c r="J601" s="70"/>
    </row>
    <row r="602" spans="10:10" ht="15.75" customHeight="1" x14ac:dyDescent="0.2">
      <c r="J602" s="70"/>
    </row>
    <row r="603" spans="10:10" ht="15.75" customHeight="1" x14ac:dyDescent="0.2">
      <c r="J603" s="70"/>
    </row>
    <row r="604" spans="10:10" ht="15.75" customHeight="1" x14ac:dyDescent="0.2">
      <c r="J604" s="70"/>
    </row>
    <row r="605" spans="10:10" ht="15.75" customHeight="1" x14ac:dyDescent="0.2">
      <c r="J605" s="70"/>
    </row>
    <row r="606" spans="10:10" ht="15.75" customHeight="1" x14ac:dyDescent="0.2">
      <c r="J606" s="70"/>
    </row>
    <row r="607" spans="10:10" ht="15.75" customHeight="1" x14ac:dyDescent="0.2">
      <c r="J607" s="70"/>
    </row>
    <row r="608" spans="10:10" ht="15.75" customHeight="1" x14ac:dyDescent="0.2">
      <c r="J608" s="70"/>
    </row>
    <row r="609" spans="10:10" ht="15.75" customHeight="1" x14ac:dyDescent="0.2">
      <c r="J609" s="70"/>
    </row>
    <row r="610" spans="10:10" ht="15.75" customHeight="1" x14ac:dyDescent="0.2">
      <c r="J610" s="70"/>
    </row>
    <row r="611" spans="10:10" ht="15.75" customHeight="1" x14ac:dyDescent="0.2">
      <c r="J611" s="70"/>
    </row>
    <row r="612" spans="10:10" ht="15.75" customHeight="1" x14ac:dyDescent="0.2">
      <c r="J612" s="70"/>
    </row>
    <row r="613" spans="10:10" ht="15.75" customHeight="1" x14ac:dyDescent="0.2">
      <c r="J613" s="70"/>
    </row>
    <row r="614" spans="10:10" ht="15.75" customHeight="1" x14ac:dyDescent="0.2">
      <c r="J614" s="70"/>
    </row>
    <row r="615" spans="10:10" ht="15.75" customHeight="1" x14ac:dyDescent="0.2">
      <c r="J615" s="70"/>
    </row>
    <row r="616" spans="10:10" ht="15.75" customHeight="1" x14ac:dyDescent="0.2">
      <c r="J616" s="70"/>
    </row>
    <row r="617" spans="10:10" ht="15.75" customHeight="1" x14ac:dyDescent="0.2">
      <c r="J617" s="70"/>
    </row>
    <row r="618" spans="10:10" ht="15.75" customHeight="1" x14ac:dyDescent="0.2">
      <c r="J618" s="70"/>
    </row>
    <row r="619" spans="10:10" ht="15.75" customHeight="1" x14ac:dyDescent="0.2">
      <c r="J619" s="70"/>
    </row>
    <row r="620" spans="10:10" ht="15.75" customHeight="1" x14ac:dyDescent="0.2">
      <c r="J620" s="70"/>
    </row>
    <row r="621" spans="10:10" ht="15.75" customHeight="1" x14ac:dyDescent="0.2">
      <c r="J621" s="70"/>
    </row>
    <row r="622" spans="10:10" ht="15.75" customHeight="1" x14ac:dyDescent="0.2">
      <c r="J622" s="70"/>
    </row>
    <row r="623" spans="10:10" ht="15.75" customHeight="1" x14ac:dyDescent="0.2">
      <c r="J623" s="70"/>
    </row>
    <row r="624" spans="10:10" ht="15.75" customHeight="1" x14ac:dyDescent="0.2">
      <c r="J624" s="70"/>
    </row>
    <row r="625" spans="10:10" ht="15.75" customHeight="1" x14ac:dyDescent="0.2">
      <c r="J625" s="70"/>
    </row>
    <row r="626" spans="10:10" ht="15.75" customHeight="1" x14ac:dyDescent="0.2">
      <c r="J626" s="70"/>
    </row>
    <row r="627" spans="10:10" ht="15.75" customHeight="1" x14ac:dyDescent="0.2">
      <c r="J627" s="70"/>
    </row>
    <row r="628" spans="10:10" ht="15.75" customHeight="1" x14ac:dyDescent="0.2">
      <c r="J628" s="70"/>
    </row>
    <row r="629" spans="10:10" ht="15.75" customHeight="1" x14ac:dyDescent="0.2">
      <c r="J629" s="70"/>
    </row>
    <row r="630" spans="10:10" ht="15.75" customHeight="1" x14ac:dyDescent="0.2">
      <c r="J630" s="70"/>
    </row>
    <row r="631" spans="10:10" ht="15.75" customHeight="1" x14ac:dyDescent="0.2">
      <c r="J631" s="70"/>
    </row>
    <row r="632" spans="10:10" ht="15.75" customHeight="1" x14ac:dyDescent="0.2">
      <c r="J632" s="70"/>
    </row>
    <row r="633" spans="10:10" ht="15.75" customHeight="1" x14ac:dyDescent="0.2">
      <c r="J633" s="70"/>
    </row>
    <row r="634" spans="10:10" ht="15.75" customHeight="1" x14ac:dyDescent="0.2">
      <c r="J634" s="70"/>
    </row>
    <row r="635" spans="10:10" ht="15.75" customHeight="1" x14ac:dyDescent="0.2">
      <c r="J635" s="70"/>
    </row>
    <row r="636" spans="10:10" ht="15.75" customHeight="1" x14ac:dyDescent="0.2">
      <c r="J636" s="70"/>
    </row>
    <row r="637" spans="10:10" ht="15.75" customHeight="1" x14ac:dyDescent="0.2">
      <c r="J637" s="70"/>
    </row>
    <row r="638" spans="10:10" ht="15.75" customHeight="1" x14ac:dyDescent="0.2">
      <c r="J638" s="70"/>
    </row>
    <row r="639" spans="10:10" ht="15.75" customHeight="1" x14ac:dyDescent="0.2">
      <c r="J639" s="70"/>
    </row>
    <row r="640" spans="10:10" ht="15.75" customHeight="1" x14ac:dyDescent="0.2">
      <c r="J640" s="70"/>
    </row>
    <row r="641" spans="10:10" ht="15.75" customHeight="1" x14ac:dyDescent="0.2">
      <c r="J641" s="70"/>
    </row>
    <row r="642" spans="10:10" ht="15.75" customHeight="1" x14ac:dyDescent="0.2">
      <c r="J642" s="70"/>
    </row>
    <row r="643" spans="10:10" ht="15.75" customHeight="1" x14ac:dyDescent="0.2">
      <c r="J643" s="70"/>
    </row>
    <row r="644" spans="10:10" ht="15.75" customHeight="1" x14ac:dyDescent="0.2">
      <c r="J644" s="70"/>
    </row>
    <row r="645" spans="10:10" ht="15.75" customHeight="1" x14ac:dyDescent="0.2">
      <c r="J645" s="70"/>
    </row>
    <row r="646" spans="10:10" ht="15.75" customHeight="1" x14ac:dyDescent="0.2">
      <c r="J646" s="70"/>
    </row>
    <row r="647" spans="10:10" ht="15.75" customHeight="1" x14ac:dyDescent="0.2">
      <c r="J647" s="70"/>
    </row>
    <row r="648" spans="10:10" ht="15.75" customHeight="1" x14ac:dyDescent="0.2">
      <c r="J648" s="70"/>
    </row>
    <row r="649" spans="10:10" ht="15.75" customHeight="1" x14ac:dyDescent="0.2">
      <c r="J649" s="70"/>
    </row>
    <row r="650" spans="10:10" ht="15.75" customHeight="1" x14ac:dyDescent="0.2">
      <c r="J650" s="70"/>
    </row>
    <row r="651" spans="10:10" ht="15.75" customHeight="1" x14ac:dyDescent="0.2">
      <c r="J651" s="70"/>
    </row>
    <row r="652" spans="10:10" ht="15.75" customHeight="1" x14ac:dyDescent="0.2">
      <c r="J652" s="70"/>
    </row>
    <row r="653" spans="10:10" ht="15.75" customHeight="1" x14ac:dyDescent="0.2">
      <c r="J653" s="70"/>
    </row>
    <row r="654" spans="10:10" ht="15.75" customHeight="1" x14ac:dyDescent="0.2">
      <c r="J654" s="70"/>
    </row>
    <row r="655" spans="10:10" ht="15.75" customHeight="1" x14ac:dyDescent="0.2">
      <c r="J655" s="70"/>
    </row>
    <row r="656" spans="10:10" ht="15.75" customHeight="1" x14ac:dyDescent="0.2">
      <c r="J656" s="70"/>
    </row>
    <row r="657" spans="10:10" ht="15.75" customHeight="1" x14ac:dyDescent="0.2">
      <c r="J657" s="70"/>
    </row>
    <row r="658" spans="10:10" ht="15.75" customHeight="1" x14ac:dyDescent="0.2">
      <c r="J658" s="70"/>
    </row>
    <row r="659" spans="10:10" ht="15.75" customHeight="1" x14ac:dyDescent="0.2">
      <c r="J659" s="70"/>
    </row>
    <row r="660" spans="10:10" ht="15.75" customHeight="1" x14ac:dyDescent="0.2">
      <c r="J660" s="70"/>
    </row>
    <row r="661" spans="10:10" ht="15.75" customHeight="1" x14ac:dyDescent="0.2">
      <c r="J661" s="70"/>
    </row>
    <row r="662" spans="10:10" ht="15.75" customHeight="1" x14ac:dyDescent="0.2">
      <c r="J662" s="70"/>
    </row>
    <row r="663" spans="10:10" ht="15.75" customHeight="1" x14ac:dyDescent="0.2">
      <c r="J663" s="70"/>
    </row>
    <row r="664" spans="10:10" ht="15.75" customHeight="1" x14ac:dyDescent="0.2">
      <c r="J664" s="70"/>
    </row>
    <row r="665" spans="10:10" ht="15.75" customHeight="1" x14ac:dyDescent="0.2">
      <c r="J665" s="70"/>
    </row>
    <row r="666" spans="10:10" ht="15.75" customHeight="1" x14ac:dyDescent="0.2">
      <c r="J666" s="70"/>
    </row>
    <row r="667" spans="10:10" ht="15.75" customHeight="1" x14ac:dyDescent="0.2">
      <c r="J667" s="70"/>
    </row>
    <row r="668" spans="10:10" ht="15.75" customHeight="1" x14ac:dyDescent="0.2">
      <c r="J668" s="70"/>
    </row>
    <row r="669" spans="10:10" ht="15.75" customHeight="1" x14ac:dyDescent="0.2">
      <c r="J669" s="70"/>
    </row>
    <row r="670" spans="10:10" ht="15.75" customHeight="1" x14ac:dyDescent="0.2">
      <c r="J670" s="70"/>
    </row>
    <row r="671" spans="10:10" ht="15.75" customHeight="1" x14ac:dyDescent="0.2">
      <c r="J671" s="70"/>
    </row>
    <row r="672" spans="10:10" ht="15.75" customHeight="1" x14ac:dyDescent="0.2">
      <c r="J672" s="70"/>
    </row>
    <row r="673" spans="10:10" ht="15.75" customHeight="1" x14ac:dyDescent="0.2">
      <c r="J673" s="70"/>
    </row>
    <row r="674" spans="10:10" ht="15.75" customHeight="1" x14ac:dyDescent="0.2">
      <c r="J674" s="70"/>
    </row>
    <row r="675" spans="10:10" ht="15.75" customHeight="1" x14ac:dyDescent="0.2">
      <c r="J675" s="70"/>
    </row>
    <row r="676" spans="10:10" ht="15.75" customHeight="1" x14ac:dyDescent="0.2">
      <c r="J676" s="70"/>
    </row>
    <row r="677" spans="10:10" ht="15.75" customHeight="1" x14ac:dyDescent="0.2">
      <c r="J677" s="70"/>
    </row>
    <row r="678" spans="10:10" ht="15.75" customHeight="1" x14ac:dyDescent="0.2">
      <c r="J678" s="70"/>
    </row>
    <row r="679" spans="10:10" ht="15.75" customHeight="1" x14ac:dyDescent="0.2">
      <c r="J679" s="70"/>
    </row>
    <row r="680" spans="10:10" ht="15.75" customHeight="1" x14ac:dyDescent="0.2">
      <c r="J680" s="70"/>
    </row>
    <row r="681" spans="10:10" ht="15.75" customHeight="1" x14ac:dyDescent="0.2">
      <c r="J681" s="70"/>
    </row>
    <row r="682" spans="10:10" ht="15.75" customHeight="1" x14ac:dyDescent="0.2">
      <c r="J682" s="70"/>
    </row>
    <row r="683" spans="10:10" ht="15.75" customHeight="1" x14ac:dyDescent="0.2">
      <c r="J683" s="70"/>
    </row>
    <row r="684" spans="10:10" ht="15.75" customHeight="1" x14ac:dyDescent="0.2">
      <c r="J684" s="70"/>
    </row>
    <row r="685" spans="10:10" ht="15.75" customHeight="1" x14ac:dyDescent="0.2">
      <c r="J685" s="70"/>
    </row>
    <row r="686" spans="10:10" ht="15.75" customHeight="1" x14ac:dyDescent="0.2">
      <c r="J686" s="70"/>
    </row>
    <row r="687" spans="10:10" ht="15.75" customHeight="1" x14ac:dyDescent="0.2">
      <c r="J687" s="70"/>
    </row>
    <row r="688" spans="10:10" ht="15.75" customHeight="1" x14ac:dyDescent="0.2">
      <c r="J688" s="70"/>
    </row>
    <row r="689" spans="10:10" ht="15.75" customHeight="1" x14ac:dyDescent="0.2">
      <c r="J689" s="70"/>
    </row>
    <row r="690" spans="10:10" ht="15.75" customHeight="1" x14ac:dyDescent="0.2">
      <c r="J690" s="70"/>
    </row>
    <row r="691" spans="10:10" ht="15.75" customHeight="1" x14ac:dyDescent="0.2">
      <c r="J691" s="70"/>
    </row>
    <row r="692" spans="10:10" ht="15.75" customHeight="1" x14ac:dyDescent="0.2">
      <c r="J692" s="70"/>
    </row>
    <row r="693" spans="10:10" ht="15.75" customHeight="1" x14ac:dyDescent="0.2">
      <c r="J693" s="70"/>
    </row>
    <row r="694" spans="10:10" ht="15.75" customHeight="1" x14ac:dyDescent="0.2">
      <c r="J694" s="70"/>
    </row>
    <row r="695" spans="10:10" ht="15.75" customHeight="1" x14ac:dyDescent="0.2">
      <c r="J695" s="70"/>
    </row>
    <row r="696" spans="10:10" ht="15.75" customHeight="1" x14ac:dyDescent="0.2">
      <c r="J696" s="70"/>
    </row>
    <row r="697" spans="10:10" ht="15.75" customHeight="1" x14ac:dyDescent="0.2">
      <c r="J697" s="70"/>
    </row>
    <row r="698" spans="10:10" ht="15.75" customHeight="1" x14ac:dyDescent="0.2">
      <c r="J698" s="70"/>
    </row>
    <row r="699" spans="10:10" ht="15.75" customHeight="1" x14ac:dyDescent="0.2">
      <c r="J699" s="70"/>
    </row>
    <row r="700" spans="10:10" ht="15.75" customHeight="1" x14ac:dyDescent="0.2">
      <c r="J700" s="70"/>
    </row>
    <row r="701" spans="10:10" ht="15.75" customHeight="1" x14ac:dyDescent="0.2">
      <c r="J701" s="70"/>
    </row>
    <row r="702" spans="10:10" ht="15.75" customHeight="1" x14ac:dyDescent="0.2">
      <c r="J702" s="70"/>
    </row>
    <row r="703" spans="10:10" ht="15.75" customHeight="1" x14ac:dyDescent="0.2">
      <c r="J703" s="70"/>
    </row>
    <row r="704" spans="10:10" ht="15.75" customHeight="1" x14ac:dyDescent="0.2">
      <c r="J704" s="70"/>
    </row>
    <row r="705" spans="10:10" ht="15.75" customHeight="1" x14ac:dyDescent="0.2">
      <c r="J705" s="70"/>
    </row>
    <row r="706" spans="10:10" ht="15.75" customHeight="1" x14ac:dyDescent="0.2">
      <c r="J706" s="70"/>
    </row>
    <row r="707" spans="10:10" ht="15.75" customHeight="1" x14ac:dyDescent="0.2">
      <c r="J707" s="70"/>
    </row>
    <row r="708" spans="10:10" ht="15.75" customHeight="1" x14ac:dyDescent="0.2">
      <c r="J708" s="70"/>
    </row>
    <row r="709" spans="10:10" ht="15.75" customHeight="1" x14ac:dyDescent="0.2">
      <c r="J709" s="70"/>
    </row>
    <row r="710" spans="10:10" ht="15.75" customHeight="1" x14ac:dyDescent="0.2">
      <c r="J710" s="70"/>
    </row>
    <row r="711" spans="10:10" ht="15.75" customHeight="1" x14ac:dyDescent="0.2">
      <c r="J711" s="70"/>
    </row>
    <row r="712" spans="10:10" ht="15.75" customHeight="1" x14ac:dyDescent="0.2">
      <c r="J712" s="70"/>
    </row>
    <row r="713" spans="10:10" ht="15.75" customHeight="1" x14ac:dyDescent="0.2">
      <c r="J713" s="70"/>
    </row>
    <row r="714" spans="10:10" ht="15.75" customHeight="1" x14ac:dyDescent="0.2">
      <c r="J714" s="70"/>
    </row>
    <row r="715" spans="10:10" ht="15.75" customHeight="1" x14ac:dyDescent="0.2">
      <c r="J715" s="70"/>
    </row>
    <row r="716" spans="10:10" ht="15.75" customHeight="1" x14ac:dyDescent="0.2">
      <c r="J716" s="70"/>
    </row>
    <row r="717" spans="10:10" ht="15.75" customHeight="1" x14ac:dyDescent="0.2">
      <c r="J717" s="70"/>
    </row>
    <row r="718" spans="10:10" ht="15.75" customHeight="1" x14ac:dyDescent="0.2">
      <c r="J718" s="70"/>
    </row>
    <row r="719" spans="10:10" ht="15.75" customHeight="1" x14ac:dyDescent="0.2">
      <c r="J719" s="70"/>
    </row>
    <row r="720" spans="10:10" ht="15.75" customHeight="1" x14ac:dyDescent="0.2">
      <c r="J720" s="70"/>
    </row>
    <row r="721" spans="10:10" ht="15.75" customHeight="1" x14ac:dyDescent="0.2">
      <c r="J721" s="70"/>
    </row>
    <row r="722" spans="10:10" ht="15.75" customHeight="1" x14ac:dyDescent="0.2">
      <c r="J722" s="70"/>
    </row>
    <row r="723" spans="10:10" ht="15.75" customHeight="1" x14ac:dyDescent="0.2">
      <c r="J723" s="70"/>
    </row>
    <row r="724" spans="10:10" ht="15.75" customHeight="1" x14ac:dyDescent="0.2">
      <c r="J724" s="70"/>
    </row>
    <row r="725" spans="10:10" ht="15.75" customHeight="1" x14ac:dyDescent="0.2">
      <c r="J725" s="70"/>
    </row>
    <row r="726" spans="10:10" ht="15.75" customHeight="1" x14ac:dyDescent="0.2">
      <c r="J726" s="70"/>
    </row>
    <row r="727" spans="10:10" ht="15.75" customHeight="1" x14ac:dyDescent="0.2">
      <c r="J727" s="70"/>
    </row>
    <row r="728" spans="10:10" ht="15.75" customHeight="1" x14ac:dyDescent="0.2">
      <c r="J728" s="70"/>
    </row>
    <row r="729" spans="10:10" ht="15.75" customHeight="1" x14ac:dyDescent="0.2">
      <c r="J729" s="70"/>
    </row>
    <row r="730" spans="10:10" ht="15.75" customHeight="1" x14ac:dyDescent="0.2">
      <c r="J730" s="70"/>
    </row>
    <row r="731" spans="10:10" ht="15.75" customHeight="1" x14ac:dyDescent="0.2">
      <c r="J731" s="70"/>
    </row>
    <row r="732" spans="10:10" ht="15.75" customHeight="1" x14ac:dyDescent="0.2">
      <c r="J732" s="70"/>
    </row>
    <row r="733" spans="10:10" ht="15.75" customHeight="1" x14ac:dyDescent="0.2">
      <c r="J733" s="70"/>
    </row>
    <row r="734" spans="10:10" ht="15.75" customHeight="1" x14ac:dyDescent="0.2">
      <c r="J734" s="70"/>
    </row>
    <row r="735" spans="10:10" ht="15.75" customHeight="1" x14ac:dyDescent="0.2">
      <c r="J735" s="70"/>
    </row>
    <row r="736" spans="10:10" ht="15.75" customHeight="1" x14ac:dyDescent="0.2">
      <c r="J736" s="70"/>
    </row>
    <row r="737" spans="10:10" ht="15.75" customHeight="1" x14ac:dyDescent="0.2">
      <c r="J737" s="70"/>
    </row>
    <row r="738" spans="10:10" ht="15.75" customHeight="1" x14ac:dyDescent="0.2">
      <c r="J738" s="70"/>
    </row>
    <row r="739" spans="10:10" ht="15.75" customHeight="1" x14ac:dyDescent="0.2">
      <c r="J739" s="70"/>
    </row>
    <row r="740" spans="10:10" ht="15.75" customHeight="1" x14ac:dyDescent="0.2">
      <c r="J740" s="70"/>
    </row>
    <row r="741" spans="10:10" ht="15.75" customHeight="1" x14ac:dyDescent="0.2">
      <c r="J741" s="70"/>
    </row>
    <row r="742" spans="10:10" ht="15.75" customHeight="1" x14ac:dyDescent="0.2">
      <c r="J742" s="70"/>
    </row>
    <row r="743" spans="10:10" ht="15.75" customHeight="1" x14ac:dyDescent="0.2">
      <c r="J743" s="70"/>
    </row>
    <row r="744" spans="10:10" ht="15.75" customHeight="1" x14ac:dyDescent="0.2">
      <c r="J744" s="70"/>
    </row>
    <row r="745" spans="10:10" ht="15.75" customHeight="1" x14ac:dyDescent="0.2">
      <c r="J745" s="70"/>
    </row>
    <row r="746" spans="10:10" ht="15.75" customHeight="1" x14ac:dyDescent="0.2">
      <c r="J746" s="70"/>
    </row>
    <row r="747" spans="10:10" ht="15.75" customHeight="1" x14ac:dyDescent="0.2">
      <c r="J747" s="70"/>
    </row>
    <row r="748" spans="10:10" ht="15.75" customHeight="1" x14ac:dyDescent="0.2">
      <c r="J748" s="70"/>
    </row>
    <row r="749" spans="10:10" ht="15.75" customHeight="1" x14ac:dyDescent="0.2">
      <c r="J749" s="70"/>
    </row>
    <row r="750" spans="10:10" ht="15.75" customHeight="1" x14ac:dyDescent="0.2">
      <c r="J750" s="70"/>
    </row>
    <row r="751" spans="10:10" ht="15.75" customHeight="1" x14ac:dyDescent="0.2">
      <c r="J751" s="70"/>
    </row>
    <row r="752" spans="10:10" ht="15.75" customHeight="1" x14ac:dyDescent="0.2">
      <c r="J752" s="70"/>
    </row>
    <row r="753" spans="10:10" ht="15.75" customHeight="1" x14ac:dyDescent="0.2">
      <c r="J753" s="70"/>
    </row>
    <row r="754" spans="10:10" ht="15.75" customHeight="1" x14ac:dyDescent="0.2">
      <c r="J754" s="70"/>
    </row>
    <row r="755" spans="10:10" ht="15.75" customHeight="1" x14ac:dyDescent="0.2">
      <c r="J755" s="70"/>
    </row>
    <row r="756" spans="10:10" ht="15.75" customHeight="1" x14ac:dyDescent="0.2">
      <c r="J756" s="70"/>
    </row>
    <row r="757" spans="10:10" ht="15.75" customHeight="1" x14ac:dyDescent="0.2">
      <c r="J757" s="70"/>
    </row>
    <row r="758" spans="10:10" ht="15.75" customHeight="1" x14ac:dyDescent="0.2">
      <c r="J758" s="70"/>
    </row>
    <row r="759" spans="10:10" ht="15.75" customHeight="1" x14ac:dyDescent="0.2">
      <c r="J759" s="70"/>
    </row>
    <row r="760" spans="10:10" ht="15.75" customHeight="1" x14ac:dyDescent="0.2">
      <c r="J760" s="70"/>
    </row>
    <row r="761" spans="10:10" ht="15.75" customHeight="1" x14ac:dyDescent="0.2">
      <c r="J761" s="70"/>
    </row>
    <row r="762" spans="10:10" ht="15.75" customHeight="1" x14ac:dyDescent="0.2">
      <c r="J762" s="70"/>
    </row>
    <row r="763" spans="10:10" ht="15.75" customHeight="1" x14ac:dyDescent="0.2">
      <c r="J763" s="70"/>
    </row>
    <row r="764" spans="10:10" ht="15.75" customHeight="1" x14ac:dyDescent="0.2">
      <c r="J764" s="70"/>
    </row>
    <row r="765" spans="10:10" ht="15.75" customHeight="1" x14ac:dyDescent="0.2">
      <c r="J765" s="70"/>
    </row>
    <row r="766" spans="10:10" ht="15.75" customHeight="1" x14ac:dyDescent="0.2">
      <c r="J766" s="70"/>
    </row>
    <row r="767" spans="10:10" ht="15.75" customHeight="1" x14ac:dyDescent="0.2">
      <c r="J767" s="70"/>
    </row>
    <row r="768" spans="10:10" ht="15.75" customHeight="1" x14ac:dyDescent="0.2">
      <c r="J768" s="70"/>
    </row>
    <row r="769" spans="10:10" ht="15.75" customHeight="1" x14ac:dyDescent="0.2">
      <c r="J769" s="70"/>
    </row>
    <row r="770" spans="10:10" ht="15.75" customHeight="1" x14ac:dyDescent="0.2">
      <c r="J770" s="70"/>
    </row>
    <row r="771" spans="10:10" ht="15.75" customHeight="1" x14ac:dyDescent="0.2">
      <c r="J771" s="70"/>
    </row>
    <row r="772" spans="10:10" ht="15.75" customHeight="1" x14ac:dyDescent="0.2">
      <c r="J772" s="70"/>
    </row>
    <row r="773" spans="10:10" ht="15.75" customHeight="1" x14ac:dyDescent="0.2">
      <c r="J773" s="70"/>
    </row>
    <row r="774" spans="10:10" ht="15.75" customHeight="1" x14ac:dyDescent="0.2">
      <c r="J774" s="70"/>
    </row>
    <row r="775" spans="10:10" ht="15.75" customHeight="1" x14ac:dyDescent="0.2">
      <c r="J775" s="70"/>
    </row>
    <row r="776" spans="10:10" ht="15.75" customHeight="1" x14ac:dyDescent="0.2">
      <c r="J776" s="70"/>
    </row>
    <row r="777" spans="10:10" ht="15.75" customHeight="1" x14ac:dyDescent="0.2">
      <c r="J777" s="70"/>
    </row>
    <row r="778" spans="10:10" ht="15.75" customHeight="1" x14ac:dyDescent="0.2">
      <c r="J778" s="70"/>
    </row>
    <row r="779" spans="10:10" ht="15.75" customHeight="1" x14ac:dyDescent="0.2">
      <c r="J779" s="70"/>
    </row>
    <row r="780" spans="10:10" ht="15.75" customHeight="1" x14ac:dyDescent="0.2">
      <c r="J780" s="70"/>
    </row>
    <row r="781" spans="10:10" ht="15.75" customHeight="1" x14ac:dyDescent="0.2">
      <c r="J781" s="70"/>
    </row>
    <row r="782" spans="10:10" ht="15.75" customHeight="1" x14ac:dyDescent="0.2">
      <c r="J782" s="70"/>
    </row>
    <row r="783" spans="10:10" ht="15.75" customHeight="1" x14ac:dyDescent="0.2">
      <c r="J783" s="70"/>
    </row>
    <row r="784" spans="10:10" ht="15.75" customHeight="1" x14ac:dyDescent="0.2">
      <c r="J784" s="70"/>
    </row>
    <row r="785" spans="10:10" ht="15.75" customHeight="1" x14ac:dyDescent="0.2">
      <c r="J785" s="70"/>
    </row>
    <row r="786" spans="10:10" ht="15.75" customHeight="1" x14ac:dyDescent="0.2">
      <c r="J786" s="70"/>
    </row>
    <row r="787" spans="10:10" ht="15.75" customHeight="1" x14ac:dyDescent="0.2">
      <c r="J787" s="70"/>
    </row>
    <row r="788" spans="10:10" ht="15.75" customHeight="1" x14ac:dyDescent="0.2">
      <c r="J788" s="70"/>
    </row>
    <row r="789" spans="10:10" ht="15.75" customHeight="1" x14ac:dyDescent="0.2">
      <c r="J789" s="70"/>
    </row>
    <row r="790" spans="10:10" ht="15.75" customHeight="1" x14ac:dyDescent="0.2">
      <c r="J790" s="70"/>
    </row>
    <row r="791" spans="10:10" ht="15.75" customHeight="1" x14ac:dyDescent="0.2">
      <c r="J791" s="70"/>
    </row>
    <row r="792" spans="10:10" ht="15.75" customHeight="1" x14ac:dyDescent="0.2">
      <c r="J792" s="70"/>
    </row>
    <row r="793" spans="10:10" ht="15.75" customHeight="1" x14ac:dyDescent="0.2">
      <c r="J793" s="70"/>
    </row>
    <row r="794" spans="10:10" ht="15.75" customHeight="1" x14ac:dyDescent="0.2">
      <c r="J794" s="70"/>
    </row>
    <row r="795" spans="10:10" ht="15.75" customHeight="1" x14ac:dyDescent="0.2">
      <c r="J795" s="70"/>
    </row>
    <row r="796" spans="10:10" ht="15.75" customHeight="1" x14ac:dyDescent="0.2">
      <c r="J796" s="70"/>
    </row>
    <row r="797" spans="10:10" ht="15.75" customHeight="1" x14ac:dyDescent="0.2">
      <c r="J797" s="70"/>
    </row>
    <row r="798" spans="10:10" ht="15.75" customHeight="1" x14ac:dyDescent="0.2">
      <c r="J798" s="70"/>
    </row>
    <row r="799" spans="10:10" ht="15.75" customHeight="1" x14ac:dyDescent="0.2">
      <c r="J799" s="70"/>
    </row>
    <row r="800" spans="10:10" ht="15.75" customHeight="1" x14ac:dyDescent="0.2">
      <c r="J800" s="70"/>
    </row>
    <row r="801" spans="10:10" ht="15.75" customHeight="1" x14ac:dyDescent="0.2">
      <c r="J801" s="70"/>
    </row>
    <row r="802" spans="10:10" ht="15.75" customHeight="1" x14ac:dyDescent="0.2">
      <c r="J802" s="70"/>
    </row>
    <row r="803" spans="10:10" ht="15.75" customHeight="1" x14ac:dyDescent="0.2">
      <c r="J803" s="70"/>
    </row>
    <row r="804" spans="10:10" ht="15.75" customHeight="1" x14ac:dyDescent="0.2">
      <c r="J804" s="70"/>
    </row>
    <row r="805" spans="10:10" ht="15.75" customHeight="1" x14ac:dyDescent="0.2">
      <c r="J805" s="70"/>
    </row>
    <row r="806" spans="10:10" ht="15.75" customHeight="1" x14ac:dyDescent="0.2">
      <c r="J806" s="70"/>
    </row>
    <row r="807" spans="10:10" ht="15.75" customHeight="1" x14ac:dyDescent="0.2">
      <c r="J807" s="70"/>
    </row>
    <row r="808" spans="10:10" ht="15.75" customHeight="1" x14ac:dyDescent="0.2">
      <c r="J808" s="70"/>
    </row>
    <row r="809" spans="10:10" ht="15.75" customHeight="1" x14ac:dyDescent="0.2">
      <c r="J809" s="70"/>
    </row>
    <row r="810" spans="10:10" ht="15.75" customHeight="1" x14ac:dyDescent="0.2">
      <c r="J810" s="70"/>
    </row>
    <row r="811" spans="10:10" ht="15.75" customHeight="1" x14ac:dyDescent="0.2">
      <c r="J811" s="70"/>
    </row>
    <row r="812" spans="10:10" ht="15.75" customHeight="1" x14ac:dyDescent="0.2">
      <c r="J812" s="70"/>
    </row>
    <row r="813" spans="10:10" ht="15.75" customHeight="1" x14ac:dyDescent="0.2">
      <c r="J813" s="70"/>
    </row>
    <row r="814" spans="10:10" ht="15.75" customHeight="1" x14ac:dyDescent="0.2">
      <c r="J814" s="70"/>
    </row>
    <row r="815" spans="10:10" ht="15.75" customHeight="1" x14ac:dyDescent="0.2">
      <c r="J815" s="70"/>
    </row>
    <row r="816" spans="10:10" ht="15.75" customHeight="1" x14ac:dyDescent="0.2">
      <c r="J816" s="70"/>
    </row>
    <row r="817" spans="10:10" ht="15.75" customHeight="1" x14ac:dyDescent="0.2">
      <c r="J817" s="70"/>
    </row>
    <row r="818" spans="10:10" ht="15.75" customHeight="1" x14ac:dyDescent="0.2">
      <c r="J818" s="70"/>
    </row>
    <row r="819" spans="10:10" ht="15.75" customHeight="1" x14ac:dyDescent="0.2">
      <c r="J819" s="70"/>
    </row>
    <row r="820" spans="10:10" ht="15.75" customHeight="1" x14ac:dyDescent="0.2">
      <c r="J820" s="70"/>
    </row>
    <row r="821" spans="10:10" ht="15.75" customHeight="1" x14ac:dyDescent="0.2">
      <c r="J821" s="70"/>
    </row>
    <row r="822" spans="10:10" ht="15.75" customHeight="1" x14ac:dyDescent="0.2">
      <c r="J822" s="70"/>
    </row>
    <row r="823" spans="10:10" ht="15.75" customHeight="1" x14ac:dyDescent="0.2">
      <c r="J823" s="70"/>
    </row>
    <row r="824" spans="10:10" ht="15.75" customHeight="1" x14ac:dyDescent="0.2">
      <c r="J824" s="70"/>
    </row>
    <row r="825" spans="10:10" ht="15.75" customHeight="1" x14ac:dyDescent="0.2">
      <c r="J825" s="70"/>
    </row>
    <row r="826" spans="10:10" ht="15.75" customHeight="1" x14ac:dyDescent="0.2">
      <c r="J826" s="70"/>
    </row>
    <row r="827" spans="10:10" ht="15.75" customHeight="1" x14ac:dyDescent="0.2">
      <c r="J827" s="70"/>
    </row>
    <row r="828" spans="10:10" ht="15.75" customHeight="1" x14ac:dyDescent="0.2">
      <c r="J828" s="70"/>
    </row>
    <row r="829" spans="10:10" ht="15.75" customHeight="1" x14ac:dyDescent="0.2">
      <c r="J829" s="70"/>
    </row>
    <row r="830" spans="10:10" ht="15.75" customHeight="1" x14ac:dyDescent="0.2">
      <c r="J830" s="70"/>
    </row>
    <row r="831" spans="10:10" ht="15.75" customHeight="1" x14ac:dyDescent="0.2">
      <c r="J831" s="70"/>
    </row>
    <row r="832" spans="10:10" ht="15.75" customHeight="1" x14ac:dyDescent="0.2">
      <c r="J832" s="70"/>
    </row>
    <row r="833" spans="10:10" ht="15.75" customHeight="1" x14ac:dyDescent="0.2">
      <c r="J833" s="70"/>
    </row>
    <row r="834" spans="10:10" ht="15.75" customHeight="1" x14ac:dyDescent="0.2">
      <c r="J834" s="70"/>
    </row>
    <row r="835" spans="10:10" ht="15.75" customHeight="1" x14ac:dyDescent="0.2">
      <c r="J835" s="70"/>
    </row>
    <row r="836" spans="10:10" ht="15.75" customHeight="1" x14ac:dyDescent="0.2">
      <c r="J836" s="70"/>
    </row>
    <row r="837" spans="10:10" ht="15.75" customHeight="1" x14ac:dyDescent="0.2">
      <c r="J837" s="70"/>
    </row>
    <row r="838" spans="10:10" ht="15.75" customHeight="1" x14ac:dyDescent="0.2">
      <c r="J838" s="70"/>
    </row>
    <row r="839" spans="10:10" ht="15.75" customHeight="1" x14ac:dyDescent="0.2">
      <c r="J839" s="70"/>
    </row>
    <row r="840" spans="10:10" ht="15.75" customHeight="1" x14ac:dyDescent="0.2">
      <c r="J840" s="70"/>
    </row>
    <row r="841" spans="10:10" ht="15.75" customHeight="1" x14ac:dyDescent="0.2">
      <c r="J841" s="70"/>
    </row>
    <row r="842" spans="10:10" ht="15.75" customHeight="1" x14ac:dyDescent="0.2">
      <c r="J842" s="70"/>
    </row>
    <row r="843" spans="10:10" ht="15.75" customHeight="1" x14ac:dyDescent="0.2">
      <c r="J843" s="70"/>
    </row>
    <row r="844" spans="10:10" ht="15.75" customHeight="1" x14ac:dyDescent="0.2">
      <c r="J844" s="70"/>
    </row>
    <row r="845" spans="10:10" ht="15.75" customHeight="1" x14ac:dyDescent="0.2">
      <c r="J845" s="70"/>
    </row>
    <row r="846" spans="10:10" ht="15.75" customHeight="1" x14ac:dyDescent="0.2">
      <c r="J846" s="70"/>
    </row>
    <row r="847" spans="10:10" ht="15.75" customHeight="1" x14ac:dyDescent="0.2">
      <c r="J847" s="70"/>
    </row>
    <row r="848" spans="10:10" ht="15.75" customHeight="1" x14ac:dyDescent="0.2">
      <c r="J848" s="70"/>
    </row>
    <row r="849" spans="10:10" ht="15.75" customHeight="1" x14ac:dyDescent="0.2">
      <c r="J849" s="70"/>
    </row>
    <row r="850" spans="10:10" ht="15.75" customHeight="1" x14ac:dyDescent="0.2">
      <c r="J850" s="70"/>
    </row>
    <row r="851" spans="10:10" ht="15.75" customHeight="1" x14ac:dyDescent="0.2">
      <c r="J851" s="70"/>
    </row>
    <row r="852" spans="10:10" ht="15.75" customHeight="1" x14ac:dyDescent="0.2">
      <c r="J852" s="70"/>
    </row>
    <row r="853" spans="10:10" ht="15.75" customHeight="1" x14ac:dyDescent="0.2">
      <c r="J853" s="70"/>
    </row>
    <row r="854" spans="10:10" ht="15.75" customHeight="1" x14ac:dyDescent="0.2">
      <c r="J854" s="70"/>
    </row>
    <row r="855" spans="10:10" ht="15.75" customHeight="1" x14ac:dyDescent="0.2">
      <c r="J855" s="70"/>
    </row>
    <row r="856" spans="10:10" ht="15.75" customHeight="1" x14ac:dyDescent="0.2">
      <c r="J856" s="70"/>
    </row>
    <row r="857" spans="10:10" ht="15.75" customHeight="1" x14ac:dyDescent="0.2">
      <c r="J857" s="70"/>
    </row>
    <row r="858" spans="10:10" ht="15.75" customHeight="1" x14ac:dyDescent="0.2">
      <c r="J858" s="70"/>
    </row>
    <row r="859" spans="10:10" ht="15.75" customHeight="1" x14ac:dyDescent="0.2">
      <c r="J859" s="70"/>
    </row>
    <row r="860" spans="10:10" ht="15.75" customHeight="1" x14ac:dyDescent="0.2">
      <c r="J860" s="70"/>
    </row>
    <row r="861" spans="10:10" ht="15.75" customHeight="1" x14ac:dyDescent="0.2">
      <c r="J861" s="70"/>
    </row>
    <row r="862" spans="10:10" ht="15.75" customHeight="1" x14ac:dyDescent="0.2">
      <c r="J862" s="70"/>
    </row>
    <row r="863" spans="10:10" ht="15.75" customHeight="1" x14ac:dyDescent="0.2">
      <c r="J863" s="70"/>
    </row>
    <row r="864" spans="10:10" ht="15.75" customHeight="1" x14ac:dyDescent="0.2">
      <c r="J864" s="70"/>
    </row>
    <row r="865" spans="10:10" ht="15.75" customHeight="1" x14ac:dyDescent="0.2">
      <c r="J865" s="70"/>
    </row>
    <row r="866" spans="10:10" ht="15.75" customHeight="1" x14ac:dyDescent="0.2">
      <c r="J866" s="70"/>
    </row>
    <row r="867" spans="10:10" ht="15.75" customHeight="1" x14ac:dyDescent="0.2">
      <c r="J867" s="70"/>
    </row>
    <row r="868" spans="10:10" ht="15.75" customHeight="1" x14ac:dyDescent="0.2">
      <c r="J868" s="70"/>
    </row>
    <row r="869" spans="10:10" ht="15.75" customHeight="1" x14ac:dyDescent="0.2">
      <c r="J869" s="70"/>
    </row>
    <row r="870" spans="10:10" ht="15.75" customHeight="1" x14ac:dyDescent="0.2">
      <c r="J870" s="70"/>
    </row>
    <row r="871" spans="10:10" ht="15.75" customHeight="1" x14ac:dyDescent="0.2">
      <c r="J871" s="70"/>
    </row>
    <row r="872" spans="10:10" ht="15.75" customHeight="1" x14ac:dyDescent="0.2">
      <c r="J872" s="70"/>
    </row>
    <row r="873" spans="10:10" ht="15.75" customHeight="1" x14ac:dyDescent="0.2">
      <c r="J873" s="70"/>
    </row>
    <row r="874" spans="10:10" ht="15.75" customHeight="1" x14ac:dyDescent="0.2">
      <c r="J874" s="70"/>
    </row>
    <row r="875" spans="10:10" ht="15.75" customHeight="1" x14ac:dyDescent="0.2">
      <c r="J875" s="70"/>
    </row>
    <row r="876" spans="10:10" ht="15.75" customHeight="1" x14ac:dyDescent="0.2">
      <c r="J876" s="70"/>
    </row>
    <row r="877" spans="10:10" ht="15.75" customHeight="1" x14ac:dyDescent="0.2">
      <c r="J877" s="70"/>
    </row>
    <row r="878" spans="10:10" ht="15.75" customHeight="1" x14ac:dyDescent="0.2">
      <c r="J878" s="70"/>
    </row>
    <row r="879" spans="10:10" ht="15.75" customHeight="1" x14ac:dyDescent="0.2">
      <c r="J879" s="70"/>
    </row>
    <row r="880" spans="10:10" ht="15.75" customHeight="1" x14ac:dyDescent="0.2">
      <c r="J880" s="70"/>
    </row>
    <row r="881" spans="10:10" ht="15.75" customHeight="1" x14ac:dyDescent="0.2">
      <c r="J881" s="70"/>
    </row>
    <row r="882" spans="10:10" ht="15.75" customHeight="1" x14ac:dyDescent="0.2">
      <c r="J882" s="70"/>
    </row>
    <row r="883" spans="10:10" ht="15.75" customHeight="1" x14ac:dyDescent="0.2">
      <c r="J883" s="70"/>
    </row>
    <row r="884" spans="10:10" ht="15.75" customHeight="1" x14ac:dyDescent="0.2">
      <c r="J884" s="70"/>
    </row>
    <row r="885" spans="10:10" ht="15.75" customHeight="1" x14ac:dyDescent="0.2">
      <c r="J885" s="70"/>
    </row>
    <row r="886" spans="10:10" ht="15.75" customHeight="1" x14ac:dyDescent="0.2">
      <c r="J886" s="70"/>
    </row>
    <row r="887" spans="10:10" ht="15.75" customHeight="1" x14ac:dyDescent="0.2">
      <c r="J887" s="70"/>
    </row>
    <row r="888" spans="10:10" ht="15.75" customHeight="1" x14ac:dyDescent="0.2">
      <c r="J888" s="70"/>
    </row>
    <row r="889" spans="10:10" ht="15.75" customHeight="1" x14ac:dyDescent="0.2">
      <c r="J889" s="70"/>
    </row>
    <row r="890" spans="10:10" ht="15.75" customHeight="1" x14ac:dyDescent="0.2">
      <c r="J890" s="70"/>
    </row>
    <row r="891" spans="10:10" ht="15.75" customHeight="1" x14ac:dyDescent="0.2">
      <c r="J891" s="70"/>
    </row>
    <row r="892" spans="10:10" ht="15.75" customHeight="1" x14ac:dyDescent="0.2">
      <c r="J892" s="70"/>
    </row>
    <row r="893" spans="10:10" ht="15.75" customHeight="1" x14ac:dyDescent="0.2">
      <c r="J893" s="70"/>
    </row>
    <row r="894" spans="10:10" ht="15.75" customHeight="1" x14ac:dyDescent="0.2">
      <c r="J894" s="70"/>
    </row>
    <row r="895" spans="10:10" ht="15.75" customHeight="1" x14ac:dyDescent="0.2">
      <c r="J895" s="70"/>
    </row>
    <row r="896" spans="10:10" ht="15.75" customHeight="1" x14ac:dyDescent="0.2">
      <c r="J896" s="70"/>
    </row>
    <row r="897" spans="10:10" ht="15.75" customHeight="1" x14ac:dyDescent="0.2">
      <c r="J897" s="70"/>
    </row>
    <row r="898" spans="10:10" ht="15.75" customHeight="1" x14ac:dyDescent="0.2">
      <c r="J898" s="70"/>
    </row>
    <row r="899" spans="10:10" ht="15.75" customHeight="1" x14ac:dyDescent="0.2">
      <c r="J899" s="70"/>
    </row>
    <row r="900" spans="10:10" ht="15.75" customHeight="1" x14ac:dyDescent="0.2">
      <c r="J900" s="70"/>
    </row>
    <row r="901" spans="10:10" ht="15.75" customHeight="1" x14ac:dyDescent="0.2">
      <c r="J901" s="70"/>
    </row>
    <row r="902" spans="10:10" ht="15.75" customHeight="1" x14ac:dyDescent="0.2">
      <c r="J902" s="70"/>
    </row>
    <row r="903" spans="10:10" ht="15.75" customHeight="1" x14ac:dyDescent="0.2">
      <c r="J903" s="70"/>
    </row>
    <row r="904" spans="10:10" ht="15.75" customHeight="1" x14ac:dyDescent="0.2">
      <c r="J904" s="70"/>
    </row>
    <row r="905" spans="10:10" ht="15.75" customHeight="1" x14ac:dyDescent="0.2">
      <c r="J905" s="70"/>
    </row>
    <row r="906" spans="10:10" ht="15.75" customHeight="1" x14ac:dyDescent="0.2">
      <c r="J906" s="70"/>
    </row>
    <row r="907" spans="10:10" ht="15.75" customHeight="1" x14ac:dyDescent="0.2">
      <c r="J907" s="70"/>
    </row>
    <row r="908" spans="10:10" ht="15.75" customHeight="1" x14ac:dyDescent="0.2">
      <c r="J908" s="70"/>
    </row>
    <row r="909" spans="10:10" ht="15.75" customHeight="1" x14ac:dyDescent="0.2">
      <c r="J909" s="70"/>
    </row>
    <row r="910" spans="10:10" ht="15.75" customHeight="1" x14ac:dyDescent="0.2">
      <c r="J910" s="70"/>
    </row>
    <row r="911" spans="10:10" ht="15.75" customHeight="1" x14ac:dyDescent="0.2">
      <c r="J911" s="70"/>
    </row>
    <row r="912" spans="10:10" ht="15.75" customHeight="1" x14ac:dyDescent="0.2">
      <c r="J912" s="70"/>
    </row>
    <row r="913" spans="10:10" ht="15.75" customHeight="1" x14ac:dyDescent="0.2">
      <c r="J913" s="70"/>
    </row>
    <row r="914" spans="10:10" ht="15.75" customHeight="1" x14ac:dyDescent="0.2">
      <c r="J914" s="70"/>
    </row>
    <row r="915" spans="10:10" ht="15.75" customHeight="1" x14ac:dyDescent="0.2">
      <c r="J915" s="70"/>
    </row>
    <row r="916" spans="10:10" ht="15.75" customHeight="1" x14ac:dyDescent="0.2">
      <c r="J916" s="70"/>
    </row>
    <row r="917" spans="10:10" ht="15.75" customHeight="1" x14ac:dyDescent="0.2">
      <c r="J917" s="70"/>
    </row>
    <row r="918" spans="10:10" ht="15.75" customHeight="1" x14ac:dyDescent="0.2">
      <c r="J918" s="70"/>
    </row>
    <row r="919" spans="10:10" ht="15.75" customHeight="1" x14ac:dyDescent="0.2">
      <c r="J919" s="70"/>
    </row>
    <row r="920" spans="10:10" ht="15.75" customHeight="1" x14ac:dyDescent="0.2">
      <c r="J920" s="70"/>
    </row>
    <row r="921" spans="10:10" ht="15.75" customHeight="1" x14ac:dyDescent="0.2">
      <c r="J921" s="70"/>
    </row>
    <row r="922" spans="10:10" ht="15.75" customHeight="1" x14ac:dyDescent="0.2">
      <c r="J922" s="70"/>
    </row>
    <row r="923" spans="10:10" ht="15.75" customHeight="1" x14ac:dyDescent="0.2">
      <c r="J923" s="70"/>
    </row>
    <row r="924" spans="10:10" ht="15.75" customHeight="1" x14ac:dyDescent="0.2">
      <c r="J924" s="70"/>
    </row>
    <row r="925" spans="10:10" ht="15.75" customHeight="1" x14ac:dyDescent="0.2">
      <c r="J925" s="70"/>
    </row>
    <row r="926" spans="10:10" ht="15.75" customHeight="1" x14ac:dyDescent="0.2">
      <c r="J926" s="70"/>
    </row>
    <row r="927" spans="10:10" ht="15.75" customHeight="1" x14ac:dyDescent="0.2">
      <c r="J927" s="70"/>
    </row>
    <row r="928" spans="10:10" ht="15.75" customHeight="1" x14ac:dyDescent="0.2">
      <c r="J928" s="70"/>
    </row>
    <row r="929" spans="10:10" ht="15.75" customHeight="1" x14ac:dyDescent="0.2">
      <c r="J929" s="70"/>
    </row>
    <row r="930" spans="10:10" ht="15.75" customHeight="1" x14ac:dyDescent="0.2">
      <c r="J930" s="70"/>
    </row>
    <row r="931" spans="10:10" ht="15.75" customHeight="1" x14ac:dyDescent="0.2">
      <c r="J931" s="70"/>
    </row>
    <row r="932" spans="10:10" ht="15.75" customHeight="1" x14ac:dyDescent="0.2">
      <c r="J932" s="70"/>
    </row>
    <row r="933" spans="10:10" ht="15.75" customHeight="1" x14ac:dyDescent="0.2">
      <c r="J933" s="70"/>
    </row>
    <row r="934" spans="10:10" ht="15.75" customHeight="1" x14ac:dyDescent="0.2">
      <c r="J934" s="70"/>
    </row>
    <row r="935" spans="10:10" ht="15.75" customHeight="1" x14ac:dyDescent="0.2">
      <c r="J935" s="70"/>
    </row>
    <row r="936" spans="10:10" ht="15.75" customHeight="1" x14ac:dyDescent="0.2">
      <c r="J936" s="70"/>
    </row>
    <row r="937" spans="10:10" ht="15.75" customHeight="1" x14ac:dyDescent="0.2">
      <c r="J937" s="70"/>
    </row>
    <row r="938" spans="10:10" ht="15.75" customHeight="1" x14ac:dyDescent="0.2">
      <c r="J938" s="70"/>
    </row>
    <row r="939" spans="10:10" ht="15.75" customHeight="1" x14ac:dyDescent="0.2">
      <c r="J939" s="70"/>
    </row>
    <row r="940" spans="10:10" ht="15.75" customHeight="1" x14ac:dyDescent="0.2">
      <c r="J940" s="70"/>
    </row>
    <row r="941" spans="10:10" ht="15.75" customHeight="1" x14ac:dyDescent="0.2">
      <c r="J941" s="70"/>
    </row>
    <row r="942" spans="10:10" ht="15.75" customHeight="1" x14ac:dyDescent="0.2">
      <c r="J942" s="70"/>
    </row>
    <row r="943" spans="10:10" ht="15.75" customHeight="1" x14ac:dyDescent="0.2">
      <c r="J943" s="70"/>
    </row>
    <row r="944" spans="10:10" ht="15.75" customHeight="1" x14ac:dyDescent="0.2">
      <c r="J944" s="70"/>
    </row>
    <row r="945" spans="10:10" ht="15.75" customHeight="1" x14ac:dyDescent="0.2">
      <c r="J945" s="70"/>
    </row>
    <row r="946" spans="10:10" ht="15.75" customHeight="1" x14ac:dyDescent="0.2">
      <c r="J946" s="70"/>
    </row>
    <row r="947" spans="10:10" ht="15.75" customHeight="1" x14ac:dyDescent="0.2">
      <c r="J947" s="70"/>
    </row>
    <row r="948" spans="10:10" ht="15.75" customHeight="1" x14ac:dyDescent="0.2">
      <c r="J948" s="70"/>
    </row>
    <row r="949" spans="10:10" ht="15.75" customHeight="1" x14ac:dyDescent="0.2">
      <c r="J949" s="70"/>
    </row>
    <row r="950" spans="10:10" ht="15.75" customHeight="1" x14ac:dyDescent="0.2">
      <c r="J950" s="70"/>
    </row>
    <row r="951" spans="10:10" ht="15.75" customHeight="1" x14ac:dyDescent="0.2">
      <c r="J951" s="70"/>
    </row>
    <row r="952" spans="10:10" ht="15.75" customHeight="1" x14ac:dyDescent="0.2">
      <c r="J952" s="70"/>
    </row>
    <row r="953" spans="10:10" ht="15.75" customHeight="1" x14ac:dyDescent="0.2">
      <c r="J953" s="70"/>
    </row>
    <row r="954" spans="10:10" ht="15.75" customHeight="1" x14ac:dyDescent="0.2">
      <c r="J954" s="70"/>
    </row>
    <row r="955" spans="10:10" ht="15.75" customHeight="1" x14ac:dyDescent="0.2">
      <c r="J955" s="70"/>
    </row>
    <row r="956" spans="10:10" ht="15.75" customHeight="1" x14ac:dyDescent="0.2">
      <c r="J956" s="70"/>
    </row>
    <row r="957" spans="10:10" ht="15.75" customHeight="1" x14ac:dyDescent="0.2">
      <c r="J957" s="70"/>
    </row>
    <row r="958" spans="10:10" ht="15.75" customHeight="1" x14ac:dyDescent="0.2">
      <c r="J958" s="70"/>
    </row>
    <row r="959" spans="10:10" ht="15.75" customHeight="1" x14ac:dyDescent="0.2">
      <c r="J959" s="70"/>
    </row>
    <row r="960" spans="10:10" ht="15.75" customHeight="1" x14ac:dyDescent="0.2">
      <c r="J960" s="70"/>
    </row>
    <row r="961" spans="10:10" ht="15.75" customHeight="1" x14ac:dyDescent="0.2">
      <c r="J961" s="70"/>
    </row>
    <row r="962" spans="10:10" ht="15.75" customHeight="1" x14ac:dyDescent="0.2">
      <c r="J962" s="70"/>
    </row>
    <row r="963" spans="10:10" ht="15.75" customHeight="1" x14ac:dyDescent="0.2">
      <c r="J963" s="70"/>
    </row>
    <row r="964" spans="10:10" ht="15.75" customHeight="1" x14ac:dyDescent="0.2">
      <c r="J964" s="70"/>
    </row>
    <row r="965" spans="10:10" ht="15.75" customHeight="1" x14ac:dyDescent="0.2">
      <c r="J965" s="70"/>
    </row>
    <row r="966" spans="10:10" ht="15.75" customHeight="1" x14ac:dyDescent="0.2">
      <c r="J966" s="70"/>
    </row>
    <row r="967" spans="10:10" ht="15.75" customHeight="1" x14ac:dyDescent="0.2">
      <c r="J967" s="70"/>
    </row>
    <row r="968" spans="10:10" ht="15.75" customHeight="1" x14ac:dyDescent="0.2">
      <c r="J968" s="70"/>
    </row>
    <row r="969" spans="10:10" ht="15.75" customHeight="1" x14ac:dyDescent="0.2">
      <c r="J969" s="70"/>
    </row>
    <row r="970" spans="10:10" ht="15.75" customHeight="1" x14ac:dyDescent="0.2">
      <c r="J970" s="70"/>
    </row>
    <row r="971" spans="10:10" ht="15.75" customHeight="1" x14ac:dyDescent="0.2">
      <c r="J971" s="70"/>
    </row>
    <row r="972" spans="10:10" ht="15.75" customHeight="1" x14ac:dyDescent="0.2">
      <c r="J972" s="70"/>
    </row>
    <row r="973" spans="10:10" ht="15.75" customHeight="1" x14ac:dyDescent="0.2">
      <c r="J973" s="70"/>
    </row>
    <row r="974" spans="10:10" ht="15.75" customHeight="1" x14ac:dyDescent="0.2">
      <c r="J974" s="70"/>
    </row>
    <row r="975" spans="10:10" ht="15.75" customHeight="1" x14ac:dyDescent="0.2">
      <c r="J975" s="70"/>
    </row>
    <row r="976" spans="10:10" ht="15.75" customHeight="1" x14ac:dyDescent="0.2">
      <c r="J976" s="70"/>
    </row>
    <row r="977" spans="10:10" ht="15.75" customHeight="1" x14ac:dyDescent="0.2">
      <c r="J977" s="70"/>
    </row>
    <row r="978" spans="10:10" ht="15.75" customHeight="1" x14ac:dyDescent="0.2">
      <c r="J978" s="70"/>
    </row>
    <row r="979" spans="10:10" ht="15.75" customHeight="1" x14ac:dyDescent="0.2">
      <c r="J979" s="70"/>
    </row>
    <row r="980" spans="10:10" ht="15.75" customHeight="1" x14ac:dyDescent="0.2">
      <c r="J980" s="70"/>
    </row>
    <row r="981" spans="10:10" ht="15.75" customHeight="1" x14ac:dyDescent="0.2">
      <c r="J981" s="70"/>
    </row>
    <row r="982" spans="10:10" ht="15.75" customHeight="1" x14ac:dyDescent="0.2">
      <c r="J982" s="70"/>
    </row>
    <row r="983" spans="10:10" ht="15.75" customHeight="1" x14ac:dyDescent="0.2">
      <c r="J983" s="70"/>
    </row>
    <row r="984" spans="10:10" ht="15.75" customHeight="1" x14ac:dyDescent="0.2">
      <c r="J984" s="70"/>
    </row>
    <row r="985" spans="10:10" ht="15.75" customHeight="1" x14ac:dyDescent="0.2">
      <c r="J985" s="70"/>
    </row>
    <row r="986" spans="10:10" ht="15.75" customHeight="1" x14ac:dyDescent="0.2">
      <c r="J986" s="70"/>
    </row>
    <row r="987" spans="10:10" ht="15.75" customHeight="1" x14ac:dyDescent="0.2">
      <c r="J987" s="70"/>
    </row>
    <row r="988" spans="10:10" ht="15.75" customHeight="1" x14ac:dyDescent="0.2">
      <c r="J988" s="70"/>
    </row>
    <row r="989" spans="10:10" ht="15.75" customHeight="1" x14ac:dyDescent="0.2">
      <c r="J989" s="70"/>
    </row>
    <row r="990" spans="10:10" ht="15.75" customHeight="1" x14ac:dyDescent="0.2">
      <c r="J990" s="70"/>
    </row>
    <row r="991" spans="10:10" ht="15.75" customHeight="1" x14ac:dyDescent="0.2">
      <c r="J991" s="70"/>
    </row>
    <row r="992" spans="10:10" ht="15.75" customHeight="1" x14ac:dyDescent="0.2">
      <c r="J992" s="70"/>
    </row>
    <row r="993" spans="10:10" ht="15.75" customHeight="1" x14ac:dyDescent="0.2">
      <c r="J993" s="70"/>
    </row>
    <row r="994" spans="10:10" ht="15.75" customHeight="1" x14ac:dyDescent="0.2">
      <c r="J994" s="70"/>
    </row>
    <row r="995" spans="10:10" ht="15.75" customHeight="1" x14ac:dyDescent="0.2">
      <c r="J995" s="70"/>
    </row>
    <row r="996" spans="10:10" ht="15.75" customHeight="1" x14ac:dyDescent="0.2">
      <c r="J996" s="70"/>
    </row>
    <row r="997" spans="10:10" ht="15.75" customHeight="1" x14ac:dyDescent="0.2">
      <c r="J997" s="70"/>
    </row>
    <row r="998" spans="10:10" ht="15.75" customHeight="1" x14ac:dyDescent="0.2">
      <c r="J998" s="70"/>
    </row>
    <row r="999" spans="10:10" ht="15.75" customHeight="1" x14ac:dyDescent="0.2">
      <c r="J999" s="70"/>
    </row>
    <row r="1000" spans="10:10" ht="15.75" customHeight="1" x14ac:dyDescent="0.2">
      <c r="J1000" s="70"/>
    </row>
    <row r="1001" spans="10:10" ht="15.75" customHeight="1" x14ac:dyDescent="0.2">
      <c r="J1001" s="70"/>
    </row>
    <row r="1002" spans="10:10" ht="15.75" customHeight="1" x14ac:dyDescent="0.2">
      <c r="J1002" s="70"/>
    </row>
  </sheetData>
  <autoFilter ref="A1:M79" xr:uid="{9CF001ED-89F9-434C-99A9-88D4338B5150}"/>
  <hyperlinks>
    <hyperlink ref="L3" r:id="rId1" xr:uid="{00000000-0004-0000-0300-000000000000}"/>
    <hyperlink ref="L4" r:id="rId2" xr:uid="{00000000-0004-0000-0300-000001000000}"/>
    <hyperlink ref="L5" r:id="rId3" xr:uid="{00000000-0004-0000-0300-000002000000}"/>
    <hyperlink ref="K9" r:id="rId4" xr:uid="{00000000-0004-0000-0300-000003000000}"/>
    <hyperlink ref="K10" r:id="rId5" xr:uid="{00000000-0004-0000-0300-000004000000}"/>
    <hyperlink ref="L11" r:id="rId6" xr:uid="{00000000-0004-0000-0300-000005000000}"/>
    <hyperlink ref="L12" r:id="rId7" xr:uid="{00000000-0004-0000-0300-000006000000}"/>
    <hyperlink ref="L13" r:id="rId8" xr:uid="{00000000-0004-0000-0300-000007000000}"/>
    <hyperlink ref="K15" r:id="rId9" xr:uid="{00000000-0004-0000-0300-000008000000}"/>
    <hyperlink ref="L16" r:id="rId10" xr:uid="{00000000-0004-0000-0300-000009000000}"/>
    <hyperlink ref="K17" r:id="rId11" xr:uid="{00000000-0004-0000-0300-00000A000000}"/>
    <hyperlink ref="L18" r:id="rId12" xr:uid="{00000000-0004-0000-0300-00000B000000}"/>
    <hyperlink ref="K19" r:id="rId13" xr:uid="{00000000-0004-0000-0300-00000C000000}"/>
    <hyperlink ref="L20" r:id="rId14" xr:uid="{00000000-0004-0000-0300-00000D000000}"/>
    <hyperlink ref="K22" r:id="rId15" xr:uid="{00000000-0004-0000-0300-00000E000000}"/>
    <hyperlink ref="K23" r:id="rId16" xr:uid="{00000000-0004-0000-0300-00000F000000}"/>
    <hyperlink ref="K24" r:id="rId17" xr:uid="{00000000-0004-0000-0300-000010000000}"/>
    <hyperlink ref="K26" r:id="rId18" xr:uid="{00000000-0004-0000-0300-000011000000}"/>
    <hyperlink ref="K29" r:id="rId19" xr:uid="{00000000-0004-0000-0300-000012000000}"/>
    <hyperlink ref="K30" r:id="rId20" xr:uid="{00000000-0004-0000-0300-000013000000}"/>
    <hyperlink ref="K31" r:id="rId21" xr:uid="{00000000-0004-0000-0300-000014000000}"/>
    <hyperlink ref="L32" r:id="rId22" xr:uid="{00000000-0004-0000-0300-000015000000}"/>
    <hyperlink ref="K33" r:id="rId23" xr:uid="{00000000-0004-0000-0300-000016000000}"/>
    <hyperlink ref="K34" r:id="rId24" xr:uid="{00000000-0004-0000-0300-000017000000}"/>
    <hyperlink ref="K36" r:id="rId25" xr:uid="{00000000-0004-0000-0300-000018000000}"/>
    <hyperlink ref="L37" r:id="rId26" xr:uid="{00000000-0004-0000-0300-000019000000}"/>
    <hyperlink ref="L38" r:id="rId27" xr:uid="{00000000-0004-0000-0300-00001A000000}"/>
    <hyperlink ref="L39" r:id="rId28" xr:uid="{00000000-0004-0000-0300-00001B000000}"/>
    <hyperlink ref="L46" r:id="rId29" xr:uid="{00000000-0004-0000-0300-00001C000000}"/>
    <hyperlink ref="L48" r:id="rId30" xr:uid="{00000000-0004-0000-0300-00001D000000}"/>
    <hyperlink ref="L49" r:id="rId31" xr:uid="{00000000-0004-0000-0300-00001E000000}"/>
    <hyperlink ref="L51" r:id="rId32" xr:uid="{00000000-0004-0000-0300-00001F000000}"/>
    <hyperlink ref="L54" r:id="rId33" xr:uid="{00000000-0004-0000-0300-000020000000}"/>
    <hyperlink ref="L55" r:id="rId34" xr:uid="{00000000-0004-0000-0300-000021000000}"/>
    <hyperlink ref="K56" r:id="rId35" xr:uid="{00000000-0004-0000-0300-000022000000}"/>
    <hyperlink ref="K57" r:id="rId36" xr:uid="{00000000-0004-0000-0300-000023000000}"/>
    <hyperlink ref="L58" r:id="rId37" xr:uid="{00000000-0004-0000-0300-000024000000}"/>
    <hyperlink ref="K64" r:id="rId38" xr:uid="{00000000-0004-0000-0300-000025000000}"/>
    <hyperlink ref="K66" r:id="rId39" xr:uid="{00000000-0004-0000-0300-000026000000}"/>
    <hyperlink ref="K69" r:id="rId40" xr:uid="{00000000-0004-0000-0300-000027000000}"/>
    <hyperlink ref="L71" r:id="rId41" xr:uid="{00000000-0004-0000-0300-000028000000}"/>
    <hyperlink ref="L72" r:id="rId42" xr:uid="{00000000-0004-0000-0300-000029000000}"/>
    <hyperlink ref="K73" r:id="rId43" xr:uid="{00000000-0004-0000-0300-00002A000000}"/>
    <hyperlink ref="L74" r:id="rId44" xr:uid="{00000000-0004-0000-0300-00002B000000}"/>
    <hyperlink ref="L76" r:id="rId45" xr:uid="{00000000-0004-0000-0300-00002C000000}"/>
    <hyperlink ref="K78" r:id="rId46" xr:uid="{00000000-0004-0000-0300-00002D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defaultColWidth="10.109375" defaultRowHeight="15" customHeight="1" x14ac:dyDescent="0.2"/>
  <cols>
    <col min="1" max="1" width="15.44140625" customWidth="1"/>
    <col min="2" max="2" width="8.44140625" customWidth="1"/>
    <col min="3" max="3" width="15.44140625" customWidth="1"/>
    <col min="4" max="4" width="20.44140625" customWidth="1"/>
    <col min="5" max="5" width="11.44140625" customWidth="1"/>
    <col min="6" max="6" width="7.44140625" customWidth="1"/>
    <col min="7" max="7" width="9" customWidth="1"/>
    <col min="8" max="8" width="4.109375" customWidth="1"/>
    <col min="9" max="9" width="9.6640625" customWidth="1"/>
    <col min="10" max="10" width="8.44140625" customWidth="1"/>
    <col min="11" max="11" width="11.33203125" customWidth="1"/>
    <col min="12" max="12" width="8.44140625" customWidth="1"/>
    <col min="13" max="13" width="14.44140625" customWidth="1"/>
    <col min="14" max="14" width="9.6640625" customWidth="1"/>
    <col min="15" max="27" width="8.44140625" customWidth="1"/>
  </cols>
  <sheetData>
    <row r="1" spans="1:27" ht="15" customHeight="1" x14ac:dyDescent="0.25">
      <c r="A1" s="71" t="s">
        <v>230</v>
      </c>
      <c r="B1" s="145"/>
      <c r="C1" s="71" t="s">
        <v>231</v>
      </c>
      <c r="D1" s="71" t="s">
        <v>232</v>
      </c>
      <c r="E1" s="146" t="s">
        <v>233</v>
      </c>
      <c r="F1" s="71" t="s">
        <v>234</v>
      </c>
      <c r="G1" s="71" t="s">
        <v>235</v>
      </c>
      <c r="H1" s="71" t="s">
        <v>236</v>
      </c>
      <c r="I1" s="71" t="s">
        <v>237</v>
      </c>
      <c r="J1" s="71"/>
      <c r="K1" s="146" t="s">
        <v>238</v>
      </c>
      <c r="L1" s="71" t="s">
        <v>234</v>
      </c>
      <c r="M1" s="71" t="s">
        <v>235</v>
      </c>
      <c r="N1" s="71" t="s">
        <v>236</v>
      </c>
      <c r="O1" s="71" t="s">
        <v>239</v>
      </c>
      <c r="P1" s="71" t="s">
        <v>240</v>
      </c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</row>
    <row r="2" spans="1:27" ht="15" customHeight="1" x14ac:dyDescent="0.25">
      <c r="A2" s="147" t="s">
        <v>241</v>
      </c>
      <c r="B2" s="148">
        <v>76</v>
      </c>
      <c r="C2" s="149" t="s">
        <v>242</v>
      </c>
      <c r="D2" s="150">
        <v>45006</v>
      </c>
      <c r="E2" s="151">
        <v>96.8</v>
      </c>
      <c r="F2" s="151">
        <v>1.82</v>
      </c>
      <c r="G2" s="149">
        <v>0.32</v>
      </c>
      <c r="H2" s="152">
        <v>6.1</v>
      </c>
      <c r="I2" s="153"/>
      <c r="J2" s="149"/>
      <c r="K2" s="149"/>
      <c r="L2" s="149"/>
      <c r="M2" s="149"/>
      <c r="N2" s="154"/>
      <c r="O2" s="155">
        <f t="shared" ref="O2:O4" si="0">E2*25</f>
        <v>2420</v>
      </c>
    </row>
    <row r="3" spans="1:27" ht="15" customHeight="1" x14ac:dyDescent="0.25">
      <c r="A3" s="156" t="s">
        <v>243</v>
      </c>
      <c r="B3" s="157">
        <v>11</v>
      </c>
      <c r="C3" s="29" t="s">
        <v>244</v>
      </c>
      <c r="D3" s="98">
        <v>45224</v>
      </c>
      <c r="E3" s="71">
        <v>41.3</v>
      </c>
      <c r="F3" s="71">
        <v>2.0099999999999998</v>
      </c>
      <c r="G3" s="29">
        <v>0.52</v>
      </c>
      <c r="H3" s="158">
        <v>6.8</v>
      </c>
      <c r="I3" s="159"/>
      <c r="J3" s="160" t="s">
        <v>245</v>
      </c>
      <c r="K3" s="29">
        <v>17.399999999999999</v>
      </c>
      <c r="L3" s="29">
        <v>1.83</v>
      </c>
      <c r="M3" s="29">
        <v>0.49</v>
      </c>
      <c r="N3" s="161">
        <v>3.1</v>
      </c>
      <c r="O3" s="155">
        <f t="shared" si="0"/>
        <v>1032.5</v>
      </c>
    </row>
    <row r="4" spans="1:27" ht="15" customHeight="1" x14ac:dyDescent="0.25">
      <c r="A4" s="156" t="s">
        <v>246</v>
      </c>
      <c r="B4" s="162">
        <v>10</v>
      </c>
      <c r="C4" s="29" t="s">
        <v>247</v>
      </c>
      <c r="D4" s="98">
        <v>45224</v>
      </c>
      <c r="E4" s="71">
        <v>63.9</v>
      </c>
      <c r="F4" s="71">
        <v>1.86</v>
      </c>
      <c r="G4" s="29">
        <v>0.62</v>
      </c>
      <c r="H4" s="158">
        <v>6.6</v>
      </c>
      <c r="I4" s="159"/>
      <c r="J4" s="29" t="s">
        <v>248</v>
      </c>
      <c r="K4" s="29">
        <v>19.100000000000001</v>
      </c>
      <c r="L4" s="29">
        <v>1.83</v>
      </c>
      <c r="M4" s="29">
        <v>0.57999999999999996</v>
      </c>
      <c r="N4" s="161">
        <v>3.8</v>
      </c>
      <c r="O4" s="155">
        <f t="shared" si="0"/>
        <v>1597.5</v>
      </c>
    </row>
    <row r="5" spans="1:27" ht="15" customHeight="1" x14ac:dyDescent="0.2">
      <c r="A5" s="156" t="s">
        <v>249</v>
      </c>
      <c r="B5" s="157" t="s">
        <v>19</v>
      </c>
      <c r="C5" s="29" t="s">
        <v>250</v>
      </c>
      <c r="D5" s="98">
        <v>45196</v>
      </c>
      <c r="E5" s="29">
        <v>121.4</v>
      </c>
      <c r="F5" s="29">
        <v>1.94</v>
      </c>
      <c r="G5" s="29">
        <v>0.42</v>
      </c>
      <c r="H5" s="161">
        <v>2.8</v>
      </c>
      <c r="I5" s="159"/>
      <c r="J5" s="29"/>
      <c r="K5" s="29"/>
      <c r="L5" s="29"/>
      <c r="M5" s="29"/>
      <c r="N5" s="161"/>
    </row>
    <row r="6" spans="1:27" ht="15" customHeight="1" x14ac:dyDescent="0.2">
      <c r="A6" s="156" t="s">
        <v>251</v>
      </c>
      <c r="B6" s="157">
        <v>9</v>
      </c>
      <c r="C6" s="29" t="s">
        <v>252</v>
      </c>
      <c r="D6" s="98">
        <v>45223</v>
      </c>
      <c r="E6" s="29">
        <v>3.6</v>
      </c>
      <c r="F6" s="29">
        <v>1.68</v>
      </c>
      <c r="G6" s="29">
        <v>2.0099999999999998</v>
      </c>
      <c r="H6" s="161">
        <v>3.5</v>
      </c>
      <c r="I6" s="159"/>
      <c r="J6" s="29"/>
      <c r="K6" s="29"/>
      <c r="L6" s="29"/>
      <c r="M6" s="29"/>
      <c r="N6" s="161"/>
    </row>
    <row r="7" spans="1:27" ht="15" customHeight="1" x14ac:dyDescent="0.2">
      <c r="A7" s="156" t="s">
        <v>253</v>
      </c>
      <c r="B7" s="157" t="s">
        <v>45</v>
      </c>
      <c r="C7" s="29" t="s">
        <v>254</v>
      </c>
      <c r="D7" s="98">
        <v>45196</v>
      </c>
      <c r="E7" s="29">
        <v>154</v>
      </c>
      <c r="F7" s="29">
        <v>1.93</v>
      </c>
      <c r="G7" s="29">
        <v>0.42</v>
      </c>
      <c r="H7" s="161">
        <v>2.2999999999999998</v>
      </c>
      <c r="I7" s="159"/>
      <c r="J7" s="29"/>
      <c r="K7" s="29"/>
      <c r="L7" s="29"/>
      <c r="M7" s="29"/>
      <c r="N7" s="161"/>
    </row>
    <row r="8" spans="1:27" ht="15" customHeight="1" x14ac:dyDescent="0.2">
      <c r="A8" s="156" t="s">
        <v>255</v>
      </c>
      <c r="B8" s="157">
        <v>1</v>
      </c>
      <c r="C8" s="29" t="s">
        <v>256</v>
      </c>
      <c r="D8" s="98">
        <v>45223</v>
      </c>
      <c r="E8" s="29">
        <v>9.8000000000000007</v>
      </c>
      <c r="F8" s="29">
        <v>1.97</v>
      </c>
      <c r="G8" s="29">
        <v>0.78</v>
      </c>
      <c r="H8" s="161">
        <v>3.3</v>
      </c>
      <c r="I8" s="159"/>
      <c r="J8" s="29"/>
      <c r="K8" s="29"/>
      <c r="L8" s="29"/>
      <c r="M8" s="29"/>
      <c r="N8" s="161"/>
    </row>
    <row r="9" spans="1:27" ht="15" customHeight="1" x14ac:dyDescent="0.2">
      <c r="A9" s="156" t="s">
        <v>257</v>
      </c>
      <c r="B9" s="157">
        <v>19</v>
      </c>
      <c r="C9" s="29" t="s">
        <v>258</v>
      </c>
      <c r="D9" s="98">
        <v>45229</v>
      </c>
      <c r="E9" s="29">
        <v>101.5</v>
      </c>
      <c r="F9" s="29">
        <v>1.81</v>
      </c>
      <c r="G9" s="29">
        <v>0.62</v>
      </c>
      <c r="H9" s="161">
        <v>3.6</v>
      </c>
      <c r="I9" s="159"/>
      <c r="J9" s="29" t="s">
        <v>259</v>
      </c>
      <c r="K9" s="29">
        <v>23.5</v>
      </c>
      <c r="L9" s="29">
        <v>1.57</v>
      </c>
      <c r="M9" s="29">
        <v>0.59</v>
      </c>
      <c r="N9" s="161">
        <v>3</v>
      </c>
    </row>
    <row r="10" spans="1:27" ht="15" customHeight="1" x14ac:dyDescent="0.2">
      <c r="A10" s="156" t="s">
        <v>260</v>
      </c>
      <c r="B10" s="157">
        <v>68</v>
      </c>
      <c r="C10" s="29" t="s">
        <v>261</v>
      </c>
      <c r="D10" s="98">
        <v>45188</v>
      </c>
      <c r="E10" s="29">
        <v>175</v>
      </c>
      <c r="F10" s="29">
        <v>1.96</v>
      </c>
      <c r="G10" s="29">
        <v>0.85</v>
      </c>
      <c r="H10" s="161">
        <v>5.4</v>
      </c>
      <c r="I10" s="159"/>
      <c r="J10" s="29"/>
      <c r="K10" s="29"/>
      <c r="L10" s="29"/>
      <c r="M10" s="29"/>
      <c r="N10" s="161"/>
    </row>
    <row r="11" spans="1:27" ht="15" customHeight="1" x14ac:dyDescent="0.2">
      <c r="A11" s="163" t="s">
        <v>262</v>
      </c>
      <c r="B11" s="164">
        <v>18</v>
      </c>
      <c r="C11" s="165" t="s">
        <v>263</v>
      </c>
      <c r="D11" s="166">
        <v>45229</v>
      </c>
      <c r="E11" s="165">
        <v>67</v>
      </c>
      <c r="F11" s="165">
        <v>1.63</v>
      </c>
      <c r="G11" s="165">
        <v>0.51</v>
      </c>
      <c r="H11" s="167">
        <v>2.9</v>
      </c>
      <c r="I11" s="168"/>
      <c r="J11" s="29" t="s">
        <v>264</v>
      </c>
      <c r="K11" s="29">
        <v>67.5</v>
      </c>
      <c r="L11" s="29">
        <v>1.5</v>
      </c>
      <c r="M11" s="29">
        <v>0.6</v>
      </c>
      <c r="N11" s="161">
        <v>3.2</v>
      </c>
    </row>
    <row r="12" spans="1:27" ht="15" customHeight="1" x14ac:dyDescent="0.25">
      <c r="A12" s="169" t="s">
        <v>265</v>
      </c>
      <c r="B12" s="157">
        <v>12</v>
      </c>
      <c r="C12" s="29" t="s">
        <v>266</v>
      </c>
      <c r="D12" s="98">
        <v>45224</v>
      </c>
      <c r="E12" s="71">
        <v>42.3</v>
      </c>
      <c r="F12" s="71">
        <v>1.58</v>
      </c>
      <c r="G12" s="29">
        <v>0.61</v>
      </c>
      <c r="H12" s="158">
        <v>7</v>
      </c>
      <c r="I12" s="170"/>
      <c r="J12" s="170" t="s">
        <v>267</v>
      </c>
      <c r="K12" s="149">
        <v>16</v>
      </c>
      <c r="L12" s="149">
        <v>1.66</v>
      </c>
      <c r="M12" s="149">
        <v>0.56000000000000005</v>
      </c>
      <c r="N12" s="154">
        <v>4.0999999999999996</v>
      </c>
      <c r="O12" s="171">
        <f t="shared" ref="O12:O14" si="1">E12*25</f>
        <v>1057.5</v>
      </c>
    </row>
    <row r="13" spans="1:27" ht="15" customHeight="1" x14ac:dyDescent="0.25">
      <c r="A13" s="169" t="s">
        <v>268</v>
      </c>
      <c r="B13" s="157">
        <v>3</v>
      </c>
      <c r="C13" s="29" t="s">
        <v>269</v>
      </c>
      <c r="D13" s="98">
        <v>45223</v>
      </c>
      <c r="E13" s="71">
        <v>23.5</v>
      </c>
      <c r="F13" s="71">
        <v>2.08</v>
      </c>
      <c r="G13" s="29">
        <v>1.34</v>
      </c>
      <c r="H13" s="158">
        <v>7.6</v>
      </c>
      <c r="I13" s="172">
        <v>5.7</v>
      </c>
      <c r="J13" s="172"/>
      <c r="K13" s="29"/>
      <c r="L13" s="29"/>
      <c r="M13" s="29"/>
      <c r="N13" s="161"/>
      <c r="O13" s="171">
        <f t="shared" si="1"/>
        <v>587.5</v>
      </c>
    </row>
    <row r="14" spans="1:27" ht="15" customHeight="1" x14ac:dyDescent="0.25">
      <c r="A14" s="169" t="s">
        <v>270</v>
      </c>
      <c r="B14" s="157">
        <v>21</v>
      </c>
      <c r="C14" s="29" t="s">
        <v>271</v>
      </c>
      <c r="D14" s="98">
        <v>45229</v>
      </c>
      <c r="E14" s="71">
        <v>39.299999999999997</v>
      </c>
      <c r="F14" s="71">
        <v>1.87</v>
      </c>
      <c r="G14" s="29">
        <v>0.51</v>
      </c>
      <c r="H14" s="158">
        <v>6.8</v>
      </c>
      <c r="I14" s="172"/>
      <c r="J14" s="172" t="s">
        <v>272</v>
      </c>
      <c r="K14" s="29">
        <v>21.2</v>
      </c>
      <c r="L14" s="29">
        <v>1.63</v>
      </c>
      <c r="M14" s="29">
        <v>0.57999999999999996</v>
      </c>
      <c r="N14" s="161">
        <v>0</v>
      </c>
      <c r="O14" s="171">
        <f t="shared" si="1"/>
        <v>982.49999999999989</v>
      </c>
    </row>
    <row r="15" spans="1:27" ht="15" customHeight="1" x14ac:dyDescent="0.2">
      <c r="A15" s="169" t="s">
        <v>273</v>
      </c>
      <c r="B15" s="162">
        <v>77</v>
      </c>
      <c r="C15" s="29" t="s">
        <v>274</v>
      </c>
      <c r="D15" s="98">
        <v>45061</v>
      </c>
      <c r="E15" s="29">
        <v>9.9</v>
      </c>
      <c r="F15" s="29">
        <v>1.75</v>
      </c>
      <c r="G15" s="29">
        <v>0.42</v>
      </c>
      <c r="H15" s="161">
        <v>5.8</v>
      </c>
      <c r="I15" s="172"/>
      <c r="J15" s="172"/>
      <c r="K15" s="29"/>
      <c r="L15" s="29"/>
      <c r="M15" s="29"/>
      <c r="N15" s="161"/>
    </row>
    <row r="16" spans="1:27" ht="15" customHeight="1" x14ac:dyDescent="0.2">
      <c r="A16" s="169" t="s">
        <v>275</v>
      </c>
      <c r="B16" s="157">
        <v>2</v>
      </c>
      <c r="C16" s="29" t="s">
        <v>276</v>
      </c>
      <c r="D16" s="98">
        <v>45223</v>
      </c>
      <c r="E16" s="29">
        <v>19.100000000000001</v>
      </c>
      <c r="F16" s="29">
        <v>1.99</v>
      </c>
      <c r="G16" s="29">
        <v>0.67</v>
      </c>
      <c r="H16" s="161">
        <v>5.6</v>
      </c>
      <c r="I16" s="172"/>
      <c r="J16" s="172"/>
      <c r="K16" s="29"/>
      <c r="L16" s="29"/>
      <c r="M16" s="29"/>
      <c r="N16" s="161"/>
    </row>
    <row r="17" spans="1:16" ht="15" customHeight="1" x14ac:dyDescent="0.2">
      <c r="A17" s="169" t="s">
        <v>277</v>
      </c>
      <c r="B17" s="157">
        <v>13</v>
      </c>
      <c r="C17" s="29" t="s">
        <v>278</v>
      </c>
      <c r="D17" s="98">
        <v>45224</v>
      </c>
      <c r="E17" s="29">
        <v>7</v>
      </c>
      <c r="F17" s="29">
        <v>1.58</v>
      </c>
      <c r="G17" s="29">
        <v>0.65</v>
      </c>
      <c r="H17" s="161">
        <v>1.4</v>
      </c>
      <c r="I17" s="172"/>
      <c r="J17" s="172" t="s">
        <v>279</v>
      </c>
      <c r="K17" s="29">
        <v>3.9</v>
      </c>
      <c r="L17" s="29">
        <v>1.5</v>
      </c>
      <c r="M17" s="29">
        <v>0.53</v>
      </c>
      <c r="N17" s="161">
        <v>1.3</v>
      </c>
    </row>
    <row r="18" spans="1:16" ht="15" customHeight="1" x14ac:dyDescent="0.2">
      <c r="A18" s="169" t="s">
        <v>280</v>
      </c>
      <c r="B18" s="157">
        <v>73</v>
      </c>
      <c r="C18" s="29" t="s">
        <v>281</v>
      </c>
      <c r="D18" s="98">
        <v>44998</v>
      </c>
      <c r="E18" s="29">
        <v>294.8</v>
      </c>
      <c r="F18" s="29">
        <v>1.84</v>
      </c>
      <c r="G18" s="29">
        <v>0.42</v>
      </c>
      <c r="H18" s="161">
        <v>4</v>
      </c>
      <c r="I18" s="172"/>
      <c r="J18" s="172"/>
      <c r="K18" s="29"/>
      <c r="L18" s="29"/>
      <c r="M18" s="29"/>
      <c r="N18" s="161"/>
    </row>
    <row r="19" spans="1:16" ht="15" customHeight="1" x14ac:dyDescent="0.2">
      <c r="A19" s="169" t="s">
        <v>282</v>
      </c>
      <c r="B19" s="157">
        <v>70</v>
      </c>
      <c r="C19" s="29" t="s">
        <v>283</v>
      </c>
      <c r="D19" s="98">
        <v>45011</v>
      </c>
      <c r="E19" s="29">
        <v>242.9</v>
      </c>
      <c r="F19" s="29">
        <v>1.89</v>
      </c>
      <c r="G19" s="29">
        <v>0.4</v>
      </c>
      <c r="H19" s="161">
        <v>2.9</v>
      </c>
      <c r="I19" s="172"/>
      <c r="J19" s="172"/>
      <c r="K19" s="29"/>
      <c r="L19" s="29"/>
      <c r="M19" s="29"/>
      <c r="N19" s="161"/>
    </row>
    <row r="20" spans="1:16" ht="15" customHeight="1" x14ac:dyDescent="0.2">
      <c r="A20" s="169" t="s">
        <v>284</v>
      </c>
      <c r="B20" s="157">
        <v>7</v>
      </c>
      <c r="C20" s="29" t="s">
        <v>285</v>
      </c>
      <c r="D20" s="98">
        <v>45223</v>
      </c>
      <c r="E20" s="29">
        <v>12.5</v>
      </c>
      <c r="F20" s="29">
        <v>1.96</v>
      </c>
      <c r="G20" s="29">
        <v>0.74</v>
      </c>
      <c r="H20" s="161">
        <v>3.7</v>
      </c>
      <c r="I20" s="172"/>
      <c r="J20" s="172"/>
      <c r="K20" s="29"/>
      <c r="L20" s="29"/>
      <c r="M20" s="29"/>
      <c r="N20" s="161"/>
    </row>
    <row r="21" spans="1:16" ht="15" customHeight="1" x14ac:dyDescent="0.25">
      <c r="A21" s="169" t="s">
        <v>286</v>
      </c>
      <c r="B21" s="157">
        <v>20</v>
      </c>
      <c r="C21" s="29" t="s">
        <v>287</v>
      </c>
      <c r="D21" s="98">
        <v>45229</v>
      </c>
      <c r="E21" s="71">
        <v>78.400000000000006</v>
      </c>
      <c r="F21" s="71">
        <v>1.9</v>
      </c>
      <c r="G21" s="29">
        <v>0.62</v>
      </c>
      <c r="H21" s="158">
        <v>7.5</v>
      </c>
      <c r="I21" s="173"/>
      <c r="J21" s="173" t="s">
        <v>288</v>
      </c>
      <c r="K21" s="165">
        <v>15.8</v>
      </c>
      <c r="L21" s="165">
        <v>1.78</v>
      </c>
      <c r="M21" s="165">
        <v>0.67</v>
      </c>
      <c r="N21" s="167">
        <v>5.2</v>
      </c>
      <c r="O21" s="171">
        <f t="shared" ref="O21:O23" si="2">E21*25</f>
        <v>1960.0000000000002</v>
      </c>
    </row>
    <row r="22" spans="1:16" ht="15.75" x14ac:dyDescent="0.25">
      <c r="A22" s="174" t="s">
        <v>289</v>
      </c>
      <c r="B22" s="175">
        <v>23</v>
      </c>
      <c r="C22" s="176" t="s">
        <v>290</v>
      </c>
      <c r="D22" s="177">
        <v>45229</v>
      </c>
      <c r="E22" s="178">
        <v>15.6</v>
      </c>
      <c r="F22" s="178">
        <v>1.91</v>
      </c>
      <c r="G22" s="176">
        <v>1.17</v>
      </c>
      <c r="H22" s="179">
        <v>7</v>
      </c>
      <c r="I22" s="149"/>
      <c r="J22" s="170" t="s">
        <v>291</v>
      </c>
      <c r="K22" s="151">
        <v>66.7</v>
      </c>
      <c r="L22" s="151">
        <v>1.43</v>
      </c>
      <c r="M22" s="149">
        <v>0.69</v>
      </c>
      <c r="N22" s="152">
        <v>8</v>
      </c>
      <c r="O22" s="29">
        <f t="shared" si="2"/>
        <v>390</v>
      </c>
      <c r="P22" s="180">
        <f t="shared" ref="P22:P23" si="3">K22*25</f>
        <v>1667.5</v>
      </c>
    </row>
    <row r="23" spans="1:16" ht="15.75" x14ac:dyDescent="0.25">
      <c r="A23" s="181" t="s">
        <v>292</v>
      </c>
      <c r="B23" s="157">
        <v>15</v>
      </c>
      <c r="C23" s="29" t="s">
        <v>293</v>
      </c>
      <c r="D23" s="98">
        <v>45224</v>
      </c>
      <c r="E23" s="71">
        <v>21.9</v>
      </c>
      <c r="F23" s="71">
        <v>2.0099999999999998</v>
      </c>
      <c r="G23" s="29">
        <v>0.68</v>
      </c>
      <c r="H23" s="182">
        <v>8.4</v>
      </c>
      <c r="I23" s="29"/>
      <c r="J23" s="172" t="s">
        <v>294</v>
      </c>
      <c r="K23" s="29">
        <v>65.8</v>
      </c>
      <c r="L23" s="29">
        <v>1.46</v>
      </c>
      <c r="M23" s="29">
        <v>0.61</v>
      </c>
      <c r="N23" s="158">
        <v>8.3000000000000007</v>
      </c>
      <c r="O23" s="180">
        <f t="shared" si="2"/>
        <v>547.5</v>
      </c>
      <c r="P23" s="180">
        <f t="shared" si="3"/>
        <v>1645</v>
      </c>
    </row>
    <row r="24" spans="1:16" x14ac:dyDescent="0.2">
      <c r="A24" s="181" t="s">
        <v>295</v>
      </c>
      <c r="B24" s="157">
        <v>84</v>
      </c>
      <c r="C24" s="29" t="s">
        <v>296</v>
      </c>
      <c r="D24" s="98">
        <v>45056</v>
      </c>
      <c r="E24" s="29">
        <v>14.4</v>
      </c>
      <c r="F24" s="29">
        <v>1.78</v>
      </c>
      <c r="G24" s="29">
        <v>0.52</v>
      </c>
      <c r="H24" s="183">
        <v>5.3</v>
      </c>
      <c r="I24" s="29"/>
      <c r="J24" s="172"/>
      <c r="K24" s="29"/>
      <c r="L24" s="29"/>
      <c r="M24" s="29"/>
      <c r="N24" s="161"/>
    </row>
    <row r="25" spans="1:16" ht="15.75" x14ac:dyDescent="0.25">
      <c r="A25" s="181" t="s">
        <v>297</v>
      </c>
      <c r="B25" s="157">
        <v>4</v>
      </c>
      <c r="C25" s="29" t="s">
        <v>298</v>
      </c>
      <c r="D25" s="98">
        <v>45223</v>
      </c>
      <c r="E25" s="71">
        <v>22.3</v>
      </c>
      <c r="F25" s="71">
        <v>1.91</v>
      </c>
      <c r="G25" s="29">
        <v>0.86</v>
      </c>
      <c r="H25" s="182">
        <v>7.5</v>
      </c>
      <c r="I25" s="29">
        <v>5.8</v>
      </c>
      <c r="J25" s="172"/>
      <c r="K25" s="29"/>
      <c r="L25" s="29"/>
      <c r="M25" s="29"/>
      <c r="N25" s="161"/>
      <c r="O25" s="180">
        <f t="shared" ref="O25:O26" si="4">E25*25</f>
        <v>557.5</v>
      </c>
    </row>
    <row r="26" spans="1:16" ht="15.75" x14ac:dyDescent="0.25">
      <c r="A26" s="181" t="s">
        <v>299</v>
      </c>
      <c r="B26" s="162">
        <v>10</v>
      </c>
      <c r="C26" s="29" t="s">
        <v>300</v>
      </c>
      <c r="D26" s="98">
        <v>45189</v>
      </c>
      <c r="E26" s="71">
        <v>15.6</v>
      </c>
      <c r="F26" s="71">
        <v>1.99</v>
      </c>
      <c r="G26" s="29">
        <v>0.66</v>
      </c>
      <c r="H26" s="182">
        <v>7.9</v>
      </c>
      <c r="I26" s="29"/>
      <c r="J26" s="172"/>
      <c r="K26" s="29"/>
      <c r="L26" s="29"/>
      <c r="M26" s="29"/>
      <c r="N26" s="161"/>
      <c r="O26" s="29">
        <f t="shared" si="4"/>
        <v>390</v>
      </c>
    </row>
    <row r="27" spans="1:16" x14ac:dyDescent="0.2">
      <c r="A27" s="181" t="s">
        <v>301</v>
      </c>
      <c r="B27" s="157">
        <v>86</v>
      </c>
      <c r="C27" s="29" t="s">
        <v>302</v>
      </c>
      <c r="D27" s="98">
        <v>45006</v>
      </c>
      <c r="E27" s="29">
        <v>13.1</v>
      </c>
      <c r="F27" s="29">
        <v>2.11</v>
      </c>
      <c r="G27" s="29">
        <v>0.69</v>
      </c>
      <c r="H27" s="183">
        <v>0</v>
      </c>
      <c r="I27" s="29"/>
      <c r="J27" s="172"/>
      <c r="K27" s="29"/>
      <c r="L27" s="29"/>
      <c r="M27" s="29"/>
      <c r="N27" s="161"/>
    </row>
    <row r="28" spans="1:16" x14ac:dyDescent="0.2">
      <c r="A28" s="181" t="s">
        <v>303</v>
      </c>
      <c r="B28" s="157">
        <v>91</v>
      </c>
      <c r="C28" s="29" t="s">
        <v>304</v>
      </c>
      <c r="D28" s="98">
        <v>45032</v>
      </c>
      <c r="E28" s="29">
        <v>89.8</v>
      </c>
      <c r="F28" s="29">
        <v>2.08</v>
      </c>
      <c r="G28" s="29">
        <v>0.6</v>
      </c>
      <c r="H28" s="183">
        <v>2.2999999999999998</v>
      </c>
      <c r="I28" s="29"/>
      <c r="J28" s="184">
        <v>91</v>
      </c>
      <c r="K28" s="29">
        <v>32.200000000000003</v>
      </c>
      <c r="L28" s="29">
        <v>2.13</v>
      </c>
      <c r="M28" s="29">
        <v>0.44</v>
      </c>
      <c r="N28" s="161">
        <v>4.0999999999999996</v>
      </c>
    </row>
    <row r="29" spans="1:16" x14ac:dyDescent="0.2">
      <c r="A29" s="181" t="s">
        <v>305</v>
      </c>
      <c r="B29" s="157">
        <v>22</v>
      </c>
      <c r="C29" s="29" t="s">
        <v>306</v>
      </c>
      <c r="D29" s="98">
        <v>45229</v>
      </c>
      <c r="E29" s="29">
        <v>10</v>
      </c>
      <c r="F29" s="29">
        <v>1.92</v>
      </c>
      <c r="G29" s="29">
        <v>0.43</v>
      </c>
      <c r="H29" s="183">
        <v>2.2000000000000002</v>
      </c>
      <c r="I29" s="29"/>
      <c r="J29" s="172" t="s">
        <v>307</v>
      </c>
      <c r="K29" s="29">
        <v>5.9</v>
      </c>
      <c r="L29" s="29">
        <v>1.66</v>
      </c>
      <c r="M29" s="29">
        <v>0.49</v>
      </c>
      <c r="N29" s="161">
        <v>2</v>
      </c>
    </row>
    <row r="30" spans="1:16" x14ac:dyDescent="0.2">
      <c r="A30" s="181" t="s">
        <v>308</v>
      </c>
      <c r="B30" s="157">
        <v>14</v>
      </c>
      <c r="C30" s="29" t="s">
        <v>309</v>
      </c>
      <c r="D30" s="98">
        <v>45224</v>
      </c>
      <c r="E30" s="29">
        <v>29.7</v>
      </c>
      <c r="F30" s="29">
        <v>1.9</v>
      </c>
      <c r="G30" s="29">
        <v>0.47</v>
      </c>
      <c r="H30" s="183">
        <v>5.7</v>
      </c>
      <c r="I30" s="29"/>
      <c r="J30" s="172" t="s">
        <v>310</v>
      </c>
      <c r="K30" s="29">
        <v>10.6</v>
      </c>
      <c r="L30" s="29">
        <v>1.91</v>
      </c>
      <c r="M30" s="29">
        <v>0.49</v>
      </c>
      <c r="N30" s="161">
        <v>3.9</v>
      </c>
    </row>
    <row r="31" spans="1:16" x14ac:dyDescent="0.2">
      <c r="A31" s="185" t="s">
        <v>311</v>
      </c>
      <c r="B31" s="186">
        <v>78</v>
      </c>
      <c r="C31" s="187" t="s">
        <v>312</v>
      </c>
      <c r="D31" s="188">
        <v>45188</v>
      </c>
      <c r="E31" s="187">
        <v>260</v>
      </c>
      <c r="F31" s="187">
        <v>1.8</v>
      </c>
      <c r="G31" s="187">
        <v>0.52</v>
      </c>
      <c r="H31" s="189">
        <v>2</v>
      </c>
      <c r="I31" s="165"/>
      <c r="J31" s="173"/>
      <c r="K31" s="165"/>
      <c r="L31" s="165"/>
      <c r="M31" s="165"/>
      <c r="N31" s="167"/>
    </row>
    <row r="32" spans="1:16" ht="15.75" x14ac:dyDescent="0.25">
      <c r="A32" s="190" t="s">
        <v>313</v>
      </c>
      <c r="B32" s="157">
        <v>85</v>
      </c>
      <c r="C32" s="29" t="s">
        <v>314</v>
      </c>
      <c r="D32" s="98">
        <v>45056</v>
      </c>
      <c r="E32" s="71">
        <v>13.8</v>
      </c>
      <c r="F32" s="71">
        <v>1.9</v>
      </c>
      <c r="G32" s="29">
        <v>0.7</v>
      </c>
      <c r="H32" s="158">
        <v>8.8000000000000007</v>
      </c>
      <c r="I32" s="153"/>
      <c r="J32" s="29"/>
      <c r="K32" s="29"/>
      <c r="L32" s="29"/>
      <c r="M32" s="29"/>
      <c r="N32" s="161"/>
      <c r="O32" s="29">
        <f>E32*25</f>
        <v>345</v>
      </c>
    </row>
    <row r="33" spans="1:17" x14ac:dyDescent="0.2">
      <c r="A33" s="190" t="s">
        <v>315</v>
      </c>
      <c r="B33" s="157">
        <v>5</v>
      </c>
      <c r="C33" s="29" t="s">
        <v>316</v>
      </c>
      <c r="D33" s="98">
        <v>45223</v>
      </c>
      <c r="E33" s="29">
        <v>91.6</v>
      </c>
      <c r="F33" s="29">
        <v>2.1</v>
      </c>
      <c r="G33" s="29">
        <v>1.59</v>
      </c>
      <c r="H33" s="161">
        <v>0</v>
      </c>
      <c r="I33" s="159"/>
      <c r="J33" s="29"/>
      <c r="K33" s="29"/>
      <c r="L33" s="29"/>
      <c r="M33" s="29"/>
      <c r="N33" s="161"/>
    </row>
    <row r="34" spans="1:17" ht="15.75" x14ac:dyDescent="0.25">
      <c r="A34" s="190" t="s">
        <v>317</v>
      </c>
      <c r="B34" s="157">
        <v>16</v>
      </c>
      <c r="C34" s="29" t="s">
        <v>318</v>
      </c>
      <c r="D34" s="98">
        <v>45224</v>
      </c>
      <c r="E34" s="71">
        <v>11.3</v>
      </c>
      <c r="F34" s="71">
        <v>1.78</v>
      </c>
      <c r="G34" s="29">
        <v>0.62</v>
      </c>
      <c r="H34" s="158">
        <v>6.9</v>
      </c>
      <c r="I34" s="159"/>
      <c r="J34" s="29" t="s">
        <v>319</v>
      </c>
      <c r="K34" s="29">
        <v>5.7</v>
      </c>
      <c r="L34" s="29">
        <v>1.63</v>
      </c>
      <c r="M34" s="29">
        <v>0.52</v>
      </c>
      <c r="N34" s="161">
        <v>2.2999999999999998</v>
      </c>
      <c r="O34" s="29">
        <f t="shared" ref="O34:O35" si="5">E34*25</f>
        <v>282.5</v>
      </c>
    </row>
    <row r="35" spans="1:17" ht="15.75" x14ac:dyDescent="0.25">
      <c r="A35" s="190" t="s">
        <v>320</v>
      </c>
      <c r="B35" s="157">
        <v>6</v>
      </c>
      <c r="C35" s="29" t="s">
        <v>321</v>
      </c>
      <c r="D35" s="98">
        <v>45223</v>
      </c>
      <c r="E35" s="71">
        <v>25.7</v>
      </c>
      <c r="F35" s="71">
        <v>2.0099999999999998</v>
      </c>
      <c r="G35" s="29">
        <v>0.63</v>
      </c>
      <c r="H35" s="158">
        <v>7</v>
      </c>
      <c r="I35" s="159"/>
      <c r="J35" s="29"/>
      <c r="K35" s="29"/>
      <c r="L35" s="29"/>
      <c r="M35" s="29"/>
      <c r="N35" s="161"/>
      <c r="O35" s="191">
        <f t="shared" si="5"/>
        <v>642.5</v>
      </c>
    </row>
    <row r="36" spans="1:17" x14ac:dyDescent="0.2">
      <c r="A36" s="190" t="s">
        <v>322</v>
      </c>
      <c r="B36" s="157">
        <v>72</v>
      </c>
      <c r="C36" s="29" t="s">
        <v>323</v>
      </c>
      <c r="D36" s="98">
        <v>44998</v>
      </c>
      <c r="E36" s="29">
        <v>90.7</v>
      </c>
      <c r="F36" s="29">
        <v>1.85</v>
      </c>
      <c r="G36" s="29">
        <v>0.56999999999999995</v>
      </c>
      <c r="H36" s="161">
        <v>4.5</v>
      </c>
      <c r="I36" s="159"/>
      <c r="J36" s="29"/>
      <c r="K36" s="29"/>
      <c r="L36" s="29"/>
      <c r="M36" s="29"/>
      <c r="N36" s="161"/>
    </row>
    <row r="37" spans="1:17" x14ac:dyDescent="0.2">
      <c r="A37" s="190" t="s">
        <v>324</v>
      </c>
      <c r="B37" s="162">
        <v>77</v>
      </c>
      <c r="C37" s="29" t="s">
        <v>325</v>
      </c>
      <c r="D37" s="98">
        <v>45014</v>
      </c>
      <c r="E37" s="29">
        <v>349.8</v>
      </c>
      <c r="F37" s="29">
        <v>1.82</v>
      </c>
      <c r="G37" s="29">
        <v>0.62</v>
      </c>
      <c r="H37" s="161">
        <v>2.9</v>
      </c>
      <c r="I37" s="159"/>
      <c r="J37" s="29">
        <v>77</v>
      </c>
      <c r="K37" s="29">
        <v>453.9</v>
      </c>
      <c r="L37" s="29">
        <v>1.79</v>
      </c>
      <c r="M37" s="29">
        <v>0.52</v>
      </c>
      <c r="N37" s="161">
        <v>2.8</v>
      </c>
    </row>
    <row r="38" spans="1:17" ht="15.75" x14ac:dyDescent="0.25">
      <c r="A38" s="192" t="s">
        <v>326</v>
      </c>
      <c r="B38" s="164">
        <v>17</v>
      </c>
      <c r="C38" s="165" t="s">
        <v>327</v>
      </c>
      <c r="D38" s="166">
        <v>45224</v>
      </c>
      <c r="E38" s="165">
        <v>77.2</v>
      </c>
      <c r="F38" s="165">
        <v>1.69</v>
      </c>
      <c r="G38" s="165">
        <v>0.62</v>
      </c>
      <c r="H38" s="167">
        <v>2.4</v>
      </c>
      <c r="I38" s="168"/>
      <c r="J38" s="165" t="s">
        <v>328</v>
      </c>
      <c r="K38" s="193">
        <v>21.7</v>
      </c>
      <c r="L38" s="193">
        <v>1.7</v>
      </c>
      <c r="M38" s="165">
        <v>0.64</v>
      </c>
      <c r="N38" s="194">
        <v>6.4</v>
      </c>
      <c r="P38" s="191">
        <f>K38*25</f>
        <v>542.5</v>
      </c>
    </row>
    <row r="39" spans="1:17" x14ac:dyDescent="0.2">
      <c r="B39" s="157"/>
    </row>
    <row r="40" spans="1:17" ht="15" customHeight="1" x14ac:dyDescent="0.25">
      <c r="A40" s="71" t="s">
        <v>230</v>
      </c>
      <c r="B40" s="145"/>
      <c r="C40" s="71" t="s">
        <v>231</v>
      </c>
      <c r="D40" s="193" t="s">
        <v>232</v>
      </c>
      <c r="E40" s="146" t="s">
        <v>233</v>
      </c>
      <c r="F40" s="71" t="s">
        <v>234</v>
      </c>
      <c r="G40" s="71" t="s">
        <v>235</v>
      </c>
      <c r="H40" s="71" t="s">
        <v>236</v>
      </c>
      <c r="I40" s="71" t="s">
        <v>237</v>
      </c>
      <c r="J40" s="71"/>
      <c r="K40" s="146" t="s">
        <v>238</v>
      </c>
      <c r="L40" s="71" t="s">
        <v>234</v>
      </c>
      <c r="M40" s="71" t="s">
        <v>235</v>
      </c>
      <c r="N40" s="71" t="s">
        <v>236</v>
      </c>
      <c r="O40" s="71" t="s">
        <v>239</v>
      </c>
      <c r="P40" s="71" t="s">
        <v>240</v>
      </c>
    </row>
    <row r="41" spans="1:17" ht="15" customHeight="1" x14ac:dyDescent="0.25">
      <c r="A41" s="147" t="s">
        <v>241</v>
      </c>
      <c r="B41" s="148">
        <v>32</v>
      </c>
      <c r="C41" s="149" t="s">
        <v>329</v>
      </c>
      <c r="D41" s="98">
        <v>45238</v>
      </c>
      <c r="E41" s="151">
        <v>35.299999999999997</v>
      </c>
      <c r="F41" s="151">
        <v>1.89</v>
      </c>
      <c r="G41" s="149">
        <v>0.65</v>
      </c>
      <c r="H41" s="152">
        <v>7.8</v>
      </c>
      <c r="I41" s="153"/>
      <c r="J41" s="149" t="s">
        <v>330</v>
      </c>
      <c r="K41" s="149">
        <v>10.4</v>
      </c>
      <c r="L41" s="149">
        <v>1.78</v>
      </c>
      <c r="M41" s="149">
        <v>0.74</v>
      </c>
      <c r="N41" s="154" t="s">
        <v>331</v>
      </c>
      <c r="O41" s="155">
        <f>E41*25</f>
        <v>882.49999999999989</v>
      </c>
      <c r="P41" s="29"/>
      <c r="Q41" s="29"/>
    </row>
    <row r="42" spans="1:17" ht="15" customHeight="1" x14ac:dyDescent="0.25">
      <c r="A42" s="156" t="s">
        <v>243</v>
      </c>
      <c r="B42" s="157">
        <v>40</v>
      </c>
      <c r="C42" s="29" t="s">
        <v>332</v>
      </c>
      <c r="D42" s="98">
        <v>45243</v>
      </c>
      <c r="E42" s="29">
        <v>26.2</v>
      </c>
      <c r="F42" s="29">
        <v>1.75</v>
      </c>
      <c r="G42" s="29">
        <v>0.52</v>
      </c>
      <c r="H42" s="161">
        <v>5.8</v>
      </c>
      <c r="I42" s="159"/>
      <c r="J42" s="160" t="s">
        <v>333</v>
      </c>
      <c r="K42" s="29">
        <v>4.2</v>
      </c>
      <c r="L42" s="71">
        <v>1.89</v>
      </c>
      <c r="M42" s="29">
        <v>0.59</v>
      </c>
      <c r="N42" s="161">
        <v>4.2</v>
      </c>
      <c r="O42" s="29"/>
      <c r="P42" s="29"/>
      <c r="Q42" s="29"/>
    </row>
    <row r="43" spans="1:17" ht="15" customHeight="1" x14ac:dyDescent="0.2">
      <c r="A43" s="156" t="s">
        <v>246</v>
      </c>
      <c r="B43" s="157">
        <v>44</v>
      </c>
      <c r="C43" s="29" t="s">
        <v>334</v>
      </c>
      <c r="D43" s="98">
        <v>45243</v>
      </c>
      <c r="E43" s="29">
        <v>12.5</v>
      </c>
      <c r="F43" s="29">
        <v>1.68</v>
      </c>
      <c r="G43" s="29">
        <v>0.43</v>
      </c>
      <c r="H43" s="161">
        <v>3.5</v>
      </c>
      <c r="I43" s="159"/>
      <c r="J43" s="29" t="s">
        <v>335</v>
      </c>
      <c r="K43" s="29">
        <v>7.1</v>
      </c>
      <c r="L43" s="29">
        <v>1.68</v>
      </c>
      <c r="M43" s="29">
        <v>0.99</v>
      </c>
      <c r="N43" s="161">
        <v>5.4</v>
      </c>
      <c r="O43" s="29"/>
      <c r="P43" s="29"/>
      <c r="Q43" s="29"/>
    </row>
    <row r="44" spans="1:17" ht="15" customHeight="1" x14ac:dyDescent="0.25">
      <c r="A44" s="156" t="s">
        <v>249</v>
      </c>
      <c r="B44" s="157">
        <v>56</v>
      </c>
      <c r="C44" s="29" t="s">
        <v>336</v>
      </c>
      <c r="D44" s="98">
        <v>45245</v>
      </c>
      <c r="E44" s="71">
        <v>29.2</v>
      </c>
      <c r="F44" s="71">
        <v>1.68</v>
      </c>
      <c r="G44" s="29">
        <v>0.68</v>
      </c>
      <c r="H44" s="158">
        <v>6</v>
      </c>
      <c r="I44" s="159"/>
      <c r="J44" s="29" t="s">
        <v>337</v>
      </c>
      <c r="K44" s="71">
        <v>43.5</v>
      </c>
      <c r="L44" s="71">
        <v>1.45</v>
      </c>
      <c r="M44" s="29">
        <v>0.63</v>
      </c>
      <c r="N44" s="158">
        <v>6</v>
      </c>
      <c r="O44" s="155">
        <f>E44*25</f>
        <v>730</v>
      </c>
      <c r="P44" s="155">
        <f>K44*25</f>
        <v>1087.5</v>
      </c>
      <c r="Q44" s="29"/>
    </row>
    <row r="45" spans="1:17" ht="15" customHeight="1" x14ac:dyDescent="0.2">
      <c r="A45" s="156" t="s">
        <v>251</v>
      </c>
      <c r="B45" s="157">
        <v>24</v>
      </c>
      <c r="C45" s="29" t="s">
        <v>338</v>
      </c>
      <c r="D45" s="98">
        <v>45236</v>
      </c>
      <c r="E45" s="29">
        <v>17</v>
      </c>
      <c r="F45" s="29">
        <v>1.81</v>
      </c>
      <c r="G45" s="29">
        <v>0.5</v>
      </c>
      <c r="H45" s="161">
        <v>1.9</v>
      </c>
      <c r="I45" s="159"/>
      <c r="J45" s="29" t="s">
        <v>339</v>
      </c>
      <c r="K45" s="29">
        <v>6.9</v>
      </c>
      <c r="L45" s="29">
        <v>2.09</v>
      </c>
      <c r="M45" s="29">
        <v>0.23</v>
      </c>
      <c r="N45" s="161">
        <v>1.9</v>
      </c>
      <c r="O45" s="29"/>
      <c r="P45" s="29"/>
      <c r="Q45" s="29"/>
    </row>
    <row r="46" spans="1:17" ht="15" customHeight="1" x14ac:dyDescent="0.25">
      <c r="A46" s="156" t="s">
        <v>253</v>
      </c>
      <c r="B46" s="157">
        <v>48</v>
      </c>
      <c r="C46" s="29" t="s">
        <v>340</v>
      </c>
      <c r="D46" s="98">
        <v>45244</v>
      </c>
      <c r="E46" s="71">
        <v>26</v>
      </c>
      <c r="F46" s="71">
        <v>1.94</v>
      </c>
      <c r="G46" s="29">
        <v>0.66</v>
      </c>
      <c r="H46" s="158">
        <v>7</v>
      </c>
      <c r="I46" s="159"/>
      <c r="J46" s="29" t="s">
        <v>341</v>
      </c>
      <c r="K46" s="29">
        <v>7.4</v>
      </c>
      <c r="L46" s="29">
        <v>1.98</v>
      </c>
      <c r="M46" s="29">
        <v>0.49</v>
      </c>
      <c r="N46" s="161">
        <v>4.9000000000000004</v>
      </c>
      <c r="O46" s="155">
        <f>E46*25</f>
        <v>650</v>
      </c>
      <c r="P46" s="29"/>
      <c r="Q46" s="29"/>
    </row>
    <row r="47" spans="1:17" ht="15" customHeight="1" x14ac:dyDescent="0.2">
      <c r="A47" s="156" t="s">
        <v>255</v>
      </c>
      <c r="B47" s="157">
        <v>57</v>
      </c>
      <c r="C47" s="29" t="s">
        <v>342</v>
      </c>
      <c r="D47" s="98">
        <v>45245</v>
      </c>
      <c r="E47" s="29">
        <v>31.9</v>
      </c>
      <c r="F47" s="29">
        <v>1.82</v>
      </c>
      <c r="G47" s="29">
        <v>0.89</v>
      </c>
      <c r="H47" s="161">
        <v>5.2</v>
      </c>
      <c r="I47" s="159"/>
      <c r="J47" s="29" t="s">
        <v>343</v>
      </c>
      <c r="K47" s="29">
        <v>7.2</v>
      </c>
      <c r="L47" s="29">
        <v>1.82</v>
      </c>
      <c r="M47" s="29">
        <v>0.68</v>
      </c>
      <c r="N47" s="161">
        <v>4.2</v>
      </c>
      <c r="O47" s="29"/>
      <c r="P47" s="29"/>
      <c r="Q47" s="29"/>
    </row>
    <row r="48" spans="1:17" ht="15" customHeight="1" x14ac:dyDescent="0.25">
      <c r="A48" s="156" t="s">
        <v>257</v>
      </c>
      <c r="B48" s="157">
        <v>52</v>
      </c>
      <c r="C48" s="29" t="s">
        <v>344</v>
      </c>
      <c r="D48" s="98">
        <v>45244</v>
      </c>
      <c r="E48" s="71">
        <v>40.700000000000003</v>
      </c>
      <c r="F48" s="71">
        <v>1.56</v>
      </c>
      <c r="G48" s="29">
        <v>0.63</v>
      </c>
      <c r="H48" s="158">
        <v>7.6</v>
      </c>
      <c r="I48" s="159"/>
      <c r="J48" s="29" t="s">
        <v>345</v>
      </c>
      <c r="K48" s="29">
        <v>3.6</v>
      </c>
      <c r="L48" s="29">
        <v>1.82</v>
      </c>
      <c r="M48" s="29">
        <v>0.66</v>
      </c>
      <c r="N48" s="161">
        <v>5.4</v>
      </c>
      <c r="O48" s="155">
        <f t="shared" ref="O48:O53" si="6">E48*25</f>
        <v>1017.5000000000001</v>
      </c>
      <c r="P48" s="29"/>
      <c r="Q48" s="29"/>
    </row>
    <row r="49" spans="1:17" ht="15" customHeight="1" x14ac:dyDescent="0.25">
      <c r="A49" s="156" t="s">
        <v>260</v>
      </c>
      <c r="B49" s="157">
        <v>28</v>
      </c>
      <c r="C49" s="29" t="s">
        <v>346</v>
      </c>
      <c r="D49" s="98">
        <v>45236</v>
      </c>
      <c r="E49" s="71">
        <v>31.8</v>
      </c>
      <c r="F49" s="71">
        <v>2.11</v>
      </c>
      <c r="G49" s="29">
        <v>1.22</v>
      </c>
      <c r="H49" s="158">
        <v>8.3000000000000007</v>
      </c>
      <c r="I49" s="159"/>
      <c r="J49" s="29" t="s">
        <v>347</v>
      </c>
      <c r="K49" s="29">
        <v>14.3</v>
      </c>
      <c r="L49" s="29">
        <v>2.23</v>
      </c>
      <c r="M49" s="29">
        <v>1.33</v>
      </c>
      <c r="N49" s="161" t="s">
        <v>331</v>
      </c>
      <c r="O49" s="155">
        <f t="shared" si="6"/>
        <v>795</v>
      </c>
      <c r="P49" s="29"/>
      <c r="Q49" s="29"/>
    </row>
    <row r="50" spans="1:17" ht="15" customHeight="1" x14ac:dyDescent="0.25">
      <c r="A50" s="163" t="s">
        <v>262</v>
      </c>
      <c r="B50" s="164">
        <v>36</v>
      </c>
      <c r="C50" s="165" t="s">
        <v>348</v>
      </c>
      <c r="D50" s="166">
        <v>45238</v>
      </c>
      <c r="E50" s="193">
        <v>50.4</v>
      </c>
      <c r="F50" s="193">
        <v>1.83</v>
      </c>
      <c r="G50" s="165">
        <v>0.65</v>
      </c>
      <c r="H50" s="194">
        <v>6.1</v>
      </c>
      <c r="I50" s="168"/>
      <c r="J50" s="29" t="s">
        <v>349</v>
      </c>
      <c r="K50" s="29">
        <v>84.8</v>
      </c>
      <c r="L50" s="29">
        <v>1.46</v>
      </c>
      <c r="M50" s="29">
        <v>0.67</v>
      </c>
      <c r="N50" s="161" t="s">
        <v>331</v>
      </c>
      <c r="O50" s="155">
        <f t="shared" si="6"/>
        <v>1260</v>
      </c>
      <c r="P50" s="29"/>
      <c r="Q50" s="29"/>
    </row>
    <row r="51" spans="1:17" ht="15" customHeight="1" x14ac:dyDescent="0.25">
      <c r="A51" s="169" t="s">
        <v>265</v>
      </c>
      <c r="B51" s="157">
        <v>49</v>
      </c>
      <c r="C51" s="29" t="s">
        <v>350</v>
      </c>
      <c r="D51" s="98">
        <v>45244</v>
      </c>
      <c r="E51" s="71">
        <v>25</v>
      </c>
      <c r="F51" s="71">
        <v>2</v>
      </c>
      <c r="G51" s="29">
        <v>0.86</v>
      </c>
      <c r="H51" s="158">
        <v>8.3000000000000007</v>
      </c>
      <c r="I51" s="170"/>
      <c r="J51" s="170" t="s">
        <v>351</v>
      </c>
      <c r="K51" s="151">
        <v>3.8</v>
      </c>
      <c r="L51" s="151">
        <v>2.0699999999999998</v>
      </c>
      <c r="M51" s="149">
        <v>0.51</v>
      </c>
      <c r="N51" s="154">
        <v>5.9</v>
      </c>
      <c r="O51" s="171">
        <f t="shared" si="6"/>
        <v>625</v>
      </c>
      <c r="P51" s="171">
        <f>K51*25</f>
        <v>95</v>
      </c>
      <c r="Q51" s="29"/>
    </row>
    <row r="52" spans="1:17" ht="15" customHeight="1" x14ac:dyDescent="0.25">
      <c r="A52" s="169" t="s">
        <v>268</v>
      </c>
      <c r="B52" s="157">
        <v>25</v>
      </c>
      <c r="C52" s="29" t="s">
        <v>352</v>
      </c>
      <c r="D52" s="98">
        <v>45236</v>
      </c>
      <c r="E52" s="71">
        <v>51.8</v>
      </c>
      <c r="F52" s="71">
        <v>2.14</v>
      </c>
      <c r="G52" s="29">
        <v>1.58</v>
      </c>
      <c r="H52" s="158">
        <v>8.1999999999999993</v>
      </c>
      <c r="I52" s="172"/>
      <c r="J52" s="172" t="s">
        <v>353</v>
      </c>
      <c r="K52" s="29">
        <v>16.8</v>
      </c>
      <c r="L52" s="29">
        <v>2.15</v>
      </c>
      <c r="M52" s="29">
        <v>0.72</v>
      </c>
      <c r="N52" s="161" t="s">
        <v>331</v>
      </c>
      <c r="O52" s="171">
        <f t="shared" si="6"/>
        <v>1295</v>
      </c>
      <c r="P52" s="29"/>
      <c r="Q52" s="29"/>
    </row>
    <row r="53" spans="1:17" ht="15" customHeight="1" x14ac:dyDescent="0.25">
      <c r="A53" s="169" t="s">
        <v>270</v>
      </c>
      <c r="B53" s="157">
        <v>59</v>
      </c>
      <c r="C53" s="29" t="s">
        <v>354</v>
      </c>
      <c r="D53" s="98">
        <v>45245</v>
      </c>
      <c r="E53" s="71">
        <v>23.4</v>
      </c>
      <c r="F53" s="71">
        <v>1.92</v>
      </c>
      <c r="G53" s="29">
        <v>0.86</v>
      </c>
      <c r="H53" s="158">
        <v>7.4</v>
      </c>
      <c r="I53" s="172"/>
      <c r="J53" s="172" t="s">
        <v>355</v>
      </c>
      <c r="K53" s="29">
        <v>19.399999999999999</v>
      </c>
      <c r="L53" s="29">
        <v>1.59</v>
      </c>
      <c r="M53" s="29">
        <v>0.73</v>
      </c>
      <c r="N53" s="161">
        <v>5.5</v>
      </c>
      <c r="O53" s="171">
        <f t="shared" si="6"/>
        <v>585</v>
      </c>
      <c r="P53" s="29"/>
      <c r="Q53" s="29"/>
    </row>
    <row r="54" spans="1:17" ht="15" customHeight="1" x14ac:dyDescent="0.25">
      <c r="A54" s="169" t="s">
        <v>273</v>
      </c>
      <c r="B54" s="157">
        <v>60</v>
      </c>
      <c r="C54" s="29" t="s">
        <v>356</v>
      </c>
      <c r="D54" s="98">
        <v>45245</v>
      </c>
      <c r="E54" s="29">
        <v>17.7</v>
      </c>
      <c r="F54" s="29">
        <v>1.84</v>
      </c>
      <c r="G54" s="29">
        <v>0.76</v>
      </c>
      <c r="H54" s="161">
        <v>3.2</v>
      </c>
      <c r="I54" s="172"/>
      <c r="J54" s="172" t="s">
        <v>357</v>
      </c>
      <c r="K54" s="71">
        <v>21</v>
      </c>
      <c r="L54" s="71">
        <v>1.56</v>
      </c>
      <c r="M54" s="29">
        <v>0.68</v>
      </c>
      <c r="N54" s="158">
        <v>7.1</v>
      </c>
      <c r="O54" s="29"/>
      <c r="P54" s="171">
        <f t="shared" ref="P54:P55" si="7">K54*25</f>
        <v>525</v>
      </c>
      <c r="Q54" s="29"/>
    </row>
    <row r="55" spans="1:17" ht="15" customHeight="1" x14ac:dyDescent="0.25">
      <c r="A55" s="169" t="s">
        <v>275</v>
      </c>
      <c r="B55" s="157">
        <v>45</v>
      </c>
      <c r="C55" s="29" t="s">
        <v>358</v>
      </c>
      <c r="D55" s="98">
        <v>45243</v>
      </c>
      <c r="E55" s="71">
        <v>18.5</v>
      </c>
      <c r="F55" s="71">
        <v>1.76</v>
      </c>
      <c r="G55" s="29">
        <v>0.51</v>
      </c>
      <c r="H55" s="158">
        <v>6.3</v>
      </c>
      <c r="I55" s="172"/>
      <c r="J55" s="172" t="s">
        <v>359</v>
      </c>
      <c r="K55" s="71">
        <v>5.4</v>
      </c>
      <c r="L55" s="71">
        <v>1.67</v>
      </c>
      <c r="M55" s="29">
        <v>0.96</v>
      </c>
      <c r="N55" s="158">
        <v>6.3</v>
      </c>
      <c r="O55" s="171">
        <f>E55*25</f>
        <v>462.5</v>
      </c>
      <c r="P55" s="171">
        <f t="shared" si="7"/>
        <v>135</v>
      </c>
      <c r="Q55" s="29"/>
    </row>
    <row r="56" spans="1:17" ht="15" customHeight="1" x14ac:dyDescent="0.2">
      <c r="A56" s="169" t="s">
        <v>277</v>
      </c>
      <c r="B56" s="157">
        <v>29</v>
      </c>
      <c r="C56" s="29" t="s">
        <v>360</v>
      </c>
      <c r="D56" s="98">
        <v>45236</v>
      </c>
      <c r="E56" s="29">
        <v>29.4</v>
      </c>
      <c r="F56" s="29">
        <v>1.83</v>
      </c>
      <c r="G56" s="29">
        <v>0.44</v>
      </c>
      <c r="H56" s="161">
        <v>3.8</v>
      </c>
      <c r="I56" s="172"/>
      <c r="J56" s="172" t="s">
        <v>361</v>
      </c>
      <c r="K56" s="29">
        <v>7.3</v>
      </c>
      <c r="L56" s="29">
        <v>1.94</v>
      </c>
      <c r="M56" s="29">
        <v>0.37</v>
      </c>
      <c r="N56" s="161" t="s">
        <v>331</v>
      </c>
      <c r="O56" s="29"/>
      <c r="P56" s="29"/>
      <c r="Q56" s="29"/>
    </row>
    <row r="57" spans="1:17" ht="15" customHeight="1" x14ac:dyDescent="0.2">
      <c r="A57" s="169" t="s">
        <v>280</v>
      </c>
      <c r="B57" s="157">
        <v>53</v>
      </c>
      <c r="C57" s="29" t="s">
        <v>362</v>
      </c>
      <c r="D57" s="195">
        <v>45244</v>
      </c>
      <c r="E57" s="29">
        <v>14.3</v>
      </c>
      <c r="F57" s="29">
        <v>0.81</v>
      </c>
      <c r="G57" s="29"/>
      <c r="H57" s="161"/>
      <c r="I57" s="172"/>
      <c r="J57" s="172" t="s">
        <v>363</v>
      </c>
      <c r="K57" s="29">
        <v>3.8</v>
      </c>
      <c r="L57" s="29">
        <v>1.68</v>
      </c>
      <c r="M57" s="29">
        <v>0.16</v>
      </c>
      <c r="N57" s="161"/>
      <c r="O57" s="29"/>
      <c r="P57" s="29"/>
      <c r="Q57" s="29"/>
    </row>
    <row r="58" spans="1:17" ht="15" customHeight="1" x14ac:dyDescent="0.25">
      <c r="A58" s="169" t="s">
        <v>282</v>
      </c>
      <c r="B58" s="157">
        <v>37</v>
      </c>
      <c r="C58" s="29" t="s">
        <v>364</v>
      </c>
      <c r="D58" s="98">
        <v>45238</v>
      </c>
      <c r="E58" s="71">
        <v>24</v>
      </c>
      <c r="F58" s="71">
        <v>1.98</v>
      </c>
      <c r="G58" s="29">
        <v>1.04</v>
      </c>
      <c r="H58" s="158">
        <v>8.3000000000000007</v>
      </c>
      <c r="I58" s="172"/>
      <c r="J58" s="172" t="s">
        <v>365</v>
      </c>
      <c r="K58" s="71">
        <v>8.9</v>
      </c>
      <c r="L58" s="71">
        <v>1.88</v>
      </c>
      <c r="M58" s="29">
        <v>1.08</v>
      </c>
      <c r="N58" s="158">
        <v>6.1</v>
      </c>
      <c r="O58" s="171">
        <f>E58*25</f>
        <v>600</v>
      </c>
      <c r="P58" s="171">
        <f>K58*25</f>
        <v>222.5</v>
      </c>
      <c r="Q58" s="29"/>
    </row>
    <row r="59" spans="1:17" ht="15" customHeight="1" x14ac:dyDescent="0.2">
      <c r="A59" s="169" t="s">
        <v>284</v>
      </c>
      <c r="B59" s="157">
        <v>41</v>
      </c>
      <c r="C59" s="29" t="s">
        <v>366</v>
      </c>
      <c r="D59" s="98">
        <v>45243</v>
      </c>
      <c r="E59" s="29">
        <v>6</v>
      </c>
      <c r="F59" s="29">
        <v>1.48</v>
      </c>
      <c r="G59" s="29">
        <v>0.32</v>
      </c>
      <c r="H59" s="161">
        <v>0</v>
      </c>
      <c r="I59" s="172"/>
      <c r="J59" s="172" t="s">
        <v>367</v>
      </c>
      <c r="K59" s="29">
        <v>1.8</v>
      </c>
      <c r="L59" s="29">
        <v>1.23</v>
      </c>
      <c r="M59" s="29">
        <v>0.31</v>
      </c>
      <c r="N59" s="161">
        <v>0</v>
      </c>
      <c r="O59" s="29"/>
      <c r="P59" s="29"/>
      <c r="Q59" s="29"/>
    </row>
    <row r="60" spans="1:17" ht="15" customHeight="1" x14ac:dyDescent="0.25">
      <c r="A60" s="169" t="s">
        <v>286</v>
      </c>
      <c r="B60" s="157">
        <v>33</v>
      </c>
      <c r="C60" s="29" t="s">
        <v>368</v>
      </c>
      <c r="D60" s="98">
        <v>45238</v>
      </c>
      <c r="E60" s="71">
        <v>83.2</v>
      </c>
      <c r="F60" s="71">
        <v>1.71</v>
      </c>
      <c r="G60" s="29">
        <v>0.87</v>
      </c>
      <c r="H60" s="158">
        <v>6.5</v>
      </c>
      <c r="I60" s="173"/>
      <c r="J60" s="173" t="s">
        <v>369</v>
      </c>
      <c r="K60" s="29">
        <v>57.1</v>
      </c>
      <c r="L60" s="29">
        <v>1.97</v>
      </c>
      <c r="M60" s="29">
        <v>1.1000000000000001</v>
      </c>
      <c r="N60" s="167" t="s">
        <v>331</v>
      </c>
      <c r="O60" s="171">
        <f>E60*25</f>
        <v>2080</v>
      </c>
      <c r="P60" s="29"/>
      <c r="Q60" s="29"/>
    </row>
    <row r="61" spans="1:17" ht="15" customHeight="1" x14ac:dyDescent="0.25">
      <c r="A61" s="174" t="s">
        <v>289</v>
      </c>
      <c r="B61" s="175">
        <v>54</v>
      </c>
      <c r="C61" s="176" t="s">
        <v>370</v>
      </c>
      <c r="D61" s="177">
        <v>45244</v>
      </c>
      <c r="E61" s="176">
        <v>23.6</v>
      </c>
      <c r="F61" s="176">
        <v>2.09</v>
      </c>
      <c r="G61" s="176">
        <v>1.36</v>
      </c>
      <c r="H61" s="179"/>
      <c r="I61" s="149"/>
      <c r="J61" s="170" t="s">
        <v>371</v>
      </c>
      <c r="K61" s="151">
        <v>5.4</v>
      </c>
      <c r="L61" s="151">
        <v>2.33</v>
      </c>
      <c r="M61" s="149">
        <v>0.55000000000000004</v>
      </c>
      <c r="N61" s="152"/>
      <c r="O61" s="29"/>
      <c r="P61" s="29"/>
      <c r="Q61" s="29"/>
    </row>
    <row r="62" spans="1:17" ht="15" customHeight="1" x14ac:dyDescent="0.25">
      <c r="A62" s="181" t="s">
        <v>292</v>
      </c>
      <c r="B62" s="157">
        <v>30</v>
      </c>
      <c r="C62" s="29" t="s">
        <v>372</v>
      </c>
      <c r="D62" s="98">
        <v>45236</v>
      </c>
      <c r="E62" s="71">
        <v>9.4</v>
      </c>
      <c r="F62" s="71">
        <v>2.08</v>
      </c>
      <c r="G62" s="29">
        <v>0.82</v>
      </c>
      <c r="H62" s="182">
        <v>6.2</v>
      </c>
      <c r="I62" s="29"/>
      <c r="J62" s="172" t="s">
        <v>373</v>
      </c>
      <c r="K62" s="29">
        <v>6.4</v>
      </c>
      <c r="L62" s="29">
        <v>2.02</v>
      </c>
      <c r="M62" s="29">
        <v>0.77</v>
      </c>
      <c r="N62" s="161">
        <v>5.2</v>
      </c>
      <c r="O62" s="29">
        <f t="shared" ref="O62:O65" si="8">E62*25</f>
        <v>235</v>
      </c>
      <c r="P62" s="29">
        <f>K62*25</f>
        <v>160</v>
      </c>
      <c r="Q62" s="29"/>
    </row>
    <row r="63" spans="1:17" ht="15" customHeight="1" x14ac:dyDescent="0.25">
      <c r="A63" s="181" t="s">
        <v>295</v>
      </c>
      <c r="B63" s="157">
        <v>26</v>
      </c>
      <c r="C63" s="29" t="s">
        <v>374</v>
      </c>
      <c r="D63" s="98">
        <v>45236</v>
      </c>
      <c r="E63" s="71">
        <v>65.2</v>
      </c>
      <c r="F63" s="71">
        <v>1.65</v>
      </c>
      <c r="G63" s="29">
        <v>0.65</v>
      </c>
      <c r="H63" s="182">
        <v>6.1</v>
      </c>
      <c r="I63" s="29"/>
      <c r="J63" s="172" t="s">
        <v>375</v>
      </c>
      <c r="K63" s="29">
        <v>5.8</v>
      </c>
      <c r="L63" s="29">
        <v>2.1</v>
      </c>
      <c r="M63" s="29">
        <v>0.83</v>
      </c>
      <c r="N63" s="161" t="s">
        <v>331</v>
      </c>
      <c r="O63" s="180">
        <f t="shared" si="8"/>
        <v>1630</v>
      </c>
      <c r="P63" s="29"/>
      <c r="Q63" s="29"/>
    </row>
    <row r="64" spans="1:17" ht="15" customHeight="1" x14ac:dyDescent="0.25">
      <c r="A64" s="181" t="s">
        <v>297</v>
      </c>
      <c r="B64" s="157">
        <v>55</v>
      </c>
      <c r="C64" s="29" t="s">
        <v>376</v>
      </c>
      <c r="D64" s="98">
        <v>45244</v>
      </c>
      <c r="E64" s="71">
        <v>28.8</v>
      </c>
      <c r="F64" s="71">
        <v>2.16</v>
      </c>
      <c r="G64" s="29">
        <v>1.24</v>
      </c>
      <c r="H64" s="182">
        <v>7.8</v>
      </c>
      <c r="I64" s="29"/>
      <c r="J64" s="172" t="s">
        <v>377</v>
      </c>
      <c r="K64" s="71">
        <v>8.4</v>
      </c>
      <c r="L64" s="71">
        <v>2.04</v>
      </c>
      <c r="M64" s="29">
        <v>0.64</v>
      </c>
      <c r="N64" s="158">
        <v>6.7</v>
      </c>
      <c r="O64" s="180">
        <f t="shared" si="8"/>
        <v>720</v>
      </c>
      <c r="P64" s="180">
        <f t="shared" ref="P64:P65" si="9">K64*25</f>
        <v>210</v>
      </c>
      <c r="Q64" s="29"/>
    </row>
    <row r="65" spans="1:17" ht="15" customHeight="1" x14ac:dyDescent="0.25">
      <c r="A65" s="181" t="s">
        <v>299</v>
      </c>
      <c r="B65" s="157">
        <v>46</v>
      </c>
      <c r="C65" s="29" t="s">
        <v>378</v>
      </c>
      <c r="D65" s="98">
        <v>45243</v>
      </c>
      <c r="E65" s="71">
        <v>26</v>
      </c>
      <c r="F65" s="71">
        <v>1.87</v>
      </c>
      <c r="G65" s="29">
        <v>0.53</v>
      </c>
      <c r="H65" s="182">
        <v>7.6</v>
      </c>
      <c r="I65" s="29"/>
      <c r="J65" s="172" t="s">
        <v>379</v>
      </c>
      <c r="K65" s="71">
        <v>4.5999999999999996</v>
      </c>
      <c r="L65" s="71">
        <v>1.99</v>
      </c>
      <c r="M65" s="29">
        <v>1.34</v>
      </c>
      <c r="N65" s="158">
        <v>6.1</v>
      </c>
      <c r="O65" s="180">
        <f t="shared" si="8"/>
        <v>650</v>
      </c>
      <c r="P65" s="180">
        <f t="shared" si="9"/>
        <v>114.99999999999999</v>
      </c>
      <c r="Q65" s="29"/>
    </row>
    <row r="66" spans="1:17" ht="15" customHeight="1" x14ac:dyDescent="0.2">
      <c r="A66" s="181" t="s">
        <v>301</v>
      </c>
      <c r="B66" s="157">
        <v>38</v>
      </c>
      <c r="C66" s="29" t="s">
        <v>380</v>
      </c>
      <c r="D66" s="98">
        <v>45238</v>
      </c>
      <c r="E66" s="29">
        <v>30.1</v>
      </c>
      <c r="F66" s="29">
        <v>1.92</v>
      </c>
      <c r="G66" s="29">
        <v>0.41</v>
      </c>
      <c r="H66" s="183">
        <v>2.2999999999999998</v>
      </c>
      <c r="I66" s="29"/>
      <c r="J66" s="172" t="s">
        <v>381</v>
      </c>
      <c r="K66" s="29">
        <v>10.1</v>
      </c>
      <c r="L66" s="29">
        <v>1.93</v>
      </c>
      <c r="M66" s="29">
        <v>0.45</v>
      </c>
      <c r="N66" s="161" t="s">
        <v>331</v>
      </c>
      <c r="O66" s="29"/>
      <c r="P66" s="29"/>
      <c r="Q66" s="29"/>
    </row>
    <row r="67" spans="1:17" ht="15" customHeight="1" x14ac:dyDescent="0.2">
      <c r="A67" s="181" t="s">
        <v>303</v>
      </c>
      <c r="B67" s="157">
        <v>58</v>
      </c>
      <c r="C67" s="29" t="s">
        <v>382</v>
      </c>
      <c r="D67" s="98">
        <v>45245</v>
      </c>
      <c r="E67" s="29">
        <v>8.6</v>
      </c>
      <c r="F67" s="29">
        <v>1.97</v>
      </c>
      <c r="G67" s="29">
        <v>0.57999999999999996</v>
      </c>
      <c r="H67" s="183"/>
      <c r="I67" s="29"/>
      <c r="J67" s="184" t="s">
        <v>383</v>
      </c>
      <c r="K67" s="29">
        <v>0</v>
      </c>
      <c r="L67" s="29">
        <v>0.21</v>
      </c>
      <c r="M67" s="29">
        <v>0.23</v>
      </c>
      <c r="N67" s="161"/>
      <c r="O67" s="29"/>
      <c r="P67" s="29"/>
      <c r="Q67" s="29"/>
    </row>
    <row r="68" spans="1:17" ht="15" customHeight="1" x14ac:dyDescent="0.25">
      <c r="A68" s="181" t="s">
        <v>305</v>
      </c>
      <c r="B68" s="157">
        <v>34</v>
      </c>
      <c r="C68" s="29" t="s">
        <v>384</v>
      </c>
      <c r="D68" s="98">
        <v>45238</v>
      </c>
      <c r="E68" s="71">
        <v>36.9</v>
      </c>
      <c r="F68" s="71">
        <v>1.54</v>
      </c>
      <c r="G68" s="29">
        <v>0.61</v>
      </c>
      <c r="H68" s="182">
        <v>6.4</v>
      </c>
      <c r="I68" s="29"/>
      <c r="J68" s="172" t="s">
        <v>385</v>
      </c>
      <c r="K68" s="29">
        <v>42.9</v>
      </c>
      <c r="L68" s="29">
        <v>1.44</v>
      </c>
      <c r="M68" s="29">
        <v>0.66</v>
      </c>
      <c r="N68" s="161" t="s">
        <v>331</v>
      </c>
      <c r="O68" s="180">
        <f>E68*25</f>
        <v>922.5</v>
      </c>
      <c r="P68" s="29"/>
      <c r="Q68" s="29"/>
    </row>
    <row r="69" spans="1:17" ht="15" customHeight="1" x14ac:dyDescent="0.2">
      <c r="A69" s="181" t="s">
        <v>308</v>
      </c>
      <c r="B69" s="157">
        <v>50</v>
      </c>
      <c r="C69" s="29" t="s">
        <v>386</v>
      </c>
      <c r="D69" s="98">
        <v>45244</v>
      </c>
      <c r="E69" s="29">
        <v>14.1</v>
      </c>
      <c r="F69" s="29">
        <v>2.02</v>
      </c>
      <c r="G69" s="29">
        <v>0.33</v>
      </c>
      <c r="H69" s="183"/>
      <c r="I69" s="29"/>
      <c r="J69" s="172" t="s">
        <v>387</v>
      </c>
      <c r="K69" s="29">
        <v>2.9</v>
      </c>
      <c r="L69" s="29">
        <v>2.4300000000000002</v>
      </c>
      <c r="M69" s="29">
        <v>0.67</v>
      </c>
      <c r="N69" s="161"/>
      <c r="O69" s="29"/>
      <c r="P69" s="29"/>
      <c r="Q69" s="29"/>
    </row>
    <row r="70" spans="1:17" ht="15" customHeight="1" x14ac:dyDescent="0.25">
      <c r="A70" s="185" t="s">
        <v>311</v>
      </c>
      <c r="B70" s="186">
        <v>42</v>
      </c>
      <c r="C70" s="187" t="s">
        <v>312</v>
      </c>
      <c r="D70" s="188">
        <v>45243</v>
      </c>
      <c r="E70" s="196">
        <v>26.8</v>
      </c>
      <c r="F70" s="196">
        <v>1.96</v>
      </c>
      <c r="G70" s="187">
        <v>0.78</v>
      </c>
      <c r="H70" s="197">
        <v>8.5</v>
      </c>
      <c r="I70" s="165"/>
      <c r="J70" s="173" t="s">
        <v>388</v>
      </c>
      <c r="K70" s="193">
        <v>6.5</v>
      </c>
      <c r="L70" s="193">
        <v>1.89</v>
      </c>
      <c r="M70" s="165">
        <v>1.02</v>
      </c>
      <c r="N70" s="194">
        <v>7.5</v>
      </c>
      <c r="O70" s="180">
        <f t="shared" ref="O70:O72" si="10">E70*25</f>
        <v>670</v>
      </c>
      <c r="P70" s="180">
        <f>K70*25</f>
        <v>162.5</v>
      </c>
      <c r="Q70" s="29"/>
    </row>
    <row r="71" spans="1:17" ht="15" customHeight="1" x14ac:dyDescent="0.25">
      <c r="A71" s="190" t="s">
        <v>313</v>
      </c>
      <c r="B71" s="157">
        <v>35</v>
      </c>
      <c r="C71" s="29" t="s">
        <v>389</v>
      </c>
      <c r="D71" s="98">
        <v>45238</v>
      </c>
      <c r="E71" s="71">
        <v>86.1</v>
      </c>
      <c r="F71" s="71">
        <v>1.78</v>
      </c>
      <c r="G71" s="29">
        <v>0.9</v>
      </c>
      <c r="H71" s="158">
        <v>8.6999999999999993</v>
      </c>
      <c r="I71" s="153"/>
      <c r="J71" s="29" t="s">
        <v>390</v>
      </c>
      <c r="K71" s="29">
        <v>9</v>
      </c>
      <c r="L71" s="29">
        <v>2.14</v>
      </c>
      <c r="M71" s="29">
        <v>1.05</v>
      </c>
      <c r="N71" s="161" t="s">
        <v>331</v>
      </c>
      <c r="O71" s="191">
        <f t="shared" si="10"/>
        <v>2152.5</v>
      </c>
      <c r="P71" s="29"/>
      <c r="Q71" s="29"/>
    </row>
    <row r="72" spans="1:17" ht="15" customHeight="1" x14ac:dyDescent="0.25">
      <c r="A72" s="190" t="s">
        <v>315</v>
      </c>
      <c r="B72" s="157">
        <v>27</v>
      </c>
      <c r="C72" s="29" t="s">
        <v>391</v>
      </c>
      <c r="D72" s="98">
        <v>45236</v>
      </c>
      <c r="E72" s="71">
        <v>54.6</v>
      </c>
      <c r="F72" s="71">
        <v>2.08</v>
      </c>
      <c r="G72" s="29">
        <v>1.3</v>
      </c>
      <c r="H72" s="158">
        <v>6.6</v>
      </c>
      <c r="I72" s="159"/>
      <c r="J72" s="29" t="s">
        <v>392</v>
      </c>
      <c r="K72" s="29">
        <v>16.2</v>
      </c>
      <c r="L72" s="29">
        <v>2.14</v>
      </c>
      <c r="M72" s="29">
        <v>1.1599999999999999</v>
      </c>
      <c r="N72" s="161" t="s">
        <v>331</v>
      </c>
      <c r="O72" s="191">
        <f t="shared" si="10"/>
        <v>1365</v>
      </c>
      <c r="P72" s="29"/>
      <c r="Q72" s="29"/>
    </row>
    <row r="73" spans="1:17" ht="15" customHeight="1" x14ac:dyDescent="0.2">
      <c r="A73" s="190" t="s">
        <v>317</v>
      </c>
      <c r="B73" s="157">
        <v>47</v>
      </c>
      <c r="C73" s="29" t="s">
        <v>393</v>
      </c>
      <c r="D73" s="98">
        <v>45243</v>
      </c>
      <c r="E73" s="29">
        <v>20.7</v>
      </c>
      <c r="F73" s="29">
        <v>1.84</v>
      </c>
      <c r="G73" s="29">
        <v>0.54</v>
      </c>
      <c r="H73" s="161">
        <v>5.7</v>
      </c>
      <c r="I73" s="159"/>
      <c r="J73" s="29" t="s">
        <v>394</v>
      </c>
      <c r="K73" s="29">
        <v>5.2</v>
      </c>
      <c r="L73" s="29">
        <v>1.66</v>
      </c>
      <c r="M73" s="29">
        <v>1.53</v>
      </c>
      <c r="N73" s="161">
        <v>5.5</v>
      </c>
      <c r="O73" s="29"/>
      <c r="P73" s="29"/>
      <c r="Q73" s="29"/>
    </row>
    <row r="74" spans="1:17" ht="15" customHeight="1" x14ac:dyDescent="0.2">
      <c r="A74" s="190" t="s">
        <v>320</v>
      </c>
      <c r="B74" s="157">
        <v>51</v>
      </c>
      <c r="C74" s="29" t="s">
        <v>395</v>
      </c>
      <c r="D74" s="98">
        <v>45244</v>
      </c>
      <c r="E74" s="29">
        <v>16.399999999999999</v>
      </c>
      <c r="F74" s="29">
        <v>1.96</v>
      </c>
      <c r="G74" s="29">
        <v>0.54</v>
      </c>
      <c r="H74" s="161">
        <v>4.2</v>
      </c>
      <c r="I74" s="159"/>
      <c r="J74" s="29" t="s">
        <v>396</v>
      </c>
      <c r="K74" s="29">
        <v>3.9</v>
      </c>
      <c r="L74" s="29">
        <v>2.0699999999999998</v>
      </c>
      <c r="M74" s="29">
        <v>0.37</v>
      </c>
      <c r="N74" s="161">
        <v>2.9</v>
      </c>
      <c r="O74" s="29"/>
      <c r="P74" s="29"/>
      <c r="Q74" s="29"/>
    </row>
    <row r="75" spans="1:17" ht="15" customHeight="1" x14ac:dyDescent="0.25">
      <c r="A75" s="190" t="s">
        <v>322</v>
      </c>
      <c r="B75" s="157">
        <v>31</v>
      </c>
      <c r="C75" s="29" t="s">
        <v>397</v>
      </c>
      <c r="D75" s="98">
        <v>45236</v>
      </c>
      <c r="E75" s="71">
        <v>38.9</v>
      </c>
      <c r="F75" s="71">
        <v>2.0699999999999998</v>
      </c>
      <c r="G75" s="29">
        <v>1.19</v>
      </c>
      <c r="H75" s="158">
        <v>7.6</v>
      </c>
      <c r="I75" s="159"/>
      <c r="J75" s="29" t="s">
        <v>398</v>
      </c>
      <c r="K75" s="29">
        <v>8.6999999999999993</v>
      </c>
      <c r="L75" s="29">
        <v>2.27</v>
      </c>
      <c r="M75" s="29">
        <v>1.07</v>
      </c>
      <c r="N75" s="161" t="s">
        <v>331</v>
      </c>
      <c r="O75" s="191">
        <f t="shared" ref="O75:O77" si="11">E75*25</f>
        <v>972.5</v>
      </c>
      <c r="P75" s="29"/>
      <c r="Q75" s="29"/>
    </row>
    <row r="76" spans="1:17" ht="15" customHeight="1" x14ac:dyDescent="0.25">
      <c r="A76" s="190" t="s">
        <v>324</v>
      </c>
      <c r="B76" s="157">
        <v>43</v>
      </c>
      <c r="C76" s="29" t="s">
        <v>399</v>
      </c>
      <c r="D76" s="98">
        <v>45243</v>
      </c>
      <c r="E76" s="71">
        <v>22.5</v>
      </c>
      <c r="F76" s="71">
        <v>1.97</v>
      </c>
      <c r="G76" s="29">
        <v>0.68</v>
      </c>
      <c r="H76" s="158">
        <v>8.4</v>
      </c>
      <c r="I76" s="159"/>
      <c r="J76" s="29" t="s">
        <v>400</v>
      </c>
      <c r="K76" s="71">
        <v>7.1</v>
      </c>
      <c r="L76" s="71">
        <v>1.68</v>
      </c>
      <c r="M76" s="29">
        <v>0.99</v>
      </c>
      <c r="N76" s="158">
        <v>6.5</v>
      </c>
      <c r="O76" s="191">
        <f t="shared" si="11"/>
        <v>562.5</v>
      </c>
      <c r="P76" s="191">
        <f t="shared" ref="P76:P77" si="12">K76*25</f>
        <v>177.5</v>
      </c>
      <c r="Q76" s="29"/>
    </row>
    <row r="77" spans="1:17" ht="15" customHeight="1" x14ac:dyDescent="0.25">
      <c r="A77" s="192" t="s">
        <v>326</v>
      </c>
      <c r="B77" s="164">
        <v>39</v>
      </c>
      <c r="C77" s="165" t="s">
        <v>401</v>
      </c>
      <c r="D77" s="166">
        <v>45238</v>
      </c>
      <c r="E77" s="193">
        <v>22.8</v>
      </c>
      <c r="F77" s="193">
        <v>1.65</v>
      </c>
      <c r="G77" s="165">
        <v>0.65</v>
      </c>
      <c r="H77" s="194">
        <v>7.5</v>
      </c>
      <c r="I77" s="168"/>
      <c r="J77" s="165" t="s">
        <v>402</v>
      </c>
      <c r="K77" s="193">
        <v>8</v>
      </c>
      <c r="L77" s="193">
        <v>1.83</v>
      </c>
      <c r="M77" s="165">
        <v>0.82</v>
      </c>
      <c r="N77" s="194">
        <v>5.8</v>
      </c>
      <c r="O77" s="191">
        <f t="shared" si="11"/>
        <v>570</v>
      </c>
      <c r="P77" s="191">
        <f t="shared" si="12"/>
        <v>200</v>
      </c>
      <c r="Q77" s="29"/>
    </row>
    <row r="78" spans="1:17" ht="15" customHeight="1" x14ac:dyDescent="0.2">
      <c r="B78" s="157"/>
      <c r="O78" s="29"/>
      <c r="P78" s="29"/>
      <c r="Q78" s="29"/>
    </row>
    <row r="79" spans="1:17" x14ac:dyDescent="0.2">
      <c r="B79" s="157"/>
    </row>
    <row r="80" spans="1:17" ht="15" customHeight="1" x14ac:dyDescent="0.2">
      <c r="A80" s="73" t="s">
        <v>403</v>
      </c>
      <c r="B80" s="157"/>
    </row>
    <row r="81" spans="2:2" x14ac:dyDescent="0.2">
      <c r="B81" s="157"/>
    </row>
    <row r="82" spans="2:2" x14ac:dyDescent="0.2">
      <c r="B82" s="157"/>
    </row>
    <row r="83" spans="2:2" x14ac:dyDescent="0.2">
      <c r="B83" s="157"/>
    </row>
    <row r="84" spans="2:2" x14ac:dyDescent="0.2">
      <c r="B84" s="157"/>
    </row>
    <row r="85" spans="2:2" x14ac:dyDescent="0.2">
      <c r="B85" s="157"/>
    </row>
    <row r="86" spans="2:2" x14ac:dyDescent="0.2">
      <c r="B86" s="157"/>
    </row>
    <row r="87" spans="2:2" x14ac:dyDescent="0.2">
      <c r="B87" s="157"/>
    </row>
    <row r="88" spans="2:2" x14ac:dyDescent="0.2">
      <c r="B88" s="157"/>
    </row>
    <row r="89" spans="2:2" x14ac:dyDescent="0.2">
      <c r="B89" s="157"/>
    </row>
    <row r="90" spans="2:2" x14ac:dyDescent="0.2">
      <c r="B90" s="157"/>
    </row>
    <row r="91" spans="2:2" x14ac:dyDescent="0.2">
      <c r="B91" s="157"/>
    </row>
    <row r="92" spans="2:2" x14ac:dyDescent="0.2">
      <c r="B92" s="157"/>
    </row>
    <row r="93" spans="2:2" x14ac:dyDescent="0.2">
      <c r="B93" s="157"/>
    </row>
    <row r="94" spans="2:2" x14ac:dyDescent="0.2">
      <c r="B94" s="157"/>
    </row>
    <row r="95" spans="2:2" x14ac:dyDescent="0.2">
      <c r="B95" s="157"/>
    </row>
    <row r="96" spans="2:2" x14ac:dyDescent="0.2">
      <c r="B96" s="157"/>
    </row>
    <row r="97" spans="2:2" x14ac:dyDescent="0.2">
      <c r="B97" s="157"/>
    </row>
    <row r="98" spans="2:2" x14ac:dyDescent="0.2">
      <c r="B98" s="157"/>
    </row>
    <row r="99" spans="2:2" x14ac:dyDescent="0.2">
      <c r="B99" s="157"/>
    </row>
    <row r="100" spans="2:2" x14ac:dyDescent="0.2">
      <c r="B100" s="157"/>
    </row>
    <row r="101" spans="2:2" x14ac:dyDescent="0.2">
      <c r="B101" s="157"/>
    </row>
    <row r="102" spans="2:2" x14ac:dyDescent="0.2">
      <c r="B102" s="157"/>
    </row>
    <row r="103" spans="2:2" x14ac:dyDescent="0.2">
      <c r="B103" s="157"/>
    </row>
    <row r="104" spans="2:2" x14ac:dyDescent="0.2">
      <c r="B104" s="157"/>
    </row>
    <row r="105" spans="2:2" x14ac:dyDescent="0.2">
      <c r="B105" s="157"/>
    </row>
    <row r="106" spans="2:2" x14ac:dyDescent="0.2">
      <c r="B106" s="157"/>
    </row>
    <row r="107" spans="2:2" x14ac:dyDescent="0.2">
      <c r="B107" s="157"/>
    </row>
    <row r="108" spans="2:2" x14ac:dyDescent="0.2">
      <c r="B108" s="157"/>
    </row>
    <row r="109" spans="2:2" x14ac:dyDescent="0.2">
      <c r="B109" s="157"/>
    </row>
    <row r="110" spans="2:2" x14ac:dyDescent="0.2">
      <c r="B110" s="157"/>
    </row>
    <row r="111" spans="2:2" x14ac:dyDescent="0.2">
      <c r="B111" s="157"/>
    </row>
    <row r="112" spans="2:2" x14ac:dyDescent="0.2">
      <c r="B112" s="157"/>
    </row>
    <row r="113" spans="2:2" x14ac:dyDescent="0.2">
      <c r="B113" s="157"/>
    </row>
    <row r="114" spans="2:2" x14ac:dyDescent="0.2">
      <c r="B114" s="157"/>
    </row>
    <row r="115" spans="2:2" x14ac:dyDescent="0.2">
      <c r="B115" s="157"/>
    </row>
    <row r="116" spans="2:2" x14ac:dyDescent="0.2">
      <c r="B116" s="157"/>
    </row>
    <row r="117" spans="2:2" x14ac:dyDescent="0.2">
      <c r="B117" s="157"/>
    </row>
    <row r="118" spans="2:2" x14ac:dyDescent="0.2">
      <c r="B118" s="157"/>
    </row>
    <row r="119" spans="2:2" x14ac:dyDescent="0.2">
      <c r="B119" s="157"/>
    </row>
    <row r="120" spans="2:2" x14ac:dyDescent="0.2">
      <c r="B120" s="157"/>
    </row>
    <row r="121" spans="2:2" x14ac:dyDescent="0.2">
      <c r="B121" s="157"/>
    </row>
    <row r="122" spans="2:2" x14ac:dyDescent="0.2">
      <c r="B122" s="157"/>
    </row>
    <row r="123" spans="2:2" x14ac:dyDescent="0.2">
      <c r="B123" s="157"/>
    </row>
    <row r="124" spans="2:2" x14ac:dyDescent="0.2">
      <c r="B124" s="157"/>
    </row>
    <row r="125" spans="2:2" x14ac:dyDescent="0.2">
      <c r="B125" s="157"/>
    </row>
    <row r="126" spans="2:2" x14ac:dyDescent="0.2">
      <c r="B126" s="157"/>
    </row>
    <row r="127" spans="2:2" x14ac:dyDescent="0.2">
      <c r="B127" s="157"/>
    </row>
    <row r="128" spans="2:2" x14ac:dyDescent="0.2">
      <c r="B128" s="157"/>
    </row>
    <row r="129" spans="2:2" x14ac:dyDescent="0.2">
      <c r="B129" s="157"/>
    </row>
    <row r="130" spans="2:2" x14ac:dyDescent="0.2">
      <c r="B130" s="157"/>
    </row>
    <row r="131" spans="2:2" x14ac:dyDescent="0.2">
      <c r="B131" s="157"/>
    </row>
    <row r="132" spans="2:2" x14ac:dyDescent="0.2">
      <c r="B132" s="157"/>
    </row>
    <row r="133" spans="2:2" x14ac:dyDescent="0.2">
      <c r="B133" s="157"/>
    </row>
    <row r="134" spans="2:2" x14ac:dyDescent="0.2">
      <c r="B134" s="157"/>
    </row>
    <row r="135" spans="2:2" x14ac:dyDescent="0.2">
      <c r="B135" s="157"/>
    </row>
    <row r="136" spans="2:2" x14ac:dyDescent="0.2">
      <c r="B136" s="157"/>
    </row>
    <row r="137" spans="2:2" x14ac:dyDescent="0.2">
      <c r="B137" s="157"/>
    </row>
    <row r="138" spans="2:2" x14ac:dyDescent="0.2">
      <c r="B138" s="157"/>
    </row>
    <row r="139" spans="2:2" x14ac:dyDescent="0.2">
      <c r="B139" s="157"/>
    </row>
    <row r="140" spans="2:2" x14ac:dyDescent="0.2">
      <c r="B140" s="157"/>
    </row>
    <row r="141" spans="2:2" x14ac:dyDescent="0.2">
      <c r="B141" s="157"/>
    </row>
    <row r="142" spans="2:2" x14ac:dyDescent="0.2">
      <c r="B142" s="157"/>
    </row>
    <row r="143" spans="2:2" x14ac:dyDescent="0.2">
      <c r="B143" s="157"/>
    </row>
    <row r="144" spans="2:2" x14ac:dyDescent="0.2">
      <c r="B144" s="157"/>
    </row>
    <row r="145" spans="2:2" x14ac:dyDescent="0.2">
      <c r="B145" s="157"/>
    </row>
    <row r="146" spans="2:2" x14ac:dyDescent="0.2">
      <c r="B146" s="157"/>
    </row>
    <row r="147" spans="2:2" x14ac:dyDescent="0.2">
      <c r="B147" s="157"/>
    </row>
    <row r="148" spans="2:2" x14ac:dyDescent="0.2">
      <c r="B148" s="157"/>
    </row>
    <row r="149" spans="2:2" x14ac:dyDescent="0.2">
      <c r="B149" s="157"/>
    </row>
    <row r="150" spans="2:2" x14ac:dyDescent="0.2">
      <c r="B150" s="157"/>
    </row>
    <row r="151" spans="2:2" x14ac:dyDescent="0.2">
      <c r="B151" s="157"/>
    </row>
    <row r="152" spans="2:2" x14ac:dyDescent="0.2">
      <c r="B152" s="157"/>
    </row>
    <row r="153" spans="2:2" x14ac:dyDescent="0.2">
      <c r="B153" s="157"/>
    </row>
    <row r="154" spans="2:2" x14ac:dyDescent="0.2">
      <c r="B154" s="157"/>
    </row>
    <row r="155" spans="2:2" x14ac:dyDescent="0.2">
      <c r="B155" s="157"/>
    </row>
    <row r="156" spans="2:2" x14ac:dyDescent="0.2">
      <c r="B156" s="157"/>
    </row>
    <row r="157" spans="2:2" x14ac:dyDescent="0.2">
      <c r="B157" s="157"/>
    </row>
    <row r="158" spans="2:2" x14ac:dyDescent="0.2">
      <c r="B158" s="157"/>
    </row>
    <row r="159" spans="2:2" x14ac:dyDescent="0.2">
      <c r="B159" s="157"/>
    </row>
    <row r="160" spans="2:2" x14ac:dyDescent="0.2">
      <c r="B160" s="157"/>
    </row>
    <row r="161" spans="2:2" x14ac:dyDescent="0.2">
      <c r="B161" s="157"/>
    </row>
    <row r="162" spans="2:2" x14ac:dyDescent="0.2">
      <c r="B162" s="157"/>
    </row>
    <row r="163" spans="2:2" x14ac:dyDescent="0.2">
      <c r="B163" s="157"/>
    </row>
    <row r="164" spans="2:2" x14ac:dyDescent="0.2">
      <c r="B164" s="157"/>
    </row>
    <row r="165" spans="2:2" x14ac:dyDescent="0.2">
      <c r="B165" s="157"/>
    </row>
    <row r="166" spans="2:2" x14ac:dyDescent="0.2">
      <c r="B166" s="157"/>
    </row>
    <row r="167" spans="2:2" x14ac:dyDescent="0.2">
      <c r="B167" s="157"/>
    </row>
    <row r="168" spans="2:2" x14ac:dyDescent="0.2">
      <c r="B168" s="157"/>
    </row>
    <row r="169" spans="2:2" x14ac:dyDescent="0.2">
      <c r="B169" s="157"/>
    </row>
    <row r="170" spans="2:2" x14ac:dyDescent="0.2">
      <c r="B170" s="157"/>
    </row>
    <row r="171" spans="2:2" x14ac:dyDescent="0.2">
      <c r="B171" s="157"/>
    </row>
    <row r="172" spans="2:2" x14ac:dyDescent="0.2">
      <c r="B172" s="157"/>
    </row>
    <row r="173" spans="2:2" x14ac:dyDescent="0.2">
      <c r="B173" s="157"/>
    </row>
    <row r="174" spans="2:2" x14ac:dyDescent="0.2">
      <c r="B174" s="157"/>
    </row>
    <row r="175" spans="2:2" x14ac:dyDescent="0.2">
      <c r="B175" s="157"/>
    </row>
    <row r="176" spans="2:2" x14ac:dyDescent="0.2">
      <c r="B176" s="157"/>
    </row>
    <row r="177" spans="2:2" x14ac:dyDescent="0.2">
      <c r="B177" s="157"/>
    </row>
    <row r="178" spans="2:2" x14ac:dyDescent="0.2">
      <c r="B178" s="157"/>
    </row>
    <row r="179" spans="2:2" x14ac:dyDescent="0.2">
      <c r="B179" s="157"/>
    </row>
    <row r="180" spans="2:2" x14ac:dyDescent="0.2">
      <c r="B180" s="157"/>
    </row>
    <row r="181" spans="2:2" x14ac:dyDescent="0.2">
      <c r="B181" s="157"/>
    </row>
    <row r="182" spans="2:2" x14ac:dyDescent="0.2">
      <c r="B182" s="157"/>
    </row>
    <row r="183" spans="2:2" x14ac:dyDescent="0.2">
      <c r="B183" s="157"/>
    </row>
    <row r="184" spans="2:2" x14ac:dyDescent="0.2">
      <c r="B184" s="157"/>
    </row>
    <row r="185" spans="2:2" x14ac:dyDescent="0.2">
      <c r="B185" s="157"/>
    </row>
    <row r="186" spans="2:2" x14ac:dyDescent="0.2">
      <c r="B186" s="157"/>
    </row>
    <row r="187" spans="2:2" x14ac:dyDescent="0.2">
      <c r="B187" s="157"/>
    </row>
    <row r="188" spans="2:2" x14ac:dyDescent="0.2">
      <c r="B188" s="157"/>
    </row>
    <row r="189" spans="2:2" x14ac:dyDescent="0.2">
      <c r="B189" s="157"/>
    </row>
    <row r="190" spans="2:2" x14ac:dyDescent="0.2">
      <c r="B190" s="157"/>
    </row>
    <row r="191" spans="2:2" x14ac:dyDescent="0.2">
      <c r="B191" s="157"/>
    </row>
    <row r="192" spans="2:2" x14ac:dyDescent="0.2">
      <c r="B192" s="157"/>
    </row>
    <row r="193" spans="2:2" x14ac:dyDescent="0.2">
      <c r="B193" s="157"/>
    </row>
    <row r="194" spans="2:2" x14ac:dyDescent="0.2">
      <c r="B194" s="157"/>
    </row>
    <row r="195" spans="2:2" x14ac:dyDescent="0.2">
      <c r="B195" s="157"/>
    </row>
    <row r="196" spans="2:2" x14ac:dyDescent="0.2">
      <c r="B196" s="157"/>
    </row>
    <row r="197" spans="2:2" x14ac:dyDescent="0.2">
      <c r="B197" s="157"/>
    </row>
    <row r="198" spans="2:2" x14ac:dyDescent="0.2">
      <c r="B198" s="157"/>
    </row>
    <row r="199" spans="2:2" x14ac:dyDescent="0.2">
      <c r="B199" s="157"/>
    </row>
    <row r="200" spans="2:2" x14ac:dyDescent="0.2">
      <c r="B200" s="157"/>
    </row>
    <row r="201" spans="2:2" x14ac:dyDescent="0.2">
      <c r="B201" s="157"/>
    </row>
    <row r="202" spans="2:2" x14ac:dyDescent="0.2">
      <c r="B202" s="157"/>
    </row>
    <row r="203" spans="2:2" x14ac:dyDescent="0.2">
      <c r="B203" s="157"/>
    </row>
    <row r="204" spans="2:2" x14ac:dyDescent="0.2">
      <c r="B204" s="157"/>
    </row>
    <row r="205" spans="2:2" x14ac:dyDescent="0.2">
      <c r="B205" s="157"/>
    </row>
    <row r="206" spans="2:2" x14ac:dyDescent="0.2">
      <c r="B206" s="157"/>
    </row>
    <row r="207" spans="2:2" x14ac:dyDescent="0.2">
      <c r="B207" s="157"/>
    </row>
    <row r="208" spans="2:2" x14ac:dyDescent="0.2">
      <c r="B208" s="157"/>
    </row>
    <row r="209" spans="2:2" x14ac:dyDescent="0.2">
      <c r="B209" s="157"/>
    </row>
    <row r="210" spans="2:2" x14ac:dyDescent="0.2">
      <c r="B210" s="157"/>
    </row>
    <row r="211" spans="2:2" x14ac:dyDescent="0.2">
      <c r="B211" s="157"/>
    </row>
    <row r="212" spans="2:2" x14ac:dyDescent="0.2">
      <c r="B212" s="157"/>
    </row>
    <row r="213" spans="2:2" x14ac:dyDescent="0.2">
      <c r="B213" s="157"/>
    </row>
    <row r="214" spans="2:2" x14ac:dyDescent="0.2">
      <c r="B214" s="157"/>
    </row>
    <row r="215" spans="2:2" x14ac:dyDescent="0.2">
      <c r="B215" s="157"/>
    </row>
    <row r="216" spans="2:2" x14ac:dyDescent="0.2">
      <c r="B216" s="157"/>
    </row>
    <row r="217" spans="2:2" x14ac:dyDescent="0.2">
      <c r="B217" s="157"/>
    </row>
    <row r="218" spans="2:2" x14ac:dyDescent="0.2">
      <c r="B218" s="157"/>
    </row>
    <row r="219" spans="2:2" x14ac:dyDescent="0.2">
      <c r="B219" s="157"/>
    </row>
    <row r="220" spans="2:2" x14ac:dyDescent="0.2">
      <c r="B220" s="157"/>
    </row>
    <row r="221" spans="2:2" x14ac:dyDescent="0.2">
      <c r="B221" s="157"/>
    </row>
    <row r="222" spans="2:2" x14ac:dyDescent="0.2">
      <c r="B222" s="157"/>
    </row>
    <row r="223" spans="2:2" x14ac:dyDescent="0.2">
      <c r="B223" s="157"/>
    </row>
    <row r="224" spans="2:2" x14ac:dyDescent="0.2">
      <c r="B224" s="157"/>
    </row>
    <row r="225" spans="2:2" x14ac:dyDescent="0.2">
      <c r="B225" s="157"/>
    </row>
    <row r="226" spans="2:2" x14ac:dyDescent="0.2">
      <c r="B226" s="157"/>
    </row>
    <row r="227" spans="2:2" x14ac:dyDescent="0.2">
      <c r="B227" s="157"/>
    </row>
    <row r="228" spans="2:2" x14ac:dyDescent="0.2">
      <c r="B228" s="157"/>
    </row>
    <row r="229" spans="2:2" x14ac:dyDescent="0.2">
      <c r="B229" s="157"/>
    </row>
    <row r="230" spans="2:2" x14ac:dyDescent="0.2">
      <c r="B230" s="157"/>
    </row>
    <row r="231" spans="2:2" x14ac:dyDescent="0.2">
      <c r="B231" s="157"/>
    </row>
    <row r="232" spans="2:2" x14ac:dyDescent="0.2">
      <c r="B232" s="157"/>
    </row>
    <row r="233" spans="2:2" x14ac:dyDescent="0.2">
      <c r="B233" s="157"/>
    </row>
    <row r="234" spans="2:2" x14ac:dyDescent="0.2">
      <c r="B234" s="157"/>
    </row>
    <row r="235" spans="2:2" x14ac:dyDescent="0.2">
      <c r="B235" s="157"/>
    </row>
    <row r="236" spans="2:2" x14ac:dyDescent="0.2">
      <c r="B236" s="157"/>
    </row>
    <row r="237" spans="2:2" x14ac:dyDescent="0.2">
      <c r="B237" s="157"/>
    </row>
    <row r="238" spans="2:2" x14ac:dyDescent="0.2">
      <c r="B238" s="157"/>
    </row>
    <row r="239" spans="2:2" x14ac:dyDescent="0.2">
      <c r="B239" s="157"/>
    </row>
    <row r="240" spans="2:2" x14ac:dyDescent="0.2">
      <c r="B240" s="157"/>
    </row>
    <row r="241" spans="2:2" x14ac:dyDescent="0.2">
      <c r="B241" s="157"/>
    </row>
    <row r="242" spans="2:2" x14ac:dyDescent="0.2">
      <c r="B242" s="157"/>
    </row>
    <row r="243" spans="2:2" x14ac:dyDescent="0.2">
      <c r="B243" s="157"/>
    </row>
    <row r="244" spans="2:2" x14ac:dyDescent="0.2">
      <c r="B244" s="157"/>
    </row>
    <row r="245" spans="2:2" x14ac:dyDescent="0.2">
      <c r="B245" s="157"/>
    </row>
    <row r="246" spans="2:2" x14ac:dyDescent="0.2">
      <c r="B246" s="157"/>
    </row>
    <row r="247" spans="2:2" x14ac:dyDescent="0.2">
      <c r="B247" s="157"/>
    </row>
    <row r="248" spans="2:2" x14ac:dyDescent="0.2">
      <c r="B248" s="157"/>
    </row>
    <row r="249" spans="2:2" x14ac:dyDescent="0.2">
      <c r="B249" s="157"/>
    </row>
    <row r="250" spans="2:2" x14ac:dyDescent="0.2">
      <c r="B250" s="157"/>
    </row>
    <row r="251" spans="2:2" x14ac:dyDescent="0.2">
      <c r="B251" s="157"/>
    </row>
    <row r="252" spans="2:2" x14ac:dyDescent="0.2">
      <c r="B252" s="157"/>
    </row>
    <row r="253" spans="2:2" x14ac:dyDescent="0.2">
      <c r="B253" s="157"/>
    </row>
    <row r="254" spans="2:2" x14ac:dyDescent="0.2">
      <c r="B254" s="157"/>
    </row>
    <row r="255" spans="2:2" x14ac:dyDescent="0.2">
      <c r="B255" s="157"/>
    </row>
    <row r="256" spans="2:2" x14ac:dyDescent="0.2">
      <c r="B256" s="157"/>
    </row>
    <row r="257" spans="2:2" x14ac:dyDescent="0.2">
      <c r="B257" s="157"/>
    </row>
    <row r="258" spans="2:2" x14ac:dyDescent="0.2">
      <c r="B258" s="157"/>
    </row>
    <row r="259" spans="2:2" x14ac:dyDescent="0.2">
      <c r="B259" s="157"/>
    </row>
    <row r="260" spans="2:2" x14ac:dyDescent="0.2">
      <c r="B260" s="157"/>
    </row>
    <row r="261" spans="2:2" x14ac:dyDescent="0.2">
      <c r="B261" s="157"/>
    </row>
    <row r="262" spans="2:2" x14ac:dyDescent="0.2">
      <c r="B262" s="157"/>
    </row>
    <row r="263" spans="2:2" x14ac:dyDescent="0.2">
      <c r="B263" s="157"/>
    </row>
    <row r="264" spans="2:2" x14ac:dyDescent="0.2">
      <c r="B264" s="157"/>
    </row>
    <row r="265" spans="2:2" x14ac:dyDescent="0.2">
      <c r="B265" s="157"/>
    </row>
    <row r="266" spans="2:2" x14ac:dyDescent="0.2">
      <c r="B266" s="157"/>
    </row>
    <row r="267" spans="2:2" x14ac:dyDescent="0.2">
      <c r="B267" s="157"/>
    </row>
    <row r="268" spans="2:2" x14ac:dyDescent="0.2">
      <c r="B268" s="157"/>
    </row>
    <row r="269" spans="2:2" x14ac:dyDescent="0.2">
      <c r="B269" s="157"/>
    </row>
    <row r="270" spans="2:2" x14ac:dyDescent="0.2">
      <c r="B270" s="157"/>
    </row>
    <row r="271" spans="2:2" x14ac:dyDescent="0.2">
      <c r="B271" s="157"/>
    </row>
    <row r="272" spans="2:2" x14ac:dyDescent="0.2">
      <c r="B272" s="157"/>
    </row>
    <row r="273" spans="2:2" x14ac:dyDescent="0.2">
      <c r="B273" s="157"/>
    </row>
    <row r="274" spans="2:2" x14ac:dyDescent="0.2">
      <c r="B274" s="157"/>
    </row>
    <row r="275" spans="2:2" x14ac:dyDescent="0.2">
      <c r="B275" s="157"/>
    </row>
    <row r="276" spans="2:2" x14ac:dyDescent="0.2">
      <c r="B276" s="157"/>
    </row>
    <row r="277" spans="2:2" x14ac:dyDescent="0.2">
      <c r="B277" s="157"/>
    </row>
    <row r="278" spans="2:2" x14ac:dyDescent="0.2">
      <c r="B278" s="157"/>
    </row>
    <row r="279" spans="2:2" x14ac:dyDescent="0.2">
      <c r="B279" s="157"/>
    </row>
    <row r="280" spans="2:2" x14ac:dyDescent="0.2">
      <c r="B280" s="157"/>
    </row>
    <row r="281" spans="2:2" x14ac:dyDescent="0.2">
      <c r="B281" s="157"/>
    </row>
    <row r="282" spans="2:2" x14ac:dyDescent="0.2">
      <c r="B282" s="157"/>
    </row>
    <row r="283" spans="2:2" x14ac:dyDescent="0.2">
      <c r="B283" s="157"/>
    </row>
    <row r="284" spans="2:2" x14ac:dyDescent="0.2">
      <c r="B284" s="157"/>
    </row>
    <row r="285" spans="2:2" x14ac:dyDescent="0.2">
      <c r="B285" s="157"/>
    </row>
    <row r="286" spans="2:2" x14ac:dyDescent="0.2">
      <c r="B286" s="157"/>
    </row>
    <row r="287" spans="2:2" x14ac:dyDescent="0.2">
      <c r="B287" s="157"/>
    </row>
    <row r="288" spans="2:2" x14ac:dyDescent="0.2">
      <c r="B288" s="157"/>
    </row>
    <row r="289" spans="2:2" x14ac:dyDescent="0.2">
      <c r="B289" s="157"/>
    </row>
    <row r="290" spans="2:2" x14ac:dyDescent="0.2">
      <c r="B290" s="157"/>
    </row>
    <row r="291" spans="2:2" x14ac:dyDescent="0.2">
      <c r="B291" s="157"/>
    </row>
    <row r="292" spans="2:2" x14ac:dyDescent="0.2">
      <c r="B292" s="157"/>
    </row>
    <row r="293" spans="2:2" x14ac:dyDescent="0.2">
      <c r="B293" s="157"/>
    </row>
    <row r="294" spans="2:2" x14ac:dyDescent="0.2">
      <c r="B294" s="157"/>
    </row>
    <row r="295" spans="2:2" x14ac:dyDescent="0.2">
      <c r="B295" s="157"/>
    </row>
    <row r="296" spans="2:2" x14ac:dyDescent="0.2">
      <c r="B296" s="157"/>
    </row>
    <row r="297" spans="2:2" x14ac:dyDescent="0.2">
      <c r="B297" s="157"/>
    </row>
    <row r="298" spans="2:2" x14ac:dyDescent="0.2">
      <c r="B298" s="157"/>
    </row>
    <row r="299" spans="2:2" x14ac:dyDescent="0.2">
      <c r="B299" s="157"/>
    </row>
    <row r="300" spans="2:2" x14ac:dyDescent="0.2">
      <c r="B300" s="157"/>
    </row>
    <row r="301" spans="2:2" x14ac:dyDescent="0.2">
      <c r="B301" s="157"/>
    </row>
    <row r="302" spans="2:2" x14ac:dyDescent="0.2">
      <c r="B302" s="157"/>
    </row>
    <row r="303" spans="2:2" x14ac:dyDescent="0.2">
      <c r="B303" s="157"/>
    </row>
    <row r="304" spans="2:2" x14ac:dyDescent="0.2">
      <c r="B304" s="157"/>
    </row>
    <row r="305" spans="2:2" x14ac:dyDescent="0.2">
      <c r="B305" s="157"/>
    </row>
    <row r="306" spans="2:2" x14ac:dyDescent="0.2">
      <c r="B306" s="157"/>
    </row>
    <row r="307" spans="2:2" x14ac:dyDescent="0.2">
      <c r="B307" s="157"/>
    </row>
    <row r="308" spans="2:2" x14ac:dyDescent="0.2">
      <c r="B308" s="157"/>
    </row>
    <row r="309" spans="2:2" x14ac:dyDescent="0.2">
      <c r="B309" s="157"/>
    </row>
    <row r="310" spans="2:2" x14ac:dyDescent="0.2">
      <c r="B310" s="157"/>
    </row>
    <row r="311" spans="2:2" x14ac:dyDescent="0.2">
      <c r="B311" s="157"/>
    </row>
    <row r="312" spans="2:2" x14ac:dyDescent="0.2">
      <c r="B312" s="157"/>
    </row>
    <row r="313" spans="2:2" x14ac:dyDescent="0.2">
      <c r="B313" s="157"/>
    </row>
    <row r="314" spans="2:2" x14ac:dyDescent="0.2">
      <c r="B314" s="157"/>
    </row>
    <row r="315" spans="2:2" x14ac:dyDescent="0.2">
      <c r="B315" s="157"/>
    </row>
    <row r="316" spans="2:2" x14ac:dyDescent="0.2">
      <c r="B316" s="157"/>
    </row>
    <row r="317" spans="2:2" x14ac:dyDescent="0.2">
      <c r="B317" s="157"/>
    </row>
    <row r="318" spans="2:2" x14ac:dyDescent="0.2">
      <c r="B318" s="157"/>
    </row>
    <row r="319" spans="2:2" x14ac:dyDescent="0.2">
      <c r="B319" s="157"/>
    </row>
    <row r="320" spans="2:2" x14ac:dyDescent="0.2">
      <c r="B320" s="157"/>
    </row>
    <row r="321" spans="2:2" x14ac:dyDescent="0.2">
      <c r="B321" s="157"/>
    </row>
    <row r="322" spans="2:2" x14ac:dyDescent="0.2">
      <c r="B322" s="157"/>
    </row>
    <row r="323" spans="2:2" x14ac:dyDescent="0.2">
      <c r="B323" s="157"/>
    </row>
    <row r="324" spans="2:2" x14ac:dyDescent="0.2">
      <c r="B324" s="157"/>
    </row>
    <row r="325" spans="2:2" x14ac:dyDescent="0.2">
      <c r="B325" s="157"/>
    </row>
    <row r="326" spans="2:2" x14ac:dyDescent="0.2">
      <c r="B326" s="157"/>
    </row>
    <row r="327" spans="2:2" x14ac:dyDescent="0.2">
      <c r="B327" s="157"/>
    </row>
    <row r="328" spans="2:2" x14ac:dyDescent="0.2">
      <c r="B328" s="157"/>
    </row>
    <row r="329" spans="2:2" x14ac:dyDescent="0.2">
      <c r="B329" s="157"/>
    </row>
    <row r="330" spans="2:2" x14ac:dyDescent="0.2">
      <c r="B330" s="157"/>
    </row>
    <row r="331" spans="2:2" x14ac:dyDescent="0.2">
      <c r="B331" s="157"/>
    </row>
    <row r="332" spans="2:2" x14ac:dyDescent="0.2">
      <c r="B332" s="157"/>
    </row>
    <row r="333" spans="2:2" x14ac:dyDescent="0.2">
      <c r="B333" s="157"/>
    </row>
    <row r="334" spans="2:2" x14ac:dyDescent="0.2">
      <c r="B334" s="157"/>
    </row>
    <row r="335" spans="2:2" x14ac:dyDescent="0.2">
      <c r="B335" s="157"/>
    </row>
    <row r="336" spans="2:2" x14ac:dyDescent="0.2">
      <c r="B336" s="157"/>
    </row>
    <row r="337" spans="2:2" x14ac:dyDescent="0.2">
      <c r="B337" s="157"/>
    </row>
    <row r="338" spans="2:2" x14ac:dyDescent="0.2">
      <c r="B338" s="157"/>
    </row>
    <row r="339" spans="2:2" x14ac:dyDescent="0.2">
      <c r="B339" s="157"/>
    </row>
    <row r="340" spans="2:2" x14ac:dyDescent="0.2">
      <c r="B340" s="157"/>
    </row>
    <row r="341" spans="2:2" x14ac:dyDescent="0.2">
      <c r="B341" s="157"/>
    </row>
    <row r="342" spans="2:2" x14ac:dyDescent="0.2">
      <c r="B342" s="157"/>
    </row>
    <row r="343" spans="2:2" x14ac:dyDescent="0.2">
      <c r="B343" s="157"/>
    </row>
    <row r="344" spans="2:2" x14ac:dyDescent="0.2">
      <c r="B344" s="157"/>
    </row>
    <row r="345" spans="2:2" x14ac:dyDescent="0.2">
      <c r="B345" s="157"/>
    </row>
    <row r="346" spans="2:2" x14ac:dyDescent="0.2">
      <c r="B346" s="157"/>
    </row>
    <row r="347" spans="2:2" x14ac:dyDescent="0.2">
      <c r="B347" s="157"/>
    </row>
    <row r="348" spans="2:2" x14ac:dyDescent="0.2">
      <c r="B348" s="157"/>
    </row>
    <row r="349" spans="2:2" x14ac:dyDescent="0.2">
      <c r="B349" s="157"/>
    </row>
    <row r="350" spans="2:2" x14ac:dyDescent="0.2">
      <c r="B350" s="157"/>
    </row>
    <row r="351" spans="2:2" x14ac:dyDescent="0.2">
      <c r="B351" s="157"/>
    </row>
    <row r="352" spans="2:2" x14ac:dyDescent="0.2">
      <c r="B352" s="157"/>
    </row>
    <row r="353" spans="2:2" x14ac:dyDescent="0.2">
      <c r="B353" s="157"/>
    </row>
    <row r="354" spans="2:2" x14ac:dyDescent="0.2">
      <c r="B354" s="157"/>
    </row>
    <row r="355" spans="2:2" x14ac:dyDescent="0.2">
      <c r="B355" s="157"/>
    </row>
    <row r="356" spans="2:2" x14ac:dyDescent="0.2">
      <c r="B356" s="157"/>
    </row>
    <row r="357" spans="2:2" x14ac:dyDescent="0.2">
      <c r="B357" s="157"/>
    </row>
    <row r="358" spans="2:2" x14ac:dyDescent="0.2">
      <c r="B358" s="157"/>
    </row>
    <row r="359" spans="2:2" x14ac:dyDescent="0.2">
      <c r="B359" s="157"/>
    </row>
    <row r="360" spans="2:2" x14ac:dyDescent="0.2">
      <c r="B360" s="157"/>
    </row>
    <row r="361" spans="2:2" x14ac:dyDescent="0.2">
      <c r="B361" s="157"/>
    </row>
    <row r="362" spans="2:2" x14ac:dyDescent="0.2">
      <c r="B362" s="157"/>
    </row>
    <row r="363" spans="2:2" x14ac:dyDescent="0.2">
      <c r="B363" s="157"/>
    </row>
    <row r="364" spans="2:2" x14ac:dyDescent="0.2">
      <c r="B364" s="157"/>
    </row>
    <row r="365" spans="2:2" x14ac:dyDescent="0.2">
      <c r="B365" s="157"/>
    </row>
    <row r="366" spans="2:2" x14ac:dyDescent="0.2">
      <c r="B366" s="157"/>
    </row>
    <row r="367" spans="2:2" x14ac:dyDescent="0.2">
      <c r="B367" s="157"/>
    </row>
    <row r="368" spans="2:2" x14ac:dyDescent="0.2">
      <c r="B368" s="157"/>
    </row>
    <row r="369" spans="2:2" x14ac:dyDescent="0.2">
      <c r="B369" s="157"/>
    </row>
    <row r="370" spans="2:2" x14ac:dyDescent="0.2">
      <c r="B370" s="157"/>
    </row>
    <row r="371" spans="2:2" x14ac:dyDescent="0.2">
      <c r="B371" s="157"/>
    </row>
    <row r="372" spans="2:2" x14ac:dyDescent="0.2">
      <c r="B372" s="157"/>
    </row>
    <row r="373" spans="2:2" x14ac:dyDescent="0.2">
      <c r="B373" s="157"/>
    </row>
    <row r="374" spans="2:2" x14ac:dyDescent="0.2">
      <c r="B374" s="157"/>
    </row>
    <row r="375" spans="2:2" x14ac:dyDescent="0.2">
      <c r="B375" s="157"/>
    </row>
    <row r="376" spans="2:2" x14ac:dyDescent="0.2">
      <c r="B376" s="157"/>
    </row>
    <row r="377" spans="2:2" x14ac:dyDescent="0.2">
      <c r="B377" s="157"/>
    </row>
    <row r="378" spans="2:2" x14ac:dyDescent="0.2">
      <c r="B378" s="157"/>
    </row>
    <row r="379" spans="2:2" x14ac:dyDescent="0.2">
      <c r="B379" s="157"/>
    </row>
    <row r="380" spans="2:2" x14ac:dyDescent="0.2">
      <c r="B380" s="157"/>
    </row>
    <row r="381" spans="2:2" x14ac:dyDescent="0.2">
      <c r="B381" s="157"/>
    </row>
    <row r="382" spans="2:2" x14ac:dyDescent="0.2">
      <c r="B382" s="157"/>
    </row>
    <row r="383" spans="2:2" x14ac:dyDescent="0.2">
      <c r="B383" s="157"/>
    </row>
    <row r="384" spans="2:2" x14ac:dyDescent="0.2">
      <c r="B384" s="157"/>
    </row>
    <row r="385" spans="2:2" x14ac:dyDescent="0.2">
      <c r="B385" s="157"/>
    </row>
    <row r="386" spans="2:2" x14ac:dyDescent="0.2">
      <c r="B386" s="157"/>
    </row>
    <row r="387" spans="2:2" x14ac:dyDescent="0.2">
      <c r="B387" s="157"/>
    </row>
    <row r="388" spans="2:2" x14ac:dyDescent="0.2">
      <c r="B388" s="157"/>
    </row>
    <row r="389" spans="2:2" x14ac:dyDescent="0.2">
      <c r="B389" s="157"/>
    </row>
    <row r="390" spans="2:2" x14ac:dyDescent="0.2">
      <c r="B390" s="157"/>
    </row>
    <row r="391" spans="2:2" x14ac:dyDescent="0.2">
      <c r="B391" s="157"/>
    </row>
    <row r="392" spans="2:2" x14ac:dyDescent="0.2">
      <c r="B392" s="157"/>
    </row>
    <row r="393" spans="2:2" x14ac:dyDescent="0.2">
      <c r="B393" s="157"/>
    </row>
    <row r="394" spans="2:2" x14ac:dyDescent="0.2">
      <c r="B394" s="157"/>
    </row>
    <row r="395" spans="2:2" x14ac:dyDescent="0.2">
      <c r="B395" s="157"/>
    </row>
    <row r="396" spans="2:2" x14ac:dyDescent="0.2">
      <c r="B396" s="157"/>
    </row>
    <row r="397" spans="2:2" x14ac:dyDescent="0.2">
      <c r="B397" s="157"/>
    </row>
    <row r="398" spans="2:2" x14ac:dyDescent="0.2">
      <c r="B398" s="157"/>
    </row>
    <row r="399" spans="2:2" x14ac:dyDescent="0.2">
      <c r="B399" s="157"/>
    </row>
    <row r="400" spans="2:2" x14ac:dyDescent="0.2">
      <c r="B400" s="157"/>
    </row>
    <row r="401" spans="2:2" x14ac:dyDescent="0.2">
      <c r="B401" s="157"/>
    </row>
    <row r="402" spans="2:2" x14ac:dyDescent="0.2">
      <c r="B402" s="157"/>
    </row>
    <row r="403" spans="2:2" x14ac:dyDescent="0.2">
      <c r="B403" s="157"/>
    </row>
    <row r="404" spans="2:2" x14ac:dyDescent="0.2">
      <c r="B404" s="157"/>
    </row>
    <row r="405" spans="2:2" x14ac:dyDescent="0.2">
      <c r="B405" s="157"/>
    </row>
    <row r="406" spans="2:2" x14ac:dyDescent="0.2">
      <c r="B406" s="157"/>
    </row>
    <row r="407" spans="2:2" x14ac:dyDescent="0.2">
      <c r="B407" s="157"/>
    </row>
    <row r="408" spans="2:2" x14ac:dyDescent="0.2">
      <c r="B408" s="157"/>
    </row>
    <row r="409" spans="2:2" x14ac:dyDescent="0.2">
      <c r="B409" s="157"/>
    </row>
    <row r="410" spans="2:2" x14ac:dyDescent="0.2">
      <c r="B410" s="157"/>
    </row>
    <row r="411" spans="2:2" x14ac:dyDescent="0.2">
      <c r="B411" s="157"/>
    </row>
    <row r="412" spans="2:2" x14ac:dyDescent="0.2">
      <c r="B412" s="157"/>
    </row>
    <row r="413" spans="2:2" x14ac:dyDescent="0.2">
      <c r="B413" s="157"/>
    </row>
    <row r="414" spans="2:2" x14ac:dyDescent="0.2">
      <c r="B414" s="157"/>
    </row>
    <row r="415" spans="2:2" x14ac:dyDescent="0.2">
      <c r="B415" s="157"/>
    </row>
    <row r="416" spans="2:2" x14ac:dyDescent="0.2">
      <c r="B416" s="157"/>
    </row>
    <row r="417" spans="2:2" x14ac:dyDescent="0.2">
      <c r="B417" s="157"/>
    </row>
    <row r="418" spans="2:2" x14ac:dyDescent="0.2">
      <c r="B418" s="157"/>
    </row>
    <row r="419" spans="2:2" x14ac:dyDescent="0.2">
      <c r="B419" s="157"/>
    </row>
    <row r="420" spans="2:2" x14ac:dyDescent="0.2">
      <c r="B420" s="157"/>
    </row>
    <row r="421" spans="2:2" x14ac:dyDescent="0.2">
      <c r="B421" s="157"/>
    </row>
    <row r="422" spans="2:2" x14ac:dyDescent="0.2">
      <c r="B422" s="157"/>
    </row>
    <row r="423" spans="2:2" x14ac:dyDescent="0.2">
      <c r="B423" s="157"/>
    </row>
    <row r="424" spans="2:2" x14ac:dyDescent="0.2">
      <c r="B424" s="157"/>
    </row>
    <row r="425" spans="2:2" x14ac:dyDescent="0.2">
      <c r="B425" s="157"/>
    </row>
    <row r="426" spans="2:2" x14ac:dyDescent="0.2">
      <c r="B426" s="157"/>
    </row>
    <row r="427" spans="2:2" x14ac:dyDescent="0.2">
      <c r="B427" s="157"/>
    </row>
    <row r="428" spans="2:2" x14ac:dyDescent="0.2">
      <c r="B428" s="157"/>
    </row>
    <row r="429" spans="2:2" x14ac:dyDescent="0.2">
      <c r="B429" s="157"/>
    </row>
    <row r="430" spans="2:2" x14ac:dyDescent="0.2">
      <c r="B430" s="157"/>
    </row>
    <row r="431" spans="2:2" x14ac:dyDescent="0.2">
      <c r="B431" s="157"/>
    </row>
    <row r="432" spans="2:2" x14ac:dyDescent="0.2">
      <c r="B432" s="157"/>
    </row>
    <row r="433" spans="2:2" x14ac:dyDescent="0.2">
      <c r="B433" s="157"/>
    </row>
    <row r="434" spans="2:2" x14ac:dyDescent="0.2">
      <c r="B434" s="157"/>
    </row>
    <row r="435" spans="2:2" x14ac:dyDescent="0.2">
      <c r="B435" s="157"/>
    </row>
    <row r="436" spans="2:2" x14ac:dyDescent="0.2">
      <c r="B436" s="157"/>
    </row>
    <row r="437" spans="2:2" x14ac:dyDescent="0.2">
      <c r="B437" s="157"/>
    </row>
    <row r="438" spans="2:2" x14ac:dyDescent="0.2">
      <c r="B438" s="157"/>
    </row>
    <row r="439" spans="2:2" x14ac:dyDescent="0.2">
      <c r="B439" s="157"/>
    </row>
    <row r="440" spans="2:2" x14ac:dyDescent="0.2">
      <c r="B440" s="157"/>
    </row>
    <row r="441" spans="2:2" x14ac:dyDescent="0.2">
      <c r="B441" s="157"/>
    </row>
    <row r="442" spans="2:2" x14ac:dyDescent="0.2">
      <c r="B442" s="157"/>
    </row>
    <row r="443" spans="2:2" x14ac:dyDescent="0.2">
      <c r="B443" s="157"/>
    </row>
    <row r="444" spans="2:2" x14ac:dyDescent="0.2">
      <c r="B444" s="157"/>
    </row>
    <row r="445" spans="2:2" x14ac:dyDescent="0.2">
      <c r="B445" s="157"/>
    </row>
    <row r="446" spans="2:2" x14ac:dyDescent="0.2">
      <c r="B446" s="157"/>
    </row>
    <row r="447" spans="2:2" x14ac:dyDescent="0.2">
      <c r="B447" s="157"/>
    </row>
    <row r="448" spans="2:2" x14ac:dyDescent="0.2">
      <c r="B448" s="157"/>
    </row>
    <row r="449" spans="2:2" x14ac:dyDescent="0.2">
      <c r="B449" s="157"/>
    </row>
    <row r="450" spans="2:2" x14ac:dyDescent="0.2">
      <c r="B450" s="157"/>
    </row>
    <row r="451" spans="2:2" x14ac:dyDescent="0.2">
      <c r="B451" s="157"/>
    </row>
    <row r="452" spans="2:2" x14ac:dyDescent="0.2">
      <c r="B452" s="157"/>
    </row>
    <row r="453" spans="2:2" x14ac:dyDescent="0.2">
      <c r="B453" s="157"/>
    </row>
    <row r="454" spans="2:2" x14ac:dyDescent="0.2">
      <c r="B454" s="157"/>
    </row>
    <row r="455" spans="2:2" x14ac:dyDescent="0.2">
      <c r="B455" s="157"/>
    </row>
    <row r="456" spans="2:2" x14ac:dyDescent="0.2">
      <c r="B456" s="157"/>
    </row>
    <row r="457" spans="2:2" x14ac:dyDescent="0.2">
      <c r="B457" s="157"/>
    </row>
    <row r="458" spans="2:2" x14ac:dyDescent="0.2">
      <c r="B458" s="157"/>
    </row>
    <row r="459" spans="2:2" x14ac:dyDescent="0.2">
      <c r="B459" s="157"/>
    </row>
    <row r="460" spans="2:2" x14ac:dyDescent="0.2">
      <c r="B460" s="157"/>
    </row>
    <row r="461" spans="2:2" x14ac:dyDescent="0.2">
      <c r="B461" s="157"/>
    </row>
    <row r="462" spans="2:2" x14ac:dyDescent="0.2">
      <c r="B462" s="157"/>
    </row>
    <row r="463" spans="2:2" x14ac:dyDescent="0.2">
      <c r="B463" s="157"/>
    </row>
    <row r="464" spans="2:2" x14ac:dyDescent="0.2">
      <c r="B464" s="157"/>
    </row>
    <row r="465" spans="2:2" x14ac:dyDescent="0.2">
      <c r="B465" s="157"/>
    </row>
    <row r="466" spans="2:2" x14ac:dyDescent="0.2">
      <c r="B466" s="157"/>
    </row>
    <row r="467" spans="2:2" x14ac:dyDescent="0.2">
      <c r="B467" s="157"/>
    </row>
    <row r="468" spans="2:2" x14ac:dyDescent="0.2">
      <c r="B468" s="157"/>
    </row>
    <row r="469" spans="2:2" x14ac:dyDescent="0.2">
      <c r="B469" s="157"/>
    </row>
    <row r="470" spans="2:2" x14ac:dyDescent="0.2">
      <c r="B470" s="157"/>
    </row>
    <row r="471" spans="2:2" x14ac:dyDescent="0.2">
      <c r="B471" s="157"/>
    </row>
    <row r="472" spans="2:2" x14ac:dyDescent="0.2">
      <c r="B472" s="157"/>
    </row>
    <row r="473" spans="2:2" x14ac:dyDescent="0.2">
      <c r="B473" s="157"/>
    </row>
    <row r="474" spans="2:2" x14ac:dyDescent="0.2">
      <c r="B474" s="157"/>
    </row>
    <row r="475" spans="2:2" x14ac:dyDescent="0.2">
      <c r="B475" s="157"/>
    </row>
    <row r="476" spans="2:2" x14ac:dyDescent="0.2">
      <c r="B476" s="157"/>
    </row>
    <row r="477" spans="2:2" x14ac:dyDescent="0.2">
      <c r="B477" s="157"/>
    </row>
    <row r="478" spans="2:2" x14ac:dyDescent="0.2">
      <c r="B478" s="157"/>
    </row>
    <row r="479" spans="2:2" x14ac:dyDescent="0.2">
      <c r="B479" s="157"/>
    </row>
    <row r="480" spans="2:2" x14ac:dyDescent="0.2">
      <c r="B480" s="157"/>
    </row>
    <row r="481" spans="2:2" x14ac:dyDescent="0.2">
      <c r="B481" s="157"/>
    </row>
    <row r="482" spans="2:2" x14ac:dyDescent="0.2">
      <c r="B482" s="157"/>
    </row>
    <row r="483" spans="2:2" x14ac:dyDescent="0.2">
      <c r="B483" s="157"/>
    </row>
    <row r="484" spans="2:2" x14ac:dyDescent="0.2">
      <c r="B484" s="157"/>
    </row>
    <row r="485" spans="2:2" x14ac:dyDescent="0.2">
      <c r="B485" s="157"/>
    </row>
    <row r="486" spans="2:2" x14ac:dyDescent="0.2">
      <c r="B486" s="157"/>
    </row>
    <row r="487" spans="2:2" x14ac:dyDescent="0.2">
      <c r="B487" s="157"/>
    </row>
    <row r="488" spans="2:2" x14ac:dyDescent="0.2">
      <c r="B488" s="157"/>
    </row>
    <row r="489" spans="2:2" x14ac:dyDescent="0.2">
      <c r="B489" s="157"/>
    </row>
    <row r="490" spans="2:2" x14ac:dyDescent="0.2">
      <c r="B490" s="157"/>
    </row>
    <row r="491" spans="2:2" x14ac:dyDescent="0.2">
      <c r="B491" s="157"/>
    </row>
    <row r="492" spans="2:2" x14ac:dyDescent="0.2">
      <c r="B492" s="157"/>
    </row>
    <row r="493" spans="2:2" x14ac:dyDescent="0.2">
      <c r="B493" s="157"/>
    </row>
    <row r="494" spans="2:2" x14ac:dyDescent="0.2">
      <c r="B494" s="157"/>
    </row>
    <row r="495" spans="2:2" x14ac:dyDescent="0.2">
      <c r="B495" s="157"/>
    </row>
    <row r="496" spans="2:2" x14ac:dyDescent="0.2">
      <c r="B496" s="157"/>
    </row>
    <row r="497" spans="2:2" x14ac:dyDescent="0.2">
      <c r="B497" s="157"/>
    </row>
    <row r="498" spans="2:2" x14ac:dyDescent="0.2">
      <c r="B498" s="157"/>
    </row>
    <row r="499" spans="2:2" x14ac:dyDescent="0.2">
      <c r="B499" s="157"/>
    </row>
    <row r="500" spans="2:2" x14ac:dyDescent="0.2">
      <c r="B500" s="157"/>
    </row>
    <row r="501" spans="2:2" x14ac:dyDescent="0.2">
      <c r="B501" s="157"/>
    </row>
    <row r="502" spans="2:2" x14ac:dyDescent="0.2">
      <c r="B502" s="157"/>
    </row>
    <row r="503" spans="2:2" x14ac:dyDescent="0.2">
      <c r="B503" s="157"/>
    </row>
    <row r="504" spans="2:2" x14ac:dyDescent="0.2">
      <c r="B504" s="157"/>
    </row>
    <row r="505" spans="2:2" x14ac:dyDescent="0.2">
      <c r="B505" s="157"/>
    </row>
    <row r="506" spans="2:2" x14ac:dyDescent="0.2">
      <c r="B506" s="157"/>
    </row>
    <row r="507" spans="2:2" x14ac:dyDescent="0.2">
      <c r="B507" s="157"/>
    </row>
    <row r="508" spans="2:2" x14ac:dyDescent="0.2">
      <c r="B508" s="157"/>
    </row>
    <row r="509" spans="2:2" x14ac:dyDescent="0.2">
      <c r="B509" s="157"/>
    </row>
    <row r="510" spans="2:2" x14ac:dyDescent="0.2">
      <c r="B510" s="157"/>
    </row>
    <row r="511" spans="2:2" x14ac:dyDescent="0.2">
      <c r="B511" s="157"/>
    </row>
    <row r="512" spans="2:2" x14ac:dyDescent="0.2">
      <c r="B512" s="157"/>
    </row>
    <row r="513" spans="2:2" x14ac:dyDescent="0.2">
      <c r="B513" s="157"/>
    </row>
    <row r="514" spans="2:2" x14ac:dyDescent="0.2">
      <c r="B514" s="157"/>
    </row>
    <row r="515" spans="2:2" x14ac:dyDescent="0.2">
      <c r="B515" s="157"/>
    </row>
    <row r="516" spans="2:2" x14ac:dyDescent="0.2">
      <c r="B516" s="157"/>
    </row>
    <row r="517" spans="2:2" x14ac:dyDescent="0.2">
      <c r="B517" s="157"/>
    </row>
    <row r="518" spans="2:2" x14ac:dyDescent="0.2">
      <c r="B518" s="157"/>
    </row>
    <row r="519" spans="2:2" x14ac:dyDescent="0.2">
      <c r="B519" s="157"/>
    </row>
    <row r="520" spans="2:2" x14ac:dyDescent="0.2">
      <c r="B520" s="157"/>
    </row>
    <row r="521" spans="2:2" x14ac:dyDescent="0.2">
      <c r="B521" s="157"/>
    </row>
    <row r="522" spans="2:2" x14ac:dyDescent="0.2">
      <c r="B522" s="157"/>
    </row>
    <row r="523" spans="2:2" x14ac:dyDescent="0.2">
      <c r="B523" s="157"/>
    </row>
    <row r="524" spans="2:2" x14ac:dyDescent="0.2">
      <c r="B524" s="157"/>
    </row>
    <row r="525" spans="2:2" x14ac:dyDescent="0.2">
      <c r="B525" s="157"/>
    </row>
    <row r="526" spans="2:2" x14ac:dyDescent="0.2">
      <c r="B526" s="157"/>
    </row>
    <row r="527" spans="2:2" x14ac:dyDescent="0.2">
      <c r="B527" s="157"/>
    </row>
    <row r="528" spans="2:2" x14ac:dyDescent="0.2">
      <c r="B528" s="157"/>
    </row>
    <row r="529" spans="2:2" x14ac:dyDescent="0.2">
      <c r="B529" s="157"/>
    </row>
    <row r="530" spans="2:2" x14ac:dyDescent="0.2">
      <c r="B530" s="157"/>
    </row>
    <row r="531" spans="2:2" x14ac:dyDescent="0.2">
      <c r="B531" s="157"/>
    </row>
    <row r="532" spans="2:2" x14ac:dyDescent="0.2">
      <c r="B532" s="157"/>
    </row>
    <row r="533" spans="2:2" x14ac:dyDescent="0.2">
      <c r="B533" s="157"/>
    </row>
    <row r="534" spans="2:2" x14ac:dyDescent="0.2">
      <c r="B534" s="157"/>
    </row>
    <row r="535" spans="2:2" x14ac:dyDescent="0.2">
      <c r="B535" s="157"/>
    </row>
    <row r="536" spans="2:2" x14ac:dyDescent="0.2">
      <c r="B536" s="157"/>
    </row>
    <row r="537" spans="2:2" x14ac:dyDescent="0.2">
      <c r="B537" s="157"/>
    </row>
    <row r="538" spans="2:2" x14ac:dyDescent="0.2">
      <c r="B538" s="157"/>
    </row>
    <row r="539" spans="2:2" x14ac:dyDescent="0.2">
      <c r="B539" s="157"/>
    </row>
    <row r="540" spans="2:2" x14ac:dyDescent="0.2">
      <c r="B540" s="157"/>
    </row>
    <row r="541" spans="2:2" x14ac:dyDescent="0.2">
      <c r="B541" s="157"/>
    </row>
    <row r="542" spans="2:2" x14ac:dyDescent="0.2">
      <c r="B542" s="157"/>
    </row>
    <row r="543" spans="2:2" x14ac:dyDescent="0.2">
      <c r="B543" s="157"/>
    </row>
    <row r="544" spans="2:2" x14ac:dyDescent="0.2">
      <c r="B544" s="157"/>
    </row>
    <row r="545" spans="2:2" x14ac:dyDescent="0.2">
      <c r="B545" s="157"/>
    </row>
    <row r="546" spans="2:2" x14ac:dyDescent="0.2">
      <c r="B546" s="157"/>
    </row>
    <row r="547" spans="2:2" x14ac:dyDescent="0.2">
      <c r="B547" s="157"/>
    </row>
    <row r="548" spans="2:2" x14ac:dyDescent="0.2">
      <c r="B548" s="157"/>
    </row>
    <row r="549" spans="2:2" x14ac:dyDescent="0.2">
      <c r="B549" s="157"/>
    </row>
    <row r="550" spans="2:2" x14ac:dyDescent="0.2">
      <c r="B550" s="157"/>
    </row>
    <row r="551" spans="2:2" x14ac:dyDescent="0.2">
      <c r="B551" s="157"/>
    </row>
    <row r="552" spans="2:2" x14ac:dyDescent="0.2">
      <c r="B552" s="157"/>
    </row>
    <row r="553" spans="2:2" x14ac:dyDescent="0.2">
      <c r="B553" s="157"/>
    </row>
    <row r="554" spans="2:2" x14ac:dyDescent="0.2">
      <c r="B554" s="157"/>
    </row>
    <row r="555" spans="2:2" x14ac:dyDescent="0.2">
      <c r="B555" s="157"/>
    </row>
    <row r="556" spans="2:2" x14ac:dyDescent="0.2">
      <c r="B556" s="157"/>
    </row>
    <row r="557" spans="2:2" x14ac:dyDescent="0.2">
      <c r="B557" s="157"/>
    </row>
    <row r="558" spans="2:2" x14ac:dyDescent="0.2">
      <c r="B558" s="157"/>
    </row>
    <row r="559" spans="2:2" x14ac:dyDescent="0.2">
      <c r="B559" s="157"/>
    </row>
    <row r="560" spans="2:2" x14ac:dyDescent="0.2">
      <c r="B560" s="157"/>
    </row>
    <row r="561" spans="2:2" x14ac:dyDescent="0.2">
      <c r="B561" s="157"/>
    </row>
    <row r="562" spans="2:2" x14ac:dyDescent="0.2">
      <c r="B562" s="157"/>
    </row>
    <row r="563" spans="2:2" x14ac:dyDescent="0.2">
      <c r="B563" s="157"/>
    </row>
    <row r="564" spans="2:2" x14ac:dyDescent="0.2">
      <c r="B564" s="157"/>
    </row>
    <row r="565" spans="2:2" x14ac:dyDescent="0.2">
      <c r="B565" s="157"/>
    </row>
    <row r="566" spans="2:2" x14ac:dyDescent="0.2">
      <c r="B566" s="157"/>
    </row>
    <row r="567" spans="2:2" x14ac:dyDescent="0.2">
      <c r="B567" s="157"/>
    </row>
    <row r="568" spans="2:2" x14ac:dyDescent="0.2">
      <c r="B568" s="157"/>
    </row>
    <row r="569" spans="2:2" x14ac:dyDescent="0.2">
      <c r="B569" s="157"/>
    </row>
    <row r="570" spans="2:2" x14ac:dyDescent="0.2">
      <c r="B570" s="157"/>
    </row>
    <row r="571" spans="2:2" x14ac:dyDescent="0.2">
      <c r="B571" s="157"/>
    </row>
    <row r="572" spans="2:2" x14ac:dyDescent="0.2">
      <c r="B572" s="157"/>
    </row>
    <row r="573" spans="2:2" x14ac:dyDescent="0.2">
      <c r="B573" s="157"/>
    </row>
    <row r="574" spans="2:2" x14ac:dyDescent="0.2">
      <c r="B574" s="157"/>
    </row>
    <row r="575" spans="2:2" x14ac:dyDescent="0.2">
      <c r="B575" s="157"/>
    </row>
    <row r="576" spans="2:2" x14ac:dyDescent="0.2">
      <c r="B576" s="157"/>
    </row>
    <row r="577" spans="2:2" x14ac:dyDescent="0.2">
      <c r="B577" s="157"/>
    </row>
    <row r="578" spans="2:2" x14ac:dyDescent="0.2">
      <c r="B578" s="157"/>
    </row>
    <row r="579" spans="2:2" x14ac:dyDescent="0.2">
      <c r="B579" s="157"/>
    </row>
    <row r="580" spans="2:2" x14ac:dyDescent="0.2">
      <c r="B580" s="157"/>
    </row>
    <row r="581" spans="2:2" x14ac:dyDescent="0.2">
      <c r="B581" s="157"/>
    </row>
    <row r="582" spans="2:2" x14ac:dyDescent="0.2">
      <c r="B582" s="157"/>
    </row>
    <row r="583" spans="2:2" x14ac:dyDescent="0.2">
      <c r="B583" s="157"/>
    </row>
    <row r="584" spans="2:2" x14ac:dyDescent="0.2">
      <c r="B584" s="157"/>
    </row>
    <row r="585" spans="2:2" x14ac:dyDescent="0.2">
      <c r="B585" s="157"/>
    </row>
    <row r="586" spans="2:2" x14ac:dyDescent="0.2">
      <c r="B586" s="157"/>
    </row>
    <row r="587" spans="2:2" x14ac:dyDescent="0.2">
      <c r="B587" s="157"/>
    </row>
    <row r="588" spans="2:2" x14ac:dyDescent="0.2">
      <c r="B588" s="157"/>
    </row>
    <row r="589" spans="2:2" x14ac:dyDescent="0.2">
      <c r="B589" s="157"/>
    </row>
    <row r="590" spans="2:2" x14ac:dyDescent="0.2">
      <c r="B590" s="157"/>
    </row>
    <row r="591" spans="2:2" x14ac:dyDescent="0.2">
      <c r="B591" s="157"/>
    </row>
    <row r="592" spans="2:2" x14ac:dyDescent="0.2">
      <c r="B592" s="157"/>
    </row>
    <row r="593" spans="2:2" x14ac:dyDescent="0.2">
      <c r="B593" s="157"/>
    </row>
    <row r="594" spans="2:2" x14ac:dyDescent="0.2">
      <c r="B594" s="157"/>
    </row>
    <row r="595" spans="2:2" x14ac:dyDescent="0.2">
      <c r="B595" s="157"/>
    </row>
    <row r="596" spans="2:2" x14ac:dyDescent="0.2">
      <c r="B596" s="157"/>
    </row>
    <row r="597" spans="2:2" x14ac:dyDescent="0.2">
      <c r="B597" s="157"/>
    </row>
    <row r="598" spans="2:2" x14ac:dyDescent="0.2">
      <c r="B598" s="157"/>
    </row>
    <row r="599" spans="2:2" x14ac:dyDescent="0.2">
      <c r="B599" s="157"/>
    </row>
    <row r="600" spans="2:2" x14ac:dyDescent="0.2">
      <c r="B600" s="157"/>
    </row>
    <row r="601" spans="2:2" x14ac:dyDescent="0.2">
      <c r="B601" s="157"/>
    </row>
    <row r="602" spans="2:2" x14ac:dyDescent="0.2">
      <c r="B602" s="157"/>
    </row>
    <row r="603" spans="2:2" x14ac:dyDescent="0.2">
      <c r="B603" s="157"/>
    </row>
    <row r="604" spans="2:2" x14ac:dyDescent="0.2">
      <c r="B604" s="157"/>
    </row>
    <row r="605" spans="2:2" x14ac:dyDescent="0.2">
      <c r="B605" s="157"/>
    </row>
    <row r="606" spans="2:2" x14ac:dyDescent="0.2">
      <c r="B606" s="157"/>
    </row>
    <row r="607" spans="2:2" x14ac:dyDescent="0.2">
      <c r="B607" s="157"/>
    </row>
    <row r="608" spans="2:2" x14ac:dyDescent="0.2">
      <c r="B608" s="157"/>
    </row>
    <row r="609" spans="2:2" x14ac:dyDescent="0.2">
      <c r="B609" s="157"/>
    </row>
    <row r="610" spans="2:2" x14ac:dyDescent="0.2">
      <c r="B610" s="157"/>
    </row>
    <row r="611" spans="2:2" x14ac:dyDescent="0.2">
      <c r="B611" s="157"/>
    </row>
    <row r="612" spans="2:2" x14ac:dyDescent="0.2">
      <c r="B612" s="157"/>
    </row>
    <row r="613" spans="2:2" x14ac:dyDescent="0.2">
      <c r="B613" s="157"/>
    </row>
    <row r="614" spans="2:2" x14ac:dyDescent="0.2">
      <c r="B614" s="157"/>
    </row>
    <row r="615" spans="2:2" x14ac:dyDescent="0.2">
      <c r="B615" s="157"/>
    </row>
    <row r="616" spans="2:2" x14ac:dyDescent="0.2">
      <c r="B616" s="157"/>
    </row>
    <row r="617" spans="2:2" x14ac:dyDescent="0.2">
      <c r="B617" s="157"/>
    </row>
    <row r="618" spans="2:2" x14ac:dyDescent="0.2">
      <c r="B618" s="157"/>
    </row>
    <row r="619" spans="2:2" x14ac:dyDescent="0.2">
      <c r="B619" s="157"/>
    </row>
    <row r="620" spans="2:2" x14ac:dyDescent="0.2">
      <c r="B620" s="157"/>
    </row>
    <row r="621" spans="2:2" x14ac:dyDescent="0.2">
      <c r="B621" s="157"/>
    </row>
    <row r="622" spans="2:2" x14ac:dyDescent="0.2">
      <c r="B622" s="157"/>
    </row>
    <row r="623" spans="2:2" x14ac:dyDescent="0.2">
      <c r="B623" s="157"/>
    </row>
    <row r="624" spans="2:2" x14ac:dyDescent="0.2">
      <c r="B624" s="157"/>
    </row>
    <row r="625" spans="2:2" x14ac:dyDescent="0.2">
      <c r="B625" s="157"/>
    </row>
    <row r="626" spans="2:2" x14ac:dyDescent="0.2">
      <c r="B626" s="157"/>
    </row>
    <row r="627" spans="2:2" x14ac:dyDescent="0.2">
      <c r="B627" s="157"/>
    </row>
    <row r="628" spans="2:2" x14ac:dyDescent="0.2">
      <c r="B628" s="157"/>
    </row>
    <row r="629" spans="2:2" x14ac:dyDescent="0.2">
      <c r="B629" s="157"/>
    </row>
    <row r="630" spans="2:2" x14ac:dyDescent="0.2">
      <c r="B630" s="157"/>
    </row>
    <row r="631" spans="2:2" x14ac:dyDescent="0.2">
      <c r="B631" s="157"/>
    </row>
    <row r="632" spans="2:2" x14ac:dyDescent="0.2">
      <c r="B632" s="157"/>
    </row>
    <row r="633" spans="2:2" x14ac:dyDescent="0.2">
      <c r="B633" s="157"/>
    </row>
    <row r="634" spans="2:2" x14ac:dyDescent="0.2">
      <c r="B634" s="157"/>
    </row>
    <row r="635" spans="2:2" x14ac:dyDescent="0.2">
      <c r="B635" s="157"/>
    </row>
    <row r="636" spans="2:2" x14ac:dyDescent="0.2">
      <c r="B636" s="157"/>
    </row>
    <row r="637" spans="2:2" x14ac:dyDescent="0.2">
      <c r="B637" s="157"/>
    </row>
    <row r="638" spans="2:2" x14ac:dyDescent="0.2">
      <c r="B638" s="157"/>
    </row>
    <row r="639" spans="2:2" x14ac:dyDescent="0.2">
      <c r="B639" s="157"/>
    </row>
    <row r="640" spans="2:2" x14ac:dyDescent="0.2">
      <c r="B640" s="157"/>
    </row>
    <row r="641" spans="2:2" x14ac:dyDescent="0.2">
      <c r="B641" s="157"/>
    </row>
    <row r="642" spans="2:2" x14ac:dyDescent="0.2">
      <c r="B642" s="157"/>
    </row>
    <row r="643" spans="2:2" x14ac:dyDescent="0.2">
      <c r="B643" s="157"/>
    </row>
    <row r="644" spans="2:2" x14ac:dyDescent="0.2">
      <c r="B644" s="157"/>
    </row>
    <row r="645" spans="2:2" x14ac:dyDescent="0.2">
      <c r="B645" s="157"/>
    </row>
    <row r="646" spans="2:2" x14ac:dyDescent="0.2">
      <c r="B646" s="157"/>
    </row>
    <row r="647" spans="2:2" x14ac:dyDescent="0.2">
      <c r="B647" s="157"/>
    </row>
    <row r="648" spans="2:2" x14ac:dyDescent="0.2">
      <c r="B648" s="157"/>
    </row>
    <row r="649" spans="2:2" x14ac:dyDescent="0.2">
      <c r="B649" s="157"/>
    </row>
    <row r="650" spans="2:2" x14ac:dyDescent="0.2">
      <c r="B650" s="157"/>
    </row>
    <row r="651" spans="2:2" x14ac:dyDescent="0.2">
      <c r="B651" s="157"/>
    </row>
    <row r="652" spans="2:2" x14ac:dyDescent="0.2">
      <c r="B652" s="157"/>
    </row>
    <row r="653" spans="2:2" x14ac:dyDescent="0.2">
      <c r="B653" s="157"/>
    </row>
    <row r="654" spans="2:2" x14ac:dyDescent="0.2">
      <c r="B654" s="157"/>
    </row>
    <row r="655" spans="2:2" x14ac:dyDescent="0.2">
      <c r="B655" s="157"/>
    </row>
    <row r="656" spans="2:2" x14ac:dyDescent="0.2">
      <c r="B656" s="157"/>
    </row>
    <row r="657" spans="2:2" x14ac:dyDescent="0.2">
      <c r="B657" s="157"/>
    </row>
    <row r="658" spans="2:2" x14ac:dyDescent="0.2">
      <c r="B658" s="157"/>
    </row>
    <row r="659" spans="2:2" x14ac:dyDescent="0.2">
      <c r="B659" s="157"/>
    </row>
    <row r="660" spans="2:2" x14ac:dyDescent="0.2">
      <c r="B660" s="157"/>
    </row>
    <row r="661" spans="2:2" x14ac:dyDescent="0.2">
      <c r="B661" s="157"/>
    </row>
    <row r="662" spans="2:2" x14ac:dyDescent="0.2">
      <c r="B662" s="157"/>
    </row>
    <row r="663" spans="2:2" x14ac:dyDescent="0.2">
      <c r="B663" s="157"/>
    </row>
    <row r="664" spans="2:2" x14ac:dyDescent="0.2">
      <c r="B664" s="157"/>
    </row>
    <row r="665" spans="2:2" x14ac:dyDescent="0.2">
      <c r="B665" s="157"/>
    </row>
    <row r="666" spans="2:2" x14ac:dyDescent="0.2">
      <c r="B666" s="157"/>
    </row>
    <row r="667" spans="2:2" x14ac:dyDescent="0.2">
      <c r="B667" s="157"/>
    </row>
    <row r="668" spans="2:2" x14ac:dyDescent="0.2">
      <c r="B668" s="157"/>
    </row>
    <row r="669" spans="2:2" x14ac:dyDescent="0.2">
      <c r="B669" s="157"/>
    </row>
    <row r="670" spans="2:2" x14ac:dyDescent="0.2">
      <c r="B670" s="157"/>
    </row>
    <row r="671" spans="2:2" x14ac:dyDescent="0.2">
      <c r="B671" s="157"/>
    </row>
    <row r="672" spans="2:2" x14ac:dyDescent="0.2">
      <c r="B672" s="157"/>
    </row>
    <row r="673" spans="2:2" x14ac:dyDescent="0.2">
      <c r="B673" s="157"/>
    </row>
    <row r="674" spans="2:2" x14ac:dyDescent="0.2">
      <c r="B674" s="157"/>
    </row>
    <row r="675" spans="2:2" x14ac:dyDescent="0.2">
      <c r="B675" s="157"/>
    </row>
    <row r="676" spans="2:2" x14ac:dyDescent="0.2">
      <c r="B676" s="157"/>
    </row>
    <row r="677" spans="2:2" x14ac:dyDescent="0.2">
      <c r="B677" s="157"/>
    </row>
    <row r="678" spans="2:2" x14ac:dyDescent="0.2">
      <c r="B678" s="157"/>
    </row>
    <row r="679" spans="2:2" x14ac:dyDescent="0.2">
      <c r="B679" s="157"/>
    </row>
    <row r="680" spans="2:2" x14ac:dyDescent="0.2">
      <c r="B680" s="157"/>
    </row>
    <row r="681" spans="2:2" x14ac:dyDescent="0.2">
      <c r="B681" s="157"/>
    </row>
    <row r="682" spans="2:2" x14ac:dyDescent="0.2">
      <c r="B682" s="157"/>
    </row>
    <row r="683" spans="2:2" x14ac:dyDescent="0.2">
      <c r="B683" s="157"/>
    </row>
    <row r="684" spans="2:2" x14ac:dyDescent="0.2">
      <c r="B684" s="157"/>
    </row>
    <row r="685" spans="2:2" x14ac:dyDescent="0.2">
      <c r="B685" s="157"/>
    </row>
    <row r="686" spans="2:2" x14ac:dyDescent="0.2">
      <c r="B686" s="157"/>
    </row>
    <row r="687" spans="2:2" x14ac:dyDescent="0.2">
      <c r="B687" s="157"/>
    </row>
    <row r="688" spans="2:2" x14ac:dyDescent="0.2">
      <c r="B688" s="157"/>
    </row>
    <row r="689" spans="2:2" x14ac:dyDescent="0.2">
      <c r="B689" s="157"/>
    </row>
    <row r="690" spans="2:2" x14ac:dyDescent="0.2">
      <c r="B690" s="157"/>
    </row>
    <row r="691" spans="2:2" x14ac:dyDescent="0.2">
      <c r="B691" s="157"/>
    </row>
    <row r="692" spans="2:2" x14ac:dyDescent="0.2">
      <c r="B692" s="157"/>
    </row>
    <row r="693" spans="2:2" x14ac:dyDescent="0.2">
      <c r="B693" s="157"/>
    </row>
    <row r="694" spans="2:2" x14ac:dyDescent="0.2">
      <c r="B694" s="157"/>
    </row>
    <row r="695" spans="2:2" x14ac:dyDescent="0.2">
      <c r="B695" s="157"/>
    </row>
    <row r="696" spans="2:2" x14ac:dyDescent="0.2">
      <c r="B696" s="157"/>
    </row>
    <row r="697" spans="2:2" x14ac:dyDescent="0.2">
      <c r="B697" s="157"/>
    </row>
    <row r="698" spans="2:2" x14ac:dyDescent="0.2">
      <c r="B698" s="157"/>
    </row>
    <row r="699" spans="2:2" x14ac:dyDescent="0.2">
      <c r="B699" s="157"/>
    </row>
    <row r="700" spans="2:2" x14ac:dyDescent="0.2">
      <c r="B700" s="157"/>
    </row>
    <row r="701" spans="2:2" x14ac:dyDescent="0.2">
      <c r="B701" s="157"/>
    </row>
    <row r="702" spans="2:2" x14ac:dyDescent="0.2">
      <c r="B702" s="157"/>
    </row>
    <row r="703" spans="2:2" x14ac:dyDescent="0.2">
      <c r="B703" s="157"/>
    </row>
    <row r="704" spans="2:2" x14ac:dyDescent="0.2">
      <c r="B704" s="157"/>
    </row>
    <row r="705" spans="2:2" x14ac:dyDescent="0.2">
      <c r="B705" s="157"/>
    </row>
    <row r="706" spans="2:2" x14ac:dyDescent="0.2">
      <c r="B706" s="157"/>
    </row>
    <row r="707" spans="2:2" x14ac:dyDescent="0.2">
      <c r="B707" s="157"/>
    </row>
    <row r="708" spans="2:2" x14ac:dyDescent="0.2">
      <c r="B708" s="157"/>
    </row>
    <row r="709" spans="2:2" x14ac:dyDescent="0.2">
      <c r="B709" s="157"/>
    </row>
    <row r="710" spans="2:2" x14ac:dyDescent="0.2">
      <c r="B710" s="157"/>
    </row>
    <row r="711" spans="2:2" x14ac:dyDescent="0.2">
      <c r="B711" s="157"/>
    </row>
    <row r="712" spans="2:2" x14ac:dyDescent="0.2">
      <c r="B712" s="157"/>
    </row>
    <row r="713" spans="2:2" x14ac:dyDescent="0.2">
      <c r="B713" s="157"/>
    </row>
    <row r="714" spans="2:2" x14ac:dyDescent="0.2">
      <c r="B714" s="157"/>
    </row>
    <row r="715" spans="2:2" x14ac:dyDescent="0.2">
      <c r="B715" s="157"/>
    </row>
    <row r="716" spans="2:2" x14ac:dyDescent="0.2">
      <c r="B716" s="157"/>
    </row>
    <row r="717" spans="2:2" x14ac:dyDescent="0.2">
      <c r="B717" s="157"/>
    </row>
    <row r="718" spans="2:2" x14ac:dyDescent="0.2">
      <c r="B718" s="157"/>
    </row>
    <row r="719" spans="2:2" x14ac:dyDescent="0.2">
      <c r="B719" s="157"/>
    </row>
    <row r="720" spans="2:2" x14ac:dyDescent="0.2">
      <c r="B720" s="157"/>
    </row>
    <row r="721" spans="2:2" x14ac:dyDescent="0.2">
      <c r="B721" s="157"/>
    </row>
    <row r="722" spans="2:2" x14ac:dyDescent="0.2">
      <c r="B722" s="157"/>
    </row>
    <row r="723" spans="2:2" x14ac:dyDescent="0.2">
      <c r="B723" s="157"/>
    </row>
    <row r="724" spans="2:2" x14ac:dyDescent="0.2">
      <c r="B724" s="157"/>
    </row>
    <row r="725" spans="2:2" x14ac:dyDescent="0.2">
      <c r="B725" s="157"/>
    </row>
    <row r="726" spans="2:2" x14ac:dyDescent="0.2">
      <c r="B726" s="157"/>
    </row>
    <row r="727" spans="2:2" x14ac:dyDescent="0.2">
      <c r="B727" s="157"/>
    </row>
    <row r="728" spans="2:2" x14ac:dyDescent="0.2">
      <c r="B728" s="157"/>
    </row>
    <row r="729" spans="2:2" x14ac:dyDescent="0.2">
      <c r="B729" s="157"/>
    </row>
    <row r="730" spans="2:2" x14ac:dyDescent="0.2">
      <c r="B730" s="157"/>
    </row>
    <row r="731" spans="2:2" x14ac:dyDescent="0.2">
      <c r="B731" s="157"/>
    </row>
    <row r="732" spans="2:2" x14ac:dyDescent="0.2">
      <c r="B732" s="157"/>
    </row>
    <row r="733" spans="2:2" x14ac:dyDescent="0.2">
      <c r="B733" s="157"/>
    </row>
    <row r="734" spans="2:2" x14ac:dyDescent="0.2">
      <c r="B734" s="157"/>
    </row>
    <row r="735" spans="2:2" x14ac:dyDescent="0.2">
      <c r="B735" s="157"/>
    </row>
    <row r="736" spans="2:2" x14ac:dyDescent="0.2">
      <c r="B736" s="157"/>
    </row>
    <row r="737" spans="2:2" x14ac:dyDescent="0.2">
      <c r="B737" s="157"/>
    </row>
    <row r="738" spans="2:2" x14ac:dyDescent="0.2">
      <c r="B738" s="157"/>
    </row>
    <row r="739" spans="2:2" x14ac:dyDescent="0.2">
      <c r="B739" s="157"/>
    </row>
    <row r="740" spans="2:2" x14ac:dyDescent="0.2">
      <c r="B740" s="157"/>
    </row>
    <row r="741" spans="2:2" x14ac:dyDescent="0.2">
      <c r="B741" s="157"/>
    </row>
    <row r="742" spans="2:2" x14ac:dyDescent="0.2">
      <c r="B742" s="157"/>
    </row>
    <row r="743" spans="2:2" x14ac:dyDescent="0.2">
      <c r="B743" s="157"/>
    </row>
    <row r="744" spans="2:2" x14ac:dyDescent="0.2">
      <c r="B744" s="157"/>
    </row>
    <row r="745" spans="2:2" x14ac:dyDescent="0.2">
      <c r="B745" s="157"/>
    </row>
    <row r="746" spans="2:2" x14ac:dyDescent="0.2">
      <c r="B746" s="157"/>
    </row>
    <row r="747" spans="2:2" x14ac:dyDescent="0.2">
      <c r="B747" s="157"/>
    </row>
    <row r="748" spans="2:2" x14ac:dyDescent="0.2">
      <c r="B748" s="157"/>
    </row>
    <row r="749" spans="2:2" x14ac:dyDescent="0.2">
      <c r="B749" s="157"/>
    </row>
    <row r="750" spans="2:2" x14ac:dyDescent="0.2">
      <c r="B750" s="157"/>
    </row>
    <row r="751" spans="2:2" x14ac:dyDescent="0.2">
      <c r="B751" s="157"/>
    </row>
    <row r="752" spans="2:2" x14ac:dyDescent="0.2">
      <c r="B752" s="157"/>
    </row>
    <row r="753" spans="2:2" x14ac:dyDescent="0.2">
      <c r="B753" s="157"/>
    </row>
    <row r="754" spans="2:2" x14ac:dyDescent="0.2">
      <c r="B754" s="157"/>
    </row>
    <row r="755" spans="2:2" x14ac:dyDescent="0.2">
      <c r="B755" s="157"/>
    </row>
    <row r="756" spans="2:2" x14ac:dyDescent="0.2">
      <c r="B756" s="157"/>
    </row>
    <row r="757" spans="2:2" x14ac:dyDescent="0.2">
      <c r="B757" s="157"/>
    </row>
    <row r="758" spans="2:2" x14ac:dyDescent="0.2">
      <c r="B758" s="157"/>
    </row>
    <row r="759" spans="2:2" x14ac:dyDescent="0.2">
      <c r="B759" s="157"/>
    </row>
    <row r="760" spans="2:2" x14ac:dyDescent="0.2">
      <c r="B760" s="157"/>
    </row>
    <row r="761" spans="2:2" x14ac:dyDescent="0.2">
      <c r="B761" s="157"/>
    </row>
    <row r="762" spans="2:2" x14ac:dyDescent="0.2">
      <c r="B762" s="157"/>
    </row>
    <row r="763" spans="2:2" x14ac:dyDescent="0.2">
      <c r="B763" s="157"/>
    </row>
    <row r="764" spans="2:2" x14ac:dyDescent="0.2">
      <c r="B764" s="157"/>
    </row>
    <row r="765" spans="2:2" x14ac:dyDescent="0.2">
      <c r="B765" s="157"/>
    </row>
    <row r="766" spans="2:2" x14ac:dyDescent="0.2">
      <c r="B766" s="157"/>
    </row>
    <row r="767" spans="2:2" x14ac:dyDescent="0.2">
      <c r="B767" s="157"/>
    </row>
    <row r="768" spans="2:2" x14ac:dyDescent="0.2">
      <c r="B768" s="157"/>
    </row>
    <row r="769" spans="2:2" x14ac:dyDescent="0.2">
      <c r="B769" s="157"/>
    </row>
    <row r="770" spans="2:2" x14ac:dyDescent="0.2">
      <c r="B770" s="157"/>
    </row>
    <row r="771" spans="2:2" x14ac:dyDescent="0.2">
      <c r="B771" s="157"/>
    </row>
    <row r="772" spans="2:2" x14ac:dyDescent="0.2">
      <c r="B772" s="157"/>
    </row>
    <row r="773" spans="2:2" x14ac:dyDescent="0.2">
      <c r="B773" s="157"/>
    </row>
    <row r="774" spans="2:2" x14ac:dyDescent="0.2">
      <c r="B774" s="157"/>
    </row>
    <row r="775" spans="2:2" x14ac:dyDescent="0.2">
      <c r="B775" s="157"/>
    </row>
    <row r="776" spans="2:2" x14ac:dyDescent="0.2">
      <c r="B776" s="157"/>
    </row>
    <row r="777" spans="2:2" x14ac:dyDescent="0.2">
      <c r="B777" s="157"/>
    </row>
    <row r="778" spans="2:2" x14ac:dyDescent="0.2">
      <c r="B778" s="157"/>
    </row>
    <row r="779" spans="2:2" x14ac:dyDescent="0.2">
      <c r="B779" s="157"/>
    </row>
    <row r="780" spans="2:2" x14ac:dyDescent="0.2">
      <c r="B780" s="157"/>
    </row>
    <row r="781" spans="2:2" x14ac:dyDescent="0.2">
      <c r="B781" s="157"/>
    </row>
    <row r="782" spans="2:2" x14ac:dyDescent="0.2">
      <c r="B782" s="157"/>
    </row>
    <row r="783" spans="2:2" x14ac:dyDescent="0.2">
      <c r="B783" s="157"/>
    </row>
    <row r="784" spans="2:2" x14ac:dyDescent="0.2">
      <c r="B784" s="157"/>
    </row>
    <row r="785" spans="2:2" x14ac:dyDescent="0.2">
      <c r="B785" s="157"/>
    </row>
    <row r="786" spans="2:2" x14ac:dyDescent="0.2">
      <c r="B786" s="157"/>
    </row>
    <row r="787" spans="2:2" x14ac:dyDescent="0.2">
      <c r="B787" s="157"/>
    </row>
    <row r="788" spans="2:2" x14ac:dyDescent="0.2">
      <c r="B788" s="157"/>
    </row>
    <row r="789" spans="2:2" x14ac:dyDescent="0.2">
      <c r="B789" s="157"/>
    </row>
    <row r="790" spans="2:2" x14ac:dyDescent="0.2">
      <c r="B790" s="157"/>
    </row>
    <row r="791" spans="2:2" x14ac:dyDescent="0.2">
      <c r="B791" s="157"/>
    </row>
    <row r="792" spans="2:2" x14ac:dyDescent="0.2">
      <c r="B792" s="157"/>
    </row>
    <row r="793" spans="2:2" x14ac:dyDescent="0.2">
      <c r="B793" s="157"/>
    </row>
    <row r="794" spans="2:2" x14ac:dyDescent="0.2">
      <c r="B794" s="157"/>
    </row>
    <row r="795" spans="2:2" x14ac:dyDescent="0.2">
      <c r="B795" s="157"/>
    </row>
    <row r="796" spans="2:2" x14ac:dyDescent="0.2">
      <c r="B796" s="157"/>
    </row>
    <row r="797" spans="2:2" x14ac:dyDescent="0.2">
      <c r="B797" s="157"/>
    </row>
    <row r="798" spans="2:2" x14ac:dyDescent="0.2">
      <c r="B798" s="157"/>
    </row>
    <row r="799" spans="2:2" x14ac:dyDescent="0.2">
      <c r="B799" s="157"/>
    </row>
    <row r="800" spans="2:2" x14ac:dyDescent="0.2">
      <c r="B800" s="157"/>
    </row>
    <row r="801" spans="2:2" x14ac:dyDescent="0.2">
      <c r="B801" s="157"/>
    </row>
    <row r="802" spans="2:2" x14ac:dyDescent="0.2">
      <c r="B802" s="157"/>
    </row>
    <row r="803" spans="2:2" x14ac:dyDescent="0.2">
      <c r="B803" s="157"/>
    </row>
    <row r="804" spans="2:2" x14ac:dyDescent="0.2">
      <c r="B804" s="157"/>
    </row>
    <row r="805" spans="2:2" x14ac:dyDescent="0.2">
      <c r="B805" s="157"/>
    </row>
    <row r="806" spans="2:2" x14ac:dyDescent="0.2">
      <c r="B806" s="157"/>
    </row>
    <row r="807" spans="2:2" x14ac:dyDescent="0.2">
      <c r="B807" s="157"/>
    </row>
    <row r="808" spans="2:2" x14ac:dyDescent="0.2">
      <c r="B808" s="157"/>
    </row>
    <row r="809" spans="2:2" x14ac:dyDescent="0.2">
      <c r="B809" s="157"/>
    </row>
    <row r="810" spans="2:2" x14ac:dyDescent="0.2">
      <c r="B810" s="157"/>
    </row>
    <row r="811" spans="2:2" x14ac:dyDescent="0.2">
      <c r="B811" s="157"/>
    </row>
    <row r="812" spans="2:2" x14ac:dyDescent="0.2">
      <c r="B812" s="157"/>
    </row>
    <row r="813" spans="2:2" x14ac:dyDescent="0.2">
      <c r="B813" s="157"/>
    </row>
    <row r="814" spans="2:2" x14ac:dyDescent="0.2">
      <c r="B814" s="157"/>
    </row>
    <row r="815" spans="2:2" x14ac:dyDescent="0.2">
      <c r="B815" s="157"/>
    </row>
    <row r="816" spans="2:2" x14ac:dyDescent="0.2">
      <c r="B816" s="157"/>
    </row>
    <row r="817" spans="2:2" x14ac:dyDescent="0.2">
      <c r="B817" s="157"/>
    </row>
    <row r="818" spans="2:2" x14ac:dyDescent="0.2">
      <c r="B818" s="157"/>
    </row>
    <row r="819" spans="2:2" x14ac:dyDescent="0.2">
      <c r="B819" s="157"/>
    </row>
    <row r="820" spans="2:2" x14ac:dyDescent="0.2">
      <c r="B820" s="157"/>
    </row>
    <row r="821" spans="2:2" x14ac:dyDescent="0.2">
      <c r="B821" s="157"/>
    </row>
    <row r="822" spans="2:2" x14ac:dyDescent="0.2">
      <c r="B822" s="157"/>
    </row>
    <row r="823" spans="2:2" x14ac:dyDescent="0.2">
      <c r="B823" s="157"/>
    </row>
    <row r="824" spans="2:2" x14ac:dyDescent="0.2">
      <c r="B824" s="157"/>
    </row>
    <row r="825" spans="2:2" x14ac:dyDescent="0.2">
      <c r="B825" s="157"/>
    </row>
    <row r="826" spans="2:2" x14ac:dyDescent="0.2">
      <c r="B826" s="157"/>
    </row>
    <row r="827" spans="2:2" x14ac:dyDescent="0.2">
      <c r="B827" s="157"/>
    </row>
    <row r="828" spans="2:2" x14ac:dyDescent="0.2">
      <c r="B828" s="157"/>
    </row>
    <row r="829" spans="2:2" x14ac:dyDescent="0.2">
      <c r="B829" s="157"/>
    </row>
    <row r="830" spans="2:2" x14ac:dyDescent="0.2">
      <c r="B830" s="157"/>
    </row>
    <row r="831" spans="2:2" x14ac:dyDescent="0.2">
      <c r="B831" s="157"/>
    </row>
    <row r="832" spans="2:2" x14ac:dyDescent="0.2">
      <c r="B832" s="157"/>
    </row>
    <row r="833" spans="2:2" x14ac:dyDescent="0.2">
      <c r="B833" s="157"/>
    </row>
    <row r="834" spans="2:2" x14ac:dyDescent="0.2">
      <c r="B834" s="157"/>
    </row>
    <row r="835" spans="2:2" x14ac:dyDescent="0.2">
      <c r="B835" s="157"/>
    </row>
    <row r="836" spans="2:2" x14ac:dyDescent="0.2">
      <c r="B836" s="157"/>
    </row>
    <row r="837" spans="2:2" x14ac:dyDescent="0.2">
      <c r="B837" s="157"/>
    </row>
    <row r="838" spans="2:2" x14ac:dyDescent="0.2">
      <c r="B838" s="157"/>
    </row>
    <row r="839" spans="2:2" x14ac:dyDescent="0.2">
      <c r="B839" s="157"/>
    </row>
    <row r="840" spans="2:2" x14ac:dyDescent="0.2">
      <c r="B840" s="157"/>
    </row>
    <row r="841" spans="2:2" x14ac:dyDescent="0.2">
      <c r="B841" s="157"/>
    </row>
    <row r="842" spans="2:2" x14ac:dyDescent="0.2">
      <c r="B842" s="157"/>
    </row>
    <row r="843" spans="2:2" x14ac:dyDescent="0.2">
      <c r="B843" s="157"/>
    </row>
    <row r="844" spans="2:2" x14ac:dyDescent="0.2">
      <c r="B844" s="157"/>
    </row>
    <row r="845" spans="2:2" x14ac:dyDescent="0.2">
      <c r="B845" s="157"/>
    </row>
    <row r="846" spans="2:2" x14ac:dyDescent="0.2">
      <c r="B846" s="157"/>
    </row>
    <row r="847" spans="2:2" x14ac:dyDescent="0.2">
      <c r="B847" s="157"/>
    </row>
    <row r="848" spans="2:2" x14ac:dyDescent="0.2">
      <c r="B848" s="157"/>
    </row>
    <row r="849" spans="2:2" x14ac:dyDescent="0.2">
      <c r="B849" s="157"/>
    </row>
    <row r="850" spans="2:2" x14ac:dyDescent="0.2">
      <c r="B850" s="157"/>
    </row>
    <row r="851" spans="2:2" x14ac:dyDescent="0.2">
      <c r="B851" s="157"/>
    </row>
    <row r="852" spans="2:2" x14ac:dyDescent="0.2">
      <c r="B852" s="157"/>
    </row>
    <row r="853" spans="2:2" x14ac:dyDescent="0.2">
      <c r="B853" s="157"/>
    </row>
    <row r="854" spans="2:2" x14ac:dyDescent="0.2">
      <c r="B854" s="157"/>
    </row>
    <row r="855" spans="2:2" x14ac:dyDescent="0.2">
      <c r="B855" s="157"/>
    </row>
    <row r="856" spans="2:2" x14ac:dyDescent="0.2">
      <c r="B856" s="157"/>
    </row>
    <row r="857" spans="2:2" x14ac:dyDescent="0.2">
      <c r="B857" s="157"/>
    </row>
    <row r="858" spans="2:2" x14ac:dyDescent="0.2">
      <c r="B858" s="157"/>
    </row>
    <row r="859" spans="2:2" x14ac:dyDescent="0.2">
      <c r="B859" s="157"/>
    </row>
    <row r="860" spans="2:2" x14ac:dyDescent="0.2">
      <c r="B860" s="157"/>
    </row>
    <row r="861" spans="2:2" x14ac:dyDescent="0.2">
      <c r="B861" s="157"/>
    </row>
    <row r="862" spans="2:2" x14ac:dyDescent="0.2">
      <c r="B862" s="157"/>
    </row>
    <row r="863" spans="2:2" x14ac:dyDescent="0.2">
      <c r="B863" s="157"/>
    </row>
    <row r="864" spans="2:2" x14ac:dyDescent="0.2">
      <c r="B864" s="157"/>
    </row>
    <row r="865" spans="2:2" x14ac:dyDescent="0.2">
      <c r="B865" s="157"/>
    </row>
    <row r="866" spans="2:2" x14ac:dyDescent="0.2">
      <c r="B866" s="157"/>
    </row>
    <row r="867" spans="2:2" x14ac:dyDescent="0.2">
      <c r="B867" s="157"/>
    </row>
    <row r="868" spans="2:2" x14ac:dyDescent="0.2">
      <c r="B868" s="157"/>
    </row>
    <row r="869" spans="2:2" x14ac:dyDescent="0.2">
      <c r="B869" s="157"/>
    </row>
    <row r="870" spans="2:2" x14ac:dyDescent="0.2">
      <c r="B870" s="157"/>
    </row>
    <row r="871" spans="2:2" x14ac:dyDescent="0.2">
      <c r="B871" s="157"/>
    </row>
    <row r="872" spans="2:2" x14ac:dyDescent="0.2">
      <c r="B872" s="157"/>
    </row>
    <row r="873" spans="2:2" x14ac:dyDescent="0.2">
      <c r="B873" s="157"/>
    </row>
    <row r="874" spans="2:2" x14ac:dyDescent="0.2">
      <c r="B874" s="157"/>
    </row>
    <row r="875" spans="2:2" x14ac:dyDescent="0.2">
      <c r="B875" s="157"/>
    </row>
    <row r="876" spans="2:2" x14ac:dyDescent="0.2">
      <c r="B876" s="157"/>
    </row>
    <row r="877" spans="2:2" x14ac:dyDescent="0.2">
      <c r="B877" s="157"/>
    </row>
    <row r="878" spans="2:2" x14ac:dyDescent="0.2">
      <c r="B878" s="157"/>
    </row>
    <row r="879" spans="2:2" x14ac:dyDescent="0.2">
      <c r="B879" s="157"/>
    </row>
    <row r="880" spans="2:2" x14ac:dyDescent="0.2">
      <c r="B880" s="157"/>
    </row>
    <row r="881" spans="2:2" x14ac:dyDescent="0.2">
      <c r="B881" s="157"/>
    </row>
    <row r="882" spans="2:2" x14ac:dyDescent="0.2">
      <c r="B882" s="157"/>
    </row>
    <row r="883" spans="2:2" x14ac:dyDescent="0.2">
      <c r="B883" s="157"/>
    </row>
    <row r="884" spans="2:2" x14ac:dyDescent="0.2">
      <c r="B884" s="157"/>
    </row>
    <row r="885" spans="2:2" x14ac:dyDescent="0.2">
      <c r="B885" s="157"/>
    </row>
    <row r="886" spans="2:2" x14ac:dyDescent="0.2">
      <c r="B886" s="157"/>
    </row>
    <row r="887" spans="2:2" x14ac:dyDescent="0.2">
      <c r="B887" s="157"/>
    </row>
    <row r="888" spans="2:2" x14ac:dyDescent="0.2">
      <c r="B888" s="157"/>
    </row>
    <row r="889" spans="2:2" x14ac:dyDescent="0.2">
      <c r="B889" s="157"/>
    </row>
    <row r="890" spans="2:2" x14ac:dyDescent="0.2">
      <c r="B890" s="157"/>
    </row>
    <row r="891" spans="2:2" x14ac:dyDescent="0.2">
      <c r="B891" s="157"/>
    </row>
    <row r="892" spans="2:2" x14ac:dyDescent="0.2">
      <c r="B892" s="157"/>
    </row>
    <row r="893" spans="2:2" x14ac:dyDescent="0.2">
      <c r="B893" s="157"/>
    </row>
    <row r="894" spans="2:2" x14ac:dyDescent="0.2">
      <c r="B894" s="157"/>
    </row>
    <row r="895" spans="2:2" x14ac:dyDescent="0.2">
      <c r="B895" s="157"/>
    </row>
    <row r="896" spans="2:2" x14ac:dyDescent="0.2">
      <c r="B896" s="157"/>
    </row>
    <row r="897" spans="2:2" x14ac:dyDescent="0.2">
      <c r="B897" s="157"/>
    </row>
    <row r="898" spans="2:2" x14ac:dyDescent="0.2">
      <c r="B898" s="157"/>
    </row>
    <row r="899" spans="2:2" x14ac:dyDescent="0.2">
      <c r="B899" s="157"/>
    </row>
    <row r="900" spans="2:2" x14ac:dyDescent="0.2">
      <c r="B900" s="157"/>
    </row>
    <row r="901" spans="2:2" x14ac:dyDescent="0.2">
      <c r="B901" s="157"/>
    </row>
    <row r="902" spans="2:2" x14ac:dyDescent="0.2">
      <c r="B902" s="157"/>
    </row>
    <row r="903" spans="2:2" x14ac:dyDescent="0.2">
      <c r="B903" s="157"/>
    </row>
    <row r="904" spans="2:2" x14ac:dyDescent="0.2">
      <c r="B904" s="157"/>
    </row>
    <row r="905" spans="2:2" x14ac:dyDescent="0.2">
      <c r="B905" s="157"/>
    </row>
    <row r="906" spans="2:2" x14ac:dyDescent="0.2">
      <c r="B906" s="157"/>
    </row>
    <row r="907" spans="2:2" x14ac:dyDescent="0.2">
      <c r="B907" s="157"/>
    </row>
    <row r="908" spans="2:2" x14ac:dyDescent="0.2">
      <c r="B908" s="157"/>
    </row>
    <row r="909" spans="2:2" x14ac:dyDescent="0.2">
      <c r="B909" s="157"/>
    </row>
    <row r="910" spans="2:2" x14ac:dyDescent="0.2">
      <c r="B910" s="157"/>
    </row>
    <row r="911" spans="2:2" x14ac:dyDescent="0.2">
      <c r="B911" s="157"/>
    </row>
    <row r="912" spans="2:2" x14ac:dyDescent="0.2">
      <c r="B912" s="157"/>
    </row>
    <row r="913" spans="2:2" x14ac:dyDescent="0.2">
      <c r="B913" s="157"/>
    </row>
    <row r="914" spans="2:2" x14ac:dyDescent="0.2">
      <c r="B914" s="157"/>
    </row>
    <row r="915" spans="2:2" x14ac:dyDescent="0.2">
      <c r="B915" s="157"/>
    </row>
    <row r="916" spans="2:2" x14ac:dyDescent="0.2">
      <c r="B916" s="157"/>
    </row>
    <row r="917" spans="2:2" x14ac:dyDescent="0.2">
      <c r="B917" s="157"/>
    </row>
    <row r="918" spans="2:2" x14ac:dyDescent="0.2">
      <c r="B918" s="157"/>
    </row>
    <row r="919" spans="2:2" x14ac:dyDescent="0.2">
      <c r="B919" s="157"/>
    </row>
    <row r="920" spans="2:2" x14ac:dyDescent="0.2">
      <c r="B920" s="157"/>
    </row>
    <row r="921" spans="2:2" x14ac:dyDescent="0.2">
      <c r="B921" s="157"/>
    </row>
    <row r="922" spans="2:2" x14ac:dyDescent="0.2">
      <c r="B922" s="157"/>
    </row>
    <row r="923" spans="2:2" x14ac:dyDescent="0.2">
      <c r="B923" s="157"/>
    </row>
    <row r="924" spans="2:2" x14ac:dyDescent="0.2">
      <c r="B924" s="157"/>
    </row>
    <row r="925" spans="2:2" x14ac:dyDescent="0.2">
      <c r="B925" s="157"/>
    </row>
    <row r="926" spans="2:2" x14ac:dyDescent="0.2">
      <c r="B926" s="157"/>
    </row>
    <row r="927" spans="2:2" x14ac:dyDescent="0.2">
      <c r="B927" s="157"/>
    </row>
    <row r="928" spans="2:2" x14ac:dyDescent="0.2">
      <c r="B928" s="157"/>
    </row>
    <row r="929" spans="2:2" x14ac:dyDescent="0.2">
      <c r="B929" s="157"/>
    </row>
    <row r="930" spans="2:2" x14ac:dyDescent="0.2">
      <c r="B930" s="157"/>
    </row>
    <row r="931" spans="2:2" x14ac:dyDescent="0.2">
      <c r="B931" s="157"/>
    </row>
    <row r="932" spans="2:2" x14ac:dyDescent="0.2">
      <c r="B932" s="157"/>
    </row>
    <row r="933" spans="2:2" x14ac:dyDescent="0.2">
      <c r="B933" s="157"/>
    </row>
    <row r="934" spans="2:2" x14ac:dyDescent="0.2">
      <c r="B934" s="157"/>
    </row>
    <row r="935" spans="2:2" x14ac:dyDescent="0.2">
      <c r="B935" s="157"/>
    </row>
    <row r="936" spans="2:2" x14ac:dyDescent="0.2">
      <c r="B936" s="157"/>
    </row>
    <row r="937" spans="2:2" x14ac:dyDescent="0.2">
      <c r="B937" s="157"/>
    </row>
    <row r="938" spans="2:2" x14ac:dyDescent="0.2">
      <c r="B938" s="157"/>
    </row>
    <row r="939" spans="2:2" x14ac:dyDescent="0.2">
      <c r="B939" s="157"/>
    </row>
    <row r="940" spans="2:2" x14ac:dyDescent="0.2">
      <c r="B940" s="157"/>
    </row>
    <row r="941" spans="2:2" x14ac:dyDescent="0.2">
      <c r="B941" s="157"/>
    </row>
    <row r="942" spans="2:2" x14ac:dyDescent="0.2">
      <c r="B942" s="157"/>
    </row>
    <row r="943" spans="2:2" x14ac:dyDescent="0.2">
      <c r="B943" s="157"/>
    </row>
    <row r="944" spans="2:2" x14ac:dyDescent="0.2">
      <c r="B944" s="157"/>
    </row>
    <row r="945" spans="2:2" x14ac:dyDescent="0.2">
      <c r="B945" s="157"/>
    </row>
    <row r="946" spans="2:2" x14ac:dyDescent="0.2">
      <c r="B946" s="157"/>
    </row>
    <row r="947" spans="2:2" x14ac:dyDescent="0.2">
      <c r="B947" s="157"/>
    </row>
    <row r="948" spans="2:2" x14ac:dyDescent="0.2">
      <c r="B948" s="157"/>
    </row>
    <row r="949" spans="2:2" x14ac:dyDescent="0.2">
      <c r="B949" s="157"/>
    </row>
    <row r="950" spans="2:2" x14ac:dyDescent="0.2">
      <c r="B950" s="157"/>
    </row>
    <row r="951" spans="2:2" x14ac:dyDescent="0.2">
      <c r="B951" s="157"/>
    </row>
    <row r="952" spans="2:2" x14ac:dyDescent="0.2">
      <c r="B952" s="157"/>
    </row>
    <row r="953" spans="2:2" x14ac:dyDescent="0.2">
      <c r="B953" s="157"/>
    </row>
    <row r="954" spans="2:2" x14ac:dyDescent="0.2">
      <c r="B954" s="157"/>
    </row>
    <row r="955" spans="2:2" x14ac:dyDescent="0.2">
      <c r="B955" s="157"/>
    </row>
    <row r="956" spans="2:2" x14ac:dyDescent="0.2">
      <c r="B956" s="157"/>
    </row>
    <row r="957" spans="2:2" x14ac:dyDescent="0.2">
      <c r="B957" s="157"/>
    </row>
    <row r="958" spans="2:2" x14ac:dyDescent="0.2">
      <c r="B958" s="157"/>
    </row>
    <row r="959" spans="2:2" x14ac:dyDescent="0.2">
      <c r="B959" s="157"/>
    </row>
    <row r="960" spans="2:2" x14ac:dyDescent="0.2">
      <c r="B960" s="157"/>
    </row>
    <row r="961" spans="2:2" x14ac:dyDescent="0.2">
      <c r="B961" s="157"/>
    </row>
    <row r="962" spans="2:2" x14ac:dyDescent="0.2">
      <c r="B962" s="157"/>
    </row>
    <row r="963" spans="2:2" x14ac:dyDescent="0.2">
      <c r="B963" s="157"/>
    </row>
    <row r="964" spans="2:2" x14ac:dyDescent="0.2">
      <c r="B964" s="157"/>
    </row>
    <row r="965" spans="2:2" x14ac:dyDescent="0.2">
      <c r="B965" s="157"/>
    </row>
    <row r="966" spans="2:2" x14ac:dyDescent="0.2">
      <c r="B966" s="157"/>
    </row>
    <row r="967" spans="2:2" x14ac:dyDescent="0.2">
      <c r="B967" s="157"/>
    </row>
    <row r="968" spans="2:2" x14ac:dyDescent="0.2">
      <c r="B968" s="157"/>
    </row>
    <row r="969" spans="2:2" x14ac:dyDescent="0.2">
      <c r="B969" s="157"/>
    </row>
    <row r="970" spans="2:2" x14ac:dyDescent="0.2">
      <c r="B970" s="157"/>
    </row>
    <row r="971" spans="2:2" x14ac:dyDescent="0.2">
      <c r="B971" s="157"/>
    </row>
    <row r="972" spans="2:2" x14ac:dyDescent="0.2">
      <c r="B972" s="157"/>
    </row>
    <row r="973" spans="2:2" x14ac:dyDescent="0.2">
      <c r="B973" s="157"/>
    </row>
    <row r="974" spans="2:2" x14ac:dyDescent="0.2">
      <c r="B974" s="157"/>
    </row>
    <row r="975" spans="2:2" x14ac:dyDescent="0.2">
      <c r="B975" s="157"/>
    </row>
    <row r="976" spans="2:2" x14ac:dyDescent="0.2">
      <c r="B976" s="157"/>
    </row>
    <row r="977" spans="2:2" x14ac:dyDescent="0.2">
      <c r="B977" s="157"/>
    </row>
    <row r="978" spans="2:2" x14ac:dyDescent="0.2">
      <c r="B978" s="157"/>
    </row>
    <row r="979" spans="2:2" x14ac:dyDescent="0.2">
      <c r="B979" s="157"/>
    </row>
    <row r="980" spans="2:2" x14ac:dyDescent="0.2">
      <c r="B980" s="157"/>
    </row>
    <row r="981" spans="2:2" x14ac:dyDescent="0.2">
      <c r="B981" s="157"/>
    </row>
    <row r="982" spans="2:2" x14ac:dyDescent="0.2">
      <c r="B982" s="157"/>
    </row>
    <row r="983" spans="2:2" x14ac:dyDescent="0.2">
      <c r="B983" s="157"/>
    </row>
    <row r="984" spans="2:2" x14ac:dyDescent="0.2">
      <c r="B984" s="157"/>
    </row>
    <row r="985" spans="2:2" x14ac:dyDescent="0.2">
      <c r="B985" s="157"/>
    </row>
    <row r="986" spans="2:2" x14ac:dyDescent="0.2">
      <c r="B986" s="157"/>
    </row>
    <row r="987" spans="2:2" x14ac:dyDescent="0.2">
      <c r="B987" s="157"/>
    </row>
    <row r="988" spans="2:2" x14ac:dyDescent="0.2">
      <c r="B988" s="157"/>
    </row>
    <row r="989" spans="2:2" x14ac:dyDescent="0.2">
      <c r="B989" s="157"/>
    </row>
    <row r="990" spans="2:2" x14ac:dyDescent="0.2">
      <c r="B990" s="157"/>
    </row>
    <row r="991" spans="2:2" x14ac:dyDescent="0.2">
      <c r="B991" s="157"/>
    </row>
    <row r="992" spans="2:2" x14ac:dyDescent="0.2">
      <c r="B992" s="157"/>
    </row>
    <row r="993" spans="2:2" x14ac:dyDescent="0.2">
      <c r="B993" s="157"/>
    </row>
    <row r="994" spans="2:2" x14ac:dyDescent="0.2">
      <c r="B994" s="157"/>
    </row>
    <row r="995" spans="2:2" x14ac:dyDescent="0.2">
      <c r="B995" s="157"/>
    </row>
    <row r="996" spans="2:2" x14ac:dyDescent="0.2">
      <c r="B996" s="157"/>
    </row>
    <row r="997" spans="2:2" x14ac:dyDescent="0.2">
      <c r="B997" s="157"/>
    </row>
    <row r="998" spans="2:2" x14ac:dyDescent="0.2">
      <c r="B998" s="157"/>
    </row>
    <row r="999" spans="2:2" x14ac:dyDescent="0.2">
      <c r="B999" s="157"/>
    </row>
    <row r="1000" spans="2:2" x14ac:dyDescent="0.2">
      <c r="B1000" s="157"/>
    </row>
  </sheetData>
  <pageMargins left="0.7" right="0.7" top="0.75" bottom="0.75" header="0" footer="0"/>
  <pageSetup paperSize="9" scale="6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999"/>
  <sheetViews>
    <sheetView workbookViewId="0"/>
  </sheetViews>
  <sheetFormatPr defaultColWidth="10.109375" defaultRowHeight="15" customHeight="1" x14ac:dyDescent="0.2"/>
  <cols>
    <col min="1" max="1" width="17.88671875" customWidth="1"/>
    <col min="2" max="2" width="10.88671875" customWidth="1"/>
    <col min="3" max="3" width="18.44140625" customWidth="1"/>
    <col min="4" max="4" width="13.6640625" customWidth="1"/>
    <col min="5" max="5" width="11.109375" customWidth="1"/>
    <col min="6" max="26" width="8.44140625" customWidth="1"/>
  </cols>
  <sheetData>
    <row r="1" spans="1:19" ht="15" customHeight="1" x14ac:dyDescent="0.25">
      <c r="A1" s="198" t="s">
        <v>10</v>
      </c>
      <c r="B1" s="199" t="s">
        <v>404</v>
      </c>
      <c r="C1" s="199" t="s">
        <v>405</v>
      </c>
      <c r="D1" s="199" t="s">
        <v>232</v>
      </c>
      <c r="E1" s="200" t="s">
        <v>233</v>
      </c>
      <c r="F1" s="199" t="s">
        <v>234</v>
      </c>
      <c r="G1" s="199" t="s">
        <v>235</v>
      </c>
      <c r="H1" s="201" t="s">
        <v>236</v>
      </c>
      <c r="I1" s="71" t="s">
        <v>404</v>
      </c>
      <c r="J1" s="200" t="s">
        <v>238</v>
      </c>
      <c r="K1" s="199" t="s">
        <v>234</v>
      </c>
      <c r="L1" s="199" t="s">
        <v>235</v>
      </c>
      <c r="M1" s="201" t="s">
        <v>236</v>
      </c>
      <c r="N1" s="199" t="s">
        <v>239</v>
      </c>
      <c r="O1" s="202" t="s">
        <v>240</v>
      </c>
      <c r="P1" s="71"/>
      <c r="S1" s="71"/>
    </row>
    <row r="2" spans="1:19" ht="15" customHeight="1" x14ac:dyDescent="0.2">
      <c r="A2" s="203" t="s">
        <v>61</v>
      </c>
      <c r="B2" s="157">
        <v>79</v>
      </c>
      <c r="C2" s="157" t="s">
        <v>406</v>
      </c>
      <c r="D2" s="204">
        <v>45252</v>
      </c>
      <c r="E2" s="148">
        <v>23.2</v>
      </c>
      <c r="F2" s="148">
        <v>1.72</v>
      </c>
      <c r="G2" s="148">
        <v>0.56000000000000005</v>
      </c>
      <c r="H2" s="205">
        <v>0</v>
      </c>
      <c r="I2" s="206"/>
      <c r="J2" s="148"/>
      <c r="K2" s="148"/>
      <c r="L2" s="148"/>
      <c r="M2" s="207"/>
      <c r="N2" s="149"/>
      <c r="O2" s="208"/>
      <c r="P2" s="29" t="s">
        <v>407</v>
      </c>
    </row>
    <row r="3" spans="1:19" ht="15" customHeight="1" x14ac:dyDescent="0.25">
      <c r="A3" s="209" t="s">
        <v>63</v>
      </c>
      <c r="B3" s="157" t="s">
        <v>62</v>
      </c>
      <c r="C3" s="157" t="s">
        <v>408</v>
      </c>
      <c r="D3" s="204">
        <v>45536</v>
      </c>
      <c r="E3" s="157"/>
      <c r="F3" s="157"/>
      <c r="G3" s="157"/>
      <c r="H3" s="210">
        <v>8.5</v>
      </c>
      <c r="I3" s="184" t="s">
        <v>131</v>
      </c>
      <c r="J3" s="157"/>
      <c r="K3" s="157"/>
      <c r="L3" s="157"/>
      <c r="M3" s="211">
        <v>9</v>
      </c>
      <c r="N3" s="29"/>
      <c r="O3" s="212"/>
      <c r="P3" s="29" t="s">
        <v>409</v>
      </c>
      <c r="Q3" s="29" t="s">
        <v>409</v>
      </c>
      <c r="R3" s="29" t="s">
        <v>410</v>
      </c>
    </row>
    <row r="4" spans="1:19" ht="15" customHeight="1" x14ac:dyDescent="0.25">
      <c r="A4" s="209" t="s">
        <v>65</v>
      </c>
      <c r="B4" s="157">
        <v>81</v>
      </c>
      <c r="C4" s="157" t="s">
        <v>411</v>
      </c>
      <c r="D4" s="204">
        <v>45388</v>
      </c>
      <c r="E4" s="157">
        <v>2.1</v>
      </c>
      <c r="F4" s="157">
        <v>2.2400000000000002</v>
      </c>
      <c r="G4" s="157">
        <v>1.01</v>
      </c>
      <c r="H4" s="210">
        <v>7.4</v>
      </c>
      <c r="I4" s="184" t="s">
        <v>412</v>
      </c>
      <c r="J4" s="157">
        <v>1.2</v>
      </c>
      <c r="K4" s="157">
        <v>3.13</v>
      </c>
      <c r="L4" s="157">
        <v>0.32</v>
      </c>
      <c r="M4" s="213"/>
      <c r="N4" s="214">
        <f>25*E4</f>
        <v>52.5</v>
      </c>
      <c r="O4" s="212"/>
      <c r="P4" s="29" t="s">
        <v>413</v>
      </c>
    </row>
    <row r="5" spans="1:19" ht="15" customHeight="1" x14ac:dyDescent="0.2">
      <c r="A5" s="209" t="s">
        <v>66</v>
      </c>
      <c r="B5" s="29" t="s">
        <v>67</v>
      </c>
      <c r="C5" s="215"/>
      <c r="D5" s="215"/>
      <c r="E5" s="215"/>
      <c r="F5" s="215"/>
      <c r="G5" s="215"/>
      <c r="H5" s="216"/>
      <c r="I5" s="217"/>
      <c r="J5" s="215"/>
      <c r="K5" s="215"/>
      <c r="L5" s="215"/>
      <c r="M5" s="218"/>
      <c r="N5" s="219"/>
      <c r="O5" s="220"/>
    </row>
    <row r="6" spans="1:19" ht="15" customHeight="1" x14ac:dyDescent="0.25">
      <c r="A6" s="209" t="s">
        <v>68</v>
      </c>
      <c r="B6" s="157">
        <v>91</v>
      </c>
      <c r="C6" s="157" t="s">
        <v>414</v>
      </c>
      <c r="D6" s="204">
        <v>45572</v>
      </c>
      <c r="E6" s="145">
        <v>18.2</v>
      </c>
      <c r="F6" s="145">
        <v>1.83</v>
      </c>
      <c r="G6" s="157">
        <v>0.59</v>
      </c>
      <c r="H6" s="210">
        <v>7.6</v>
      </c>
      <c r="I6" s="184"/>
      <c r="J6" s="157"/>
      <c r="K6" s="157"/>
      <c r="L6" s="157"/>
      <c r="M6" s="213"/>
      <c r="N6" s="214">
        <f>30*E6</f>
        <v>546</v>
      </c>
      <c r="O6" s="212"/>
      <c r="P6" s="29" t="s">
        <v>415</v>
      </c>
    </row>
    <row r="7" spans="1:19" ht="15" customHeight="1" x14ac:dyDescent="0.2">
      <c r="A7" s="209" t="s">
        <v>74</v>
      </c>
      <c r="B7" s="221">
        <v>133</v>
      </c>
      <c r="C7" s="221" t="s">
        <v>416</v>
      </c>
      <c r="D7" s="221" t="s">
        <v>417</v>
      </c>
      <c r="E7" s="221">
        <v>36.299999999999997</v>
      </c>
      <c r="F7" s="221">
        <v>1.8</v>
      </c>
      <c r="G7" s="221">
        <v>0.46</v>
      </c>
      <c r="H7" s="222">
        <v>2.8</v>
      </c>
      <c r="I7" s="184"/>
      <c r="J7" s="157"/>
      <c r="K7" s="157"/>
      <c r="L7" s="157"/>
      <c r="M7" s="213"/>
      <c r="N7" s="29">
        <f>E7*60</f>
        <v>2178</v>
      </c>
      <c r="O7" s="212"/>
      <c r="P7" s="29" t="s">
        <v>409</v>
      </c>
    </row>
    <row r="8" spans="1:19" ht="15" customHeight="1" x14ac:dyDescent="0.2">
      <c r="A8" s="209" t="s">
        <v>75</v>
      </c>
      <c r="B8" s="157">
        <v>126</v>
      </c>
      <c r="C8" s="157" t="s">
        <v>418</v>
      </c>
      <c r="D8" s="157" t="s">
        <v>220</v>
      </c>
      <c r="E8" s="157">
        <v>10.7</v>
      </c>
      <c r="F8" s="157">
        <v>2</v>
      </c>
      <c r="G8" s="157">
        <v>0.44</v>
      </c>
      <c r="H8" s="223">
        <v>2.4</v>
      </c>
      <c r="I8" s="184"/>
      <c r="J8" s="157"/>
      <c r="K8" s="157"/>
      <c r="L8" s="157"/>
      <c r="M8" s="213"/>
      <c r="N8" s="29">
        <f>E8*60</f>
        <v>642</v>
      </c>
      <c r="O8" s="212"/>
      <c r="P8" s="29" t="s">
        <v>409</v>
      </c>
    </row>
    <row r="9" spans="1:19" ht="15" customHeight="1" x14ac:dyDescent="0.2">
      <c r="A9" s="209" t="s">
        <v>76</v>
      </c>
      <c r="B9" s="221">
        <v>103</v>
      </c>
      <c r="C9" s="221" t="s">
        <v>419</v>
      </c>
      <c r="D9" s="224" t="s">
        <v>222</v>
      </c>
      <c r="E9" s="221">
        <v>7.8</v>
      </c>
      <c r="F9" s="221">
        <v>1.96</v>
      </c>
      <c r="G9" s="221">
        <v>0.56999999999999995</v>
      </c>
      <c r="H9" s="222">
        <v>1</v>
      </c>
      <c r="I9" s="184"/>
      <c r="J9" s="157"/>
      <c r="K9" s="157"/>
      <c r="L9" s="157"/>
      <c r="M9" s="213"/>
      <c r="N9" s="29">
        <f>E9*60</f>
        <v>468</v>
      </c>
      <c r="O9" s="212"/>
      <c r="P9" s="29" t="s">
        <v>409</v>
      </c>
    </row>
    <row r="10" spans="1:19" ht="15" customHeight="1" x14ac:dyDescent="0.2">
      <c r="A10" s="209" t="s">
        <v>78</v>
      </c>
      <c r="B10" s="157">
        <v>72</v>
      </c>
      <c r="C10" s="157" t="s">
        <v>420</v>
      </c>
      <c r="D10" s="204">
        <v>45252</v>
      </c>
      <c r="E10" s="157">
        <v>2.2000000000000002</v>
      </c>
      <c r="F10" s="157">
        <v>2.54</v>
      </c>
      <c r="G10" s="157">
        <v>0.36</v>
      </c>
      <c r="H10" s="213">
        <v>0</v>
      </c>
      <c r="I10" s="184"/>
      <c r="J10" s="157"/>
      <c r="K10" s="157"/>
      <c r="L10" s="157"/>
      <c r="M10" s="213"/>
      <c r="N10" s="29"/>
      <c r="O10" s="212"/>
      <c r="P10" s="29" t="s">
        <v>409</v>
      </c>
    </row>
    <row r="11" spans="1:19" ht="15" customHeight="1" x14ac:dyDescent="0.2">
      <c r="A11" s="225" t="s">
        <v>79</v>
      </c>
      <c r="B11" s="164">
        <v>67</v>
      </c>
      <c r="C11" s="164" t="s">
        <v>421</v>
      </c>
      <c r="D11" s="204">
        <v>45250</v>
      </c>
      <c r="E11" s="164">
        <v>3.7</v>
      </c>
      <c r="F11" s="164">
        <v>2.5299999999999998</v>
      </c>
      <c r="G11" s="164">
        <v>0.31</v>
      </c>
      <c r="H11" s="226">
        <v>2.9</v>
      </c>
      <c r="I11" s="227" t="s">
        <v>422</v>
      </c>
      <c r="J11" s="164">
        <v>2</v>
      </c>
      <c r="K11" s="164">
        <v>1.87</v>
      </c>
      <c r="L11" s="164">
        <v>0.35</v>
      </c>
      <c r="M11" s="228"/>
      <c r="N11" s="29">
        <f>25*E11</f>
        <v>92.5</v>
      </c>
      <c r="O11" s="212"/>
      <c r="P11" s="29" t="s">
        <v>413</v>
      </c>
    </row>
    <row r="12" spans="1:19" ht="15" customHeight="1" x14ac:dyDescent="0.2">
      <c r="A12" s="229" t="s">
        <v>13</v>
      </c>
      <c r="B12" s="148">
        <v>82</v>
      </c>
      <c r="C12" s="157" t="s">
        <v>423</v>
      </c>
      <c r="D12" s="230">
        <v>45388</v>
      </c>
      <c r="E12" s="148">
        <v>16</v>
      </c>
      <c r="F12" s="148">
        <v>1.53</v>
      </c>
      <c r="G12" s="148">
        <v>0.53</v>
      </c>
      <c r="H12" s="205">
        <v>2.4</v>
      </c>
      <c r="I12" s="206" t="s">
        <v>424</v>
      </c>
      <c r="J12" s="148">
        <v>7.1</v>
      </c>
      <c r="K12" s="148">
        <v>1.64</v>
      </c>
      <c r="L12" s="148">
        <v>0.41</v>
      </c>
      <c r="M12" s="207"/>
      <c r="N12" s="149"/>
      <c r="O12" s="208"/>
    </row>
    <row r="13" spans="1:19" ht="15" customHeight="1" x14ac:dyDescent="0.2">
      <c r="A13" s="231" t="s">
        <v>15</v>
      </c>
      <c r="B13" s="157">
        <v>93</v>
      </c>
      <c r="C13" s="157" t="s">
        <v>425</v>
      </c>
      <c r="D13" s="204">
        <v>45603</v>
      </c>
      <c r="E13" s="157">
        <v>31.9</v>
      </c>
      <c r="F13" s="157">
        <v>1.86</v>
      </c>
      <c r="G13" s="157">
        <v>0.39</v>
      </c>
      <c r="H13" s="223"/>
      <c r="I13" s="184"/>
      <c r="J13" s="157"/>
      <c r="K13" s="157"/>
      <c r="L13" s="157"/>
      <c r="M13" s="213"/>
      <c r="N13" s="29">
        <f>60*E13</f>
        <v>1914</v>
      </c>
      <c r="O13" s="212"/>
      <c r="P13" s="29" t="s">
        <v>409</v>
      </c>
    </row>
    <row r="14" spans="1:19" ht="15" customHeight="1" x14ac:dyDescent="0.2">
      <c r="A14" s="231" t="s">
        <v>17</v>
      </c>
      <c r="B14" s="221">
        <v>128</v>
      </c>
      <c r="C14" s="221" t="s">
        <v>426</v>
      </c>
      <c r="D14" s="221" t="s">
        <v>417</v>
      </c>
      <c r="E14" s="221">
        <v>16.899999999999999</v>
      </c>
      <c r="F14" s="221">
        <v>1.67</v>
      </c>
      <c r="G14" s="221">
        <v>0.48</v>
      </c>
      <c r="H14" s="222">
        <v>2.7</v>
      </c>
      <c r="I14" s="184"/>
      <c r="J14" s="157"/>
      <c r="K14" s="157"/>
      <c r="L14" s="157"/>
      <c r="M14" s="213"/>
      <c r="N14" s="29">
        <f>E14*60</f>
        <v>1013.9999999999999</v>
      </c>
      <c r="O14" s="212"/>
      <c r="P14" s="29" t="s">
        <v>409</v>
      </c>
    </row>
    <row r="15" spans="1:19" ht="15" customHeight="1" x14ac:dyDescent="0.2">
      <c r="A15" s="231" t="s">
        <v>20</v>
      </c>
      <c r="B15" s="157">
        <v>74</v>
      </c>
      <c r="C15" s="157" t="s">
        <v>427</v>
      </c>
      <c r="D15" s="204">
        <v>45252</v>
      </c>
      <c r="E15" s="157">
        <v>8.9</v>
      </c>
      <c r="F15" s="157">
        <v>2.41</v>
      </c>
      <c r="G15" s="157">
        <v>0.4</v>
      </c>
      <c r="H15" s="213">
        <v>2.9</v>
      </c>
      <c r="I15" s="184"/>
      <c r="J15" s="157"/>
      <c r="K15" s="157"/>
      <c r="L15" s="157"/>
      <c r="M15" s="213"/>
      <c r="N15" s="29"/>
      <c r="O15" s="212"/>
      <c r="P15" s="29" t="s">
        <v>409</v>
      </c>
    </row>
    <row r="16" spans="1:19" ht="15" customHeight="1" x14ac:dyDescent="0.2">
      <c r="A16" s="231" t="s">
        <v>22</v>
      </c>
      <c r="B16" s="157">
        <v>70</v>
      </c>
      <c r="C16" s="157" t="s">
        <v>428</v>
      </c>
      <c r="D16" s="204">
        <v>45250</v>
      </c>
      <c r="E16" s="157">
        <v>13.4</v>
      </c>
      <c r="F16" s="157">
        <v>2.15</v>
      </c>
      <c r="G16" s="157">
        <v>0.4</v>
      </c>
      <c r="H16" s="213">
        <v>4</v>
      </c>
      <c r="I16" s="184" t="s">
        <v>429</v>
      </c>
      <c r="J16" s="157">
        <v>2.9</v>
      </c>
      <c r="K16" s="157">
        <v>1.97</v>
      </c>
      <c r="L16" s="157">
        <v>0.37</v>
      </c>
      <c r="M16" s="213"/>
      <c r="N16" s="29">
        <f>25*E16</f>
        <v>335</v>
      </c>
      <c r="O16" s="212"/>
      <c r="P16" s="29" t="s">
        <v>413</v>
      </c>
    </row>
    <row r="17" spans="1:16" ht="15" customHeight="1" x14ac:dyDescent="0.2">
      <c r="A17" s="231" t="s">
        <v>35</v>
      </c>
      <c r="B17" s="221">
        <v>129</v>
      </c>
      <c r="C17" s="221" t="s">
        <v>430</v>
      </c>
      <c r="D17" s="221" t="s">
        <v>417</v>
      </c>
      <c r="E17" s="221">
        <v>21.7</v>
      </c>
      <c r="F17" s="221">
        <v>1.73</v>
      </c>
      <c r="G17" s="221">
        <v>0.47</v>
      </c>
      <c r="H17" s="222">
        <v>2.8</v>
      </c>
      <c r="I17" s="184"/>
      <c r="J17" s="157"/>
      <c r="K17" s="157"/>
      <c r="L17" s="157"/>
      <c r="M17" s="213"/>
      <c r="N17" s="29">
        <f>E17*60</f>
        <v>1302</v>
      </c>
      <c r="O17" s="212"/>
      <c r="P17" s="29" t="s">
        <v>409</v>
      </c>
    </row>
    <row r="18" spans="1:16" ht="15" customHeight="1" x14ac:dyDescent="0.2">
      <c r="A18" s="231" t="s">
        <v>37</v>
      </c>
      <c r="B18" s="157">
        <v>90.1</v>
      </c>
      <c r="C18" s="157" t="s">
        <v>431</v>
      </c>
      <c r="D18" s="204">
        <v>45542</v>
      </c>
      <c r="E18" s="157">
        <v>39</v>
      </c>
      <c r="F18" s="157">
        <v>1.83</v>
      </c>
      <c r="G18" s="157">
        <v>0.44</v>
      </c>
      <c r="H18" s="223">
        <v>2.9</v>
      </c>
      <c r="I18" s="184">
        <v>90.2</v>
      </c>
      <c r="J18" s="157">
        <v>12.6</v>
      </c>
      <c r="K18" s="157">
        <v>1.86</v>
      </c>
      <c r="L18" s="157">
        <v>0.49</v>
      </c>
      <c r="M18" s="213"/>
      <c r="N18" s="29">
        <f>E18*40</f>
        <v>1560</v>
      </c>
      <c r="O18" s="29">
        <f>J18*40</f>
        <v>504</v>
      </c>
      <c r="P18" s="232" t="s">
        <v>432</v>
      </c>
    </row>
    <row r="19" spans="1:16" ht="15" customHeight="1" x14ac:dyDescent="0.2">
      <c r="A19" s="231" t="s">
        <v>39</v>
      </c>
      <c r="B19" s="157">
        <v>127</v>
      </c>
      <c r="C19" s="157" t="s">
        <v>433</v>
      </c>
      <c r="D19" s="157" t="s">
        <v>209</v>
      </c>
      <c r="E19" s="157">
        <v>6.6</v>
      </c>
      <c r="F19" s="157">
        <v>2</v>
      </c>
      <c r="G19" s="157">
        <v>0.42</v>
      </c>
      <c r="H19" s="223">
        <v>2.6</v>
      </c>
      <c r="I19" s="184"/>
      <c r="J19" s="157"/>
      <c r="K19" s="157"/>
      <c r="L19" s="157"/>
      <c r="M19" s="213"/>
      <c r="N19" s="29">
        <f>E19*60</f>
        <v>396</v>
      </c>
      <c r="O19" s="212"/>
      <c r="P19" s="29" t="s">
        <v>409</v>
      </c>
    </row>
    <row r="20" spans="1:16" ht="15" customHeight="1" x14ac:dyDescent="0.2">
      <c r="A20" s="231" t="s">
        <v>41</v>
      </c>
      <c r="B20" s="157">
        <v>100</v>
      </c>
      <c r="C20" s="157" t="s">
        <v>434</v>
      </c>
      <c r="D20" s="204" t="s">
        <v>210</v>
      </c>
      <c r="E20" s="157">
        <v>21.3</v>
      </c>
      <c r="F20" s="157">
        <v>1.75</v>
      </c>
      <c r="G20" s="157">
        <v>0.54</v>
      </c>
      <c r="H20" s="223">
        <v>5.3</v>
      </c>
      <c r="I20" s="184"/>
      <c r="J20" s="157"/>
      <c r="K20" s="157"/>
      <c r="L20" s="157"/>
      <c r="M20" s="213"/>
      <c r="N20" s="29">
        <f>60*E20</f>
        <v>1278</v>
      </c>
      <c r="O20" s="212"/>
      <c r="P20" s="29" t="s">
        <v>409</v>
      </c>
    </row>
    <row r="21" spans="1:16" ht="15" customHeight="1" x14ac:dyDescent="0.2">
      <c r="A21" s="233" t="s">
        <v>43</v>
      </c>
      <c r="B21" s="234">
        <v>134</v>
      </c>
      <c r="C21" s="221" t="s">
        <v>435</v>
      </c>
      <c r="D21" s="221" t="s">
        <v>436</v>
      </c>
      <c r="E21" s="234">
        <v>15.1</v>
      </c>
      <c r="F21" s="234">
        <v>1.82</v>
      </c>
      <c r="G21" s="234">
        <v>0.43</v>
      </c>
      <c r="H21" s="235">
        <v>1.6</v>
      </c>
      <c r="I21" s="227"/>
      <c r="J21" s="164"/>
      <c r="K21" s="164"/>
      <c r="L21" s="164"/>
      <c r="M21" s="228"/>
      <c r="N21" s="165">
        <f>15.1*60</f>
        <v>906</v>
      </c>
      <c r="O21" s="236"/>
      <c r="P21" s="29" t="s">
        <v>409</v>
      </c>
    </row>
    <row r="22" spans="1:16" x14ac:dyDescent="0.2">
      <c r="A22" s="237" t="s">
        <v>25</v>
      </c>
      <c r="B22" s="148">
        <v>83</v>
      </c>
      <c r="C22" s="157" t="s">
        <v>437</v>
      </c>
      <c r="D22" s="204">
        <v>45388</v>
      </c>
      <c r="E22" s="148">
        <v>7.2</v>
      </c>
      <c r="F22" s="148">
        <v>1.61</v>
      </c>
      <c r="G22" s="148">
        <v>0.64</v>
      </c>
      <c r="H22" s="207">
        <v>1.2</v>
      </c>
      <c r="I22" s="148" t="s">
        <v>438</v>
      </c>
      <c r="J22" s="148">
        <v>1.8</v>
      </c>
      <c r="K22" s="148">
        <v>1.51</v>
      </c>
      <c r="L22" s="148">
        <v>58</v>
      </c>
      <c r="M22" s="207"/>
      <c r="N22" s="149"/>
      <c r="O22" s="208"/>
    </row>
    <row r="23" spans="1:16" x14ac:dyDescent="0.2">
      <c r="A23" s="238" t="s">
        <v>27</v>
      </c>
      <c r="B23" s="157">
        <v>69</v>
      </c>
      <c r="C23" s="157" t="s">
        <v>439</v>
      </c>
      <c r="D23" s="204">
        <v>45250</v>
      </c>
      <c r="E23" s="157">
        <v>8.9</v>
      </c>
      <c r="F23" s="157">
        <v>2.16</v>
      </c>
      <c r="G23" s="157">
        <v>0.59</v>
      </c>
      <c r="H23" s="213">
        <v>3.8</v>
      </c>
      <c r="I23" s="157" t="s">
        <v>440</v>
      </c>
      <c r="J23" s="157">
        <v>21.9</v>
      </c>
      <c r="K23" s="157">
        <v>1.61</v>
      </c>
      <c r="L23" s="157">
        <v>0.53</v>
      </c>
      <c r="M23" s="213"/>
      <c r="N23" s="29">
        <f>25*E23</f>
        <v>222.5</v>
      </c>
      <c r="O23" s="212"/>
      <c r="P23" s="29" t="s">
        <v>413</v>
      </c>
    </row>
    <row r="24" spans="1:16" x14ac:dyDescent="0.2">
      <c r="A24" s="238" t="s">
        <v>29</v>
      </c>
      <c r="B24" s="157">
        <v>94</v>
      </c>
      <c r="C24" s="157" t="s">
        <v>441</v>
      </c>
      <c r="D24" s="204">
        <v>45603</v>
      </c>
      <c r="E24" s="157">
        <v>8.8000000000000007</v>
      </c>
      <c r="F24" s="157">
        <v>1.85</v>
      </c>
      <c r="G24" s="157">
        <v>0.56999999999999995</v>
      </c>
      <c r="H24" s="213">
        <v>5.0999999999999996</v>
      </c>
      <c r="I24" s="157"/>
      <c r="J24" s="157"/>
      <c r="K24" s="157"/>
      <c r="L24" s="157"/>
      <c r="M24" s="213"/>
      <c r="N24" s="29">
        <f>60*E24</f>
        <v>528</v>
      </c>
      <c r="O24" s="212"/>
      <c r="P24" s="29" t="s">
        <v>409</v>
      </c>
    </row>
    <row r="25" spans="1:16" ht="15.75" x14ac:dyDescent="0.25">
      <c r="A25" s="238" t="s">
        <v>31</v>
      </c>
      <c r="B25" s="157">
        <v>73</v>
      </c>
      <c r="C25" s="157" t="s">
        <v>442</v>
      </c>
      <c r="D25" s="204">
        <v>45252</v>
      </c>
      <c r="E25" s="145">
        <v>3.7</v>
      </c>
      <c r="F25" s="145">
        <v>2.5099999999999998</v>
      </c>
      <c r="G25" s="157">
        <v>0.24</v>
      </c>
      <c r="H25" s="211">
        <v>7.7</v>
      </c>
      <c r="I25" s="157"/>
      <c r="J25" s="157"/>
      <c r="K25" s="157"/>
      <c r="L25" s="157"/>
      <c r="M25" s="213"/>
      <c r="N25" s="239">
        <f>55*E25</f>
        <v>203.5</v>
      </c>
      <c r="O25" s="212"/>
      <c r="P25" s="29" t="s">
        <v>409</v>
      </c>
    </row>
    <row r="26" spans="1:16" x14ac:dyDescent="0.2">
      <c r="A26" s="238" t="s">
        <v>33</v>
      </c>
      <c r="B26" s="221">
        <v>130</v>
      </c>
      <c r="C26" s="221" t="s">
        <v>443</v>
      </c>
      <c r="D26" s="221" t="s">
        <v>417</v>
      </c>
      <c r="E26" s="221">
        <v>28.8</v>
      </c>
      <c r="F26" s="221">
        <v>1.77</v>
      </c>
      <c r="G26" s="221">
        <v>0.48</v>
      </c>
      <c r="H26" s="240">
        <v>2.9</v>
      </c>
      <c r="I26" s="157"/>
      <c r="J26" s="157"/>
      <c r="K26" s="157"/>
      <c r="L26" s="157"/>
      <c r="M26" s="213"/>
      <c r="N26" s="29">
        <f>28.8*60</f>
        <v>1728</v>
      </c>
      <c r="O26" s="212"/>
      <c r="P26" s="29" t="s">
        <v>409</v>
      </c>
    </row>
    <row r="27" spans="1:16" ht="15.75" x14ac:dyDescent="0.25">
      <c r="A27" s="238" t="s">
        <v>46</v>
      </c>
      <c r="B27" s="221">
        <v>131</v>
      </c>
      <c r="C27" s="221" t="s">
        <v>444</v>
      </c>
      <c r="D27" s="221" t="s">
        <v>417</v>
      </c>
      <c r="E27" s="221">
        <v>13.8</v>
      </c>
      <c r="F27" s="221">
        <v>1.93</v>
      </c>
      <c r="G27" s="221">
        <v>0.53</v>
      </c>
      <c r="H27" s="241">
        <v>5.4</v>
      </c>
      <c r="I27" s="157"/>
      <c r="J27" s="157"/>
      <c r="K27" s="157"/>
      <c r="L27" s="157"/>
      <c r="M27" s="213"/>
      <c r="N27" s="29">
        <f>E27*60</f>
        <v>828</v>
      </c>
      <c r="O27" s="212"/>
      <c r="P27" s="29" t="s">
        <v>409</v>
      </c>
    </row>
    <row r="28" spans="1:16" x14ac:dyDescent="0.2">
      <c r="A28" s="238" t="s">
        <v>48</v>
      </c>
      <c r="B28" s="157">
        <v>125</v>
      </c>
      <c r="C28" s="157" t="s">
        <v>445</v>
      </c>
      <c r="D28" s="221" t="s">
        <v>213</v>
      </c>
      <c r="E28" s="157">
        <v>13.3</v>
      </c>
      <c r="F28" s="221">
        <v>1.81</v>
      </c>
      <c r="G28" s="157">
        <v>0.47</v>
      </c>
      <c r="H28" s="213">
        <v>2.6</v>
      </c>
      <c r="I28" s="157"/>
      <c r="J28" s="157"/>
      <c r="K28" s="157"/>
      <c r="L28" s="157"/>
      <c r="M28" s="213"/>
      <c r="N28" s="29">
        <f>E28*60</f>
        <v>798</v>
      </c>
      <c r="O28" s="212"/>
      <c r="P28" s="29" t="s">
        <v>409</v>
      </c>
    </row>
    <row r="29" spans="1:16" x14ac:dyDescent="0.2">
      <c r="A29" s="238" t="s">
        <v>50</v>
      </c>
      <c r="B29" s="221">
        <v>136</v>
      </c>
      <c r="C29" s="234" t="s">
        <v>446</v>
      </c>
      <c r="D29" s="221" t="s">
        <v>436</v>
      </c>
      <c r="E29" s="221">
        <v>13.5</v>
      </c>
      <c r="F29" s="221">
        <v>1.9</v>
      </c>
      <c r="G29" s="221">
        <v>0.46</v>
      </c>
      <c r="H29" s="240">
        <v>4.9000000000000004</v>
      </c>
      <c r="I29" s="157"/>
      <c r="J29" s="157"/>
      <c r="K29" s="157"/>
      <c r="L29" s="157"/>
      <c r="M29" s="213"/>
      <c r="N29" s="29">
        <f t="shared" ref="N29:N30" si="0">E29*60</f>
        <v>810</v>
      </c>
      <c r="O29" s="212"/>
      <c r="P29" s="29" t="s">
        <v>409</v>
      </c>
    </row>
    <row r="30" spans="1:16" x14ac:dyDescent="0.2">
      <c r="A30" s="238" t="s">
        <v>52</v>
      </c>
      <c r="B30" s="221">
        <v>135</v>
      </c>
      <c r="C30" s="234" t="s">
        <v>447</v>
      </c>
      <c r="D30" s="221" t="s">
        <v>436</v>
      </c>
      <c r="E30" s="221">
        <v>18.2</v>
      </c>
      <c r="F30" s="221">
        <v>1.87</v>
      </c>
      <c r="G30" s="221">
        <v>0.76</v>
      </c>
      <c r="H30" s="240">
        <v>3.7</v>
      </c>
      <c r="I30" s="157"/>
      <c r="J30" s="157"/>
      <c r="K30" s="157"/>
      <c r="L30" s="157"/>
      <c r="M30" s="213"/>
      <c r="N30" s="29">
        <f t="shared" si="0"/>
        <v>1092</v>
      </c>
      <c r="O30" s="212"/>
      <c r="P30" s="29" t="s">
        <v>409</v>
      </c>
    </row>
    <row r="31" spans="1:16" x14ac:dyDescent="0.2">
      <c r="A31" s="242" t="s">
        <v>54</v>
      </c>
      <c r="B31" s="164">
        <v>68</v>
      </c>
      <c r="C31" s="164" t="s">
        <v>448</v>
      </c>
      <c r="D31" s="243">
        <v>45250</v>
      </c>
      <c r="E31" s="164">
        <v>7.6</v>
      </c>
      <c r="F31" s="164">
        <v>1.89</v>
      </c>
      <c r="G31" s="164">
        <v>0.52</v>
      </c>
      <c r="H31" s="228">
        <v>2.4</v>
      </c>
      <c r="I31" s="164" t="s">
        <v>449</v>
      </c>
      <c r="J31" s="164">
        <v>2.8</v>
      </c>
      <c r="K31" s="164">
        <v>2.36</v>
      </c>
      <c r="L31" s="164">
        <v>0.47</v>
      </c>
      <c r="M31" s="228"/>
      <c r="N31" s="173">
        <f t="shared" ref="N31:N32" si="1">25*E31</f>
        <v>190</v>
      </c>
      <c r="O31" s="212"/>
      <c r="P31" s="29" t="s">
        <v>413</v>
      </c>
    </row>
    <row r="32" spans="1:16" ht="15.75" x14ac:dyDescent="0.25">
      <c r="A32" s="244" t="s">
        <v>56</v>
      </c>
      <c r="B32" s="148">
        <v>84</v>
      </c>
      <c r="C32" s="157" t="s">
        <v>450</v>
      </c>
      <c r="D32" s="204">
        <v>45388</v>
      </c>
      <c r="E32" s="245">
        <v>30.6</v>
      </c>
      <c r="F32" s="245">
        <v>1.5</v>
      </c>
      <c r="G32" s="148">
        <v>0.49</v>
      </c>
      <c r="H32" s="246">
        <v>8</v>
      </c>
      <c r="I32" s="206" t="s">
        <v>451</v>
      </c>
      <c r="J32" s="148">
        <v>51.8</v>
      </c>
      <c r="K32" s="148">
        <v>1.34</v>
      </c>
      <c r="L32" s="148">
        <v>0.59</v>
      </c>
      <c r="M32" s="207"/>
      <c r="N32" s="247">
        <f t="shared" si="1"/>
        <v>765</v>
      </c>
      <c r="O32" s="208"/>
      <c r="P32" s="29" t="s">
        <v>413</v>
      </c>
    </row>
    <row r="33" spans="1:16" ht="15.75" x14ac:dyDescent="0.25">
      <c r="A33" s="248" t="s">
        <v>57</v>
      </c>
      <c r="B33" s="157">
        <v>123</v>
      </c>
      <c r="C33" s="157" t="s">
        <v>452</v>
      </c>
      <c r="D33" s="157" t="s">
        <v>215</v>
      </c>
      <c r="E33" s="145">
        <v>9</v>
      </c>
      <c r="F33" s="145">
        <v>1.95</v>
      </c>
      <c r="G33" s="157">
        <v>0.86</v>
      </c>
      <c r="H33" s="210">
        <v>6.9</v>
      </c>
      <c r="I33" s="184"/>
      <c r="J33" s="157"/>
      <c r="K33" s="157"/>
      <c r="L33" s="157"/>
      <c r="M33" s="213"/>
      <c r="N33" s="247">
        <f t="shared" ref="N33:N35" si="2">60*E33</f>
        <v>540</v>
      </c>
      <c r="O33" s="212"/>
      <c r="P33" s="29" t="s">
        <v>409</v>
      </c>
    </row>
    <row r="34" spans="1:16" ht="15.75" x14ac:dyDescent="0.25">
      <c r="A34" s="248" t="s">
        <v>58</v>
      </c>
      <c r="B34" s="157">
        <v>102</v>
      </c>
      <c r="C34" s="157" t="s">
        <v>453</v>
      </c>
      <c r="D34" s="157" t="s">
        <v>216</v>
      </c>
      <c r="E34" s="145">
        <v>25.5</v>
      </c>
      <c r="F34" s="145">
        <v>1.89</v>
      </c>
      <c r="G34" s="157">
        <v>0.56999999999999995</v>
      </c>
      <c r="H34" s="210">
        <v>6.4</v>
      </c>
      <c r="I34" s="184"/>
      <c r="J34" s="157"/>
      <c r="K34" s="157"/>
      <c r="L34" s="157"/>
      <c r="M34" s="213"/>
      <c r="N34" s="247">
        <f t="shared" si="2"/>
        <v>1530</v>
      </c>
      <c r="O34" s="212"/>
      <c r="P34" s="29" t="s">
        <v>409</v>
      </c>
    </row>
    <row r="35" spans="1:16" x14ac:dyDescent="0.2">
      <c r="A35" s="248" t="s">
        <v>59</v>
      </c>
      <c r="B35" s="157">
        <v>95</v>
      </c>
      <c r="C35" s="157" t="s">
        <v>454</v>
      </c>
      <c r="D35" s="157" t="s">
        <v>217</v>
      </c>
      <c r="E35" s="157">
        <v>4.0999999999999996</v>
      </c>
      <c r="F35" s="157">
        <v>1.96</v>
      </c>
      <c r="G35" s="157">
        <v>0.45</v>
      </c>
      <c r="H35" s="223">
        <v>4.4000000000000004</v>
      </c>
      <c r="I35" s="184"/>
      <c r="J35" s="157"/>
      <c r="K35" s="157"/>
      <c r="L35" s="157"/>
      <c r="M35" s="213"/>
      <c r="N35" s="29">
        <f t="shared" si="2"/>
        <v>245.99999999999997</v>
      </c>
      <c r="O35" s="212"/>
      <c r="P35" s="29" t="s">
        <v>409</v>
      </c>
    </row>
    <row r="36" spans="1:16" ht="15.75" x14ac:dyDescent="0.25">
      <c r="A36" s="248" t="s">
        <v>60</v>
      </c>
      <c r="B36" s="157">
        <v>75</v>
      </c>
      <c r="C36" s="157" t="s">
        <v>455</v>
      </c>
      <c r="D36" s="204">
        <v>45252</v>
      </c>
      <c r="E36" s="145">
        <v>3.8</v>
      </c>
      <c r="F36" s="145">
        <v>2.33</v>
      </c>
      <c r="G36" s="157">
        <v>0.25</v>
      </c>
      <c r="H36" s="210">
        <v>7.2</v>
      </c>
      <c r="I36" s="184"/>
      <c r="J36" s="157"/>
      <c r="K36" s="157"/>
      <c r="L36" s="157"/>
      <c r="M36" s="213"/>
      <c r="N36" s="247">
        <f>55*E36</f>
        <v>209</v>
      </c>
      <c r="O36" s="212"/>
      <c r="P36" s="29" t="s">
        <v>456</v>
      </c>
    </row>
    <row r="37" spans="1:16" x14ac:dyDescent="0.2">
      <c r="A37" s="248" t="s">
        <v>69</v>
      </c>
      <c r="B37" s="221" t="s">
        <v>67</v>
      </c>
      <c r="C37" s="157"/>
      <c r="D37" s="157"/>
      <c r="E37" s="157"/>
      <c r="F37" s="157"/>
      <c r="G37" s="157"/>
      <c r="H37" s="223"/>
      <c r="I37" s="184"/>
      <c r="J37" s="157"/>
      <c r="K37" s="157"/>
      <c r="L37" s="157"/>
      <c r="M37" s="213"/>
      <c r="N37" s="29"/>
      <c r="O37" s="212"/>
    </row>
    <row r="38" spans="1:16" x14ac:dyDescent="0.2">
      <c r="A38" s="248" t="s">
        <v>70</v>
      </c>
      <c r="B38" s="157">
        <v>71</v>
      </c>
      <c r="C38" s="157" t="s">
        <v>457</v>
      </c>
      <c r="D38" s="204">
        <v>45250</v>
      </c>
      <c r="E38" s="157">
        <v>4.5</v>
      </c>
      <c r="F38" s="157">
        <v>1.97</v>
      </c>
      <c r="G38" s="157">
        <v>0.41</v>
      </c>
      <c r="H38" s="223">
        <v>1.1000000000000001</v>
      </c>
      <c r="I38" s="184" t="s">
        <v>458</v>
      </c>
      <c r="J38" s="157">
        <v>1.9</v>
      </c>
      <c r="K38" s="157">
        <v>3.25</v>
      </c>
      <c r="L38" s="157">
        <v>0.43</v>
      </c>
      <c r="M38" s="213"/>
      <c r="N38" s="29">
        <f>25*E38</f>
        <v>112.5</v>
      </c>
      <c r="O38" s="212"/>
      <c r="P38" s="29" t="s">
        <v>413</v>
      </c>
    </row>
    <row r="39" spans="1:16" x14ac:dyDescent="0.2">
      <c r="A39" s="248" t="s">
        <v>71</v>
      </c>
      <c r="B39" s="157">
        <v>118</v>
      </c>
      <c r="C39" s="157" t="s">
        <v>459</v>
      </c>
      <c r="D39" s="204">
        <v>45634</v>
      </c>
      <c r="E39" s="157">
        <v>14.7</v>
      </c>
      <c r="F39" s="157">
        <v>1.78</v>
      </c>
      <c r="G39" s="157">
        <v>0.35</v>
      </c>
      <c r="H39" s="223">
        <v>5.0999999999999996</v>
      </c>
      <c r="I39" s="184"/>
      <c r="J39" s="157"/>
      <c r="K39" s="157"/>
      <c r="L39" s="157"/>
      <c r="M39" s="213"/>
      <c r="N39" s="29">
        <f>60*E39</f>
        <v>882</v>
      </c>
      <c r="O39" s="212"/>
      <c r="P39" s="29" t="s">
        <v>409</v>
      </c>
    </row>
    <row r="40" spans="1:16" ht="15.75" x14ac:dyDescent="0.25">
      <c r="A40" s="248" t="s">
        <v>72</v>
      </c>
      <c r="B40" s="221">
        <v>132</v>
      </c>
      <c r="C40" s="221" t="s">
        <v>460</v>
      </c>
      <c r="D40" s="221" t="s">
        <v>417</v>
      </c>
      <c r="E40" s="221">
        <v>17.100000000000001</v>
      </c>
      <c r="F40" s="221">
        <v>1.91</v>
      </c>
      <c r="G40" s="221">
        <v>0.92</v>
      </c>
      <c r="H40" s="249">
        <v>7.7</v>
      </c>
      <c r="I40" s="184"/>
      <c r="J40" s="157"/>
      <c r="K40" s="157"/>
      <c r="L40" s="157"/>
      <c r="M40" s="213"/>
      <c r="N40" s="29">
        <f>E40*60</f>
        <v>1026</v>
      </c>
      <c r="O40" s="212"/>
      <c r="P40" s="29" t="s">
        <v>409</v>
      </c>
    </row>
    <row r="41" spans="1:16" ht="15.75" x14ac:dyDescent="0.25">
      <c r="A41" s="250" t="s">
        <v>73</v>
      </c>
      <c r="B41" s="164">
        <v>108</v>
      </c>
      <c r="C41" s="164" t="s">
        <v>461</v>
      </c>
      <c r="D41" s="243">
        <v>45299</v>
      </c>
      <c r="E41" s="251">
        <v>9</v>
      </c>
      <c r="F41" s="251">
        <v>1.88</v>
      </c>
      <c r="G41" s="164">
        <v>0.64</v>
      </c>
      <c r="H41" s="252">
        <v>8.6999999999999993</v>
      </c>
      <c r="I41" s="227"/>
      <c r="J41" s="164"/>
      <c r="K41" s="164"/>
      <c r="L41" s="164"/>
      <c r="M41" s="228"/>
      <c r="N41" s="253">
        <f>60*E41</f>
        <v>540</v>
      </c>
      <c r="O41" s="236"/>
      <c r="P41" s="29" t="s">
        <v>409</v>
      </c>
    </row>
    <row r="42" spans="1:16" x14ac:dyDescent="0.2">
      <c r="A42" s="147" t="s">
        <v>82</v>
      </c>
      <c r="B42" s="148" t="s">
        <v>67</v>
      </c>
      <c r="C42" s="215"/>
      <c r="D42" s="254"/>
      <c r="E42" s="254"/>
      <c r="F42" s="254"/>
      <c r="G42" s="254"/>
      <c r="H42" s="255"/>
      <c r="I42" s="256"/>
      <c r="J42" s="254"/>
      <c r="K42" s="254"/>
      <c r="L42" s="254"/>
      <c r="M42" s="257"/>
      <c r="N42" s="258"/>
      <c r="O42" s="259"/>
    </row>
    <row r="43" spans="1:16" x14ac:dyDescent="0.2">
      <c r="A43" s="156" t="s">
        <v>83</v>
      </c>
      <c r="B43" s="157">
        <v>77</v>
      </c>
      <c r="C43" s="157" t="s">
        <v>462</v>
      </c>
      <c r="D43" s="204">
        <v>45250</v>
      </c>
      <c r="E43" s="157">
        <v>23.2</v>
      </c>
      <c r="F43" s="157">
        <v>2.0299999999999998</v>
      </c>
      <c r="G43" s="157">
        <v>0.39</v>
      </c>
      <c r="H43" s="223">
        <v>3.1</v>
      </c>
      <c r="I43" s="184"/>
      <c r="J43" s="157"/>
      <c r="K43" s="157"/>
      <c r="L43" s="157"/>
      <c r="M43" s="213"/>
      <c r="N43" s="29">
        <f t="shared" ref="N43:N44" si="3">25*E43</f>
        <v>580</v>
      </c>
      <c r="O43" s="212"/>
      <c r="P43" s="29" t="s">
        <v>413</v>
      </c>
    </row>
    <row r="44" spans="1:16" x14ac:dyDescent="0.2">
      <c r="A44" s="156" t="s">
        <v>84</v>
      </c>
      <c r="B44" s="157">
        <v>65</v>
      </c>
      <c r="C44" s="157" t="s">
        <v>463</v>
      </c>
      <c r="D44" s="204">
        <v>45250</v>
      </c>
      <c r="E44" s="157">
        <v>8.4</v>
      </c>
      <c r="F44" s="157">
        <v>1.87</v>
      </c>
      <c r="G44" s="157">
        <v>0.37</v>
      </c>
      <c r="H44" s="223">
        <v>3</v>
      </c>
      <c r="I44" s="184" t="s">
        <v>464</v>
      </c>
      <c r="J44" s="157">
        <v>10.199999999999999</v>
      </c>
      <c r="K44" s="157">
        <v>1.76</v>
      </c>
      <c r="L44" s="157">
        <v>0.52</v>
      </c>
      <c r="M44" s="213"/>
      <c r="N44" s="29">
        <f t="shared" si="3"/>
        <v>210</v>
      </c>
      <c r="O44" s="212"/>
      <c r="P44" s="29" t="s">
        <v>413</v>
      </c>
    </row>
    <row r="45" spans="1:16" x14ac:dyDescent="0.2">
      <c r="A45" s="156" t="s">
        <v>85</v>
      </c>
      <c r="B45" s="157">
        <v>101</v>
      </c>
      <c r="C45" s="157" t="s">
        <v>465</v>
      </c>
      <c r="D45" s="157" t="s">
        <v>216</v>
      </c>
      <c r="E45" s="157">
        <v>15.1</v>
      </c>
      <c r="F45" s="157">
        <v>1.84</v>
      </c>
      <c r="G45" s="157">
        <v>0.49</v>
      </c>
      <c r="H45" s="223">
        <v>2.6</v>
      </c>
      <c r="I45" s="184"/>
      <c r="J45" s="157"/>
      <c r="K45" s="157"/>
      <c r="L45" s="157"/>
      <c r="M45" s="213"/>
      <c r="N45" s="29">
        <f t="shared" ref="N45:N46" si="4">60*E45</f>
        <v>906</v>
      </c>
      <c r="O45" s="212"/>
      <c r="P45" s="29" t="s">
        <v>409</v>
      </c>
    </row>
    <row r="46" spans="1:16" x14ac:dyDescent="0.2">
      <c r="A46" s="156" t="s">
        <v>86</v>
      </c>
      <c r="B46" s="157">
        <v>104</v>
      </c>
      <c r="C46" s="157" t="s">
        <v>466</v>
      </c>
      <c r="D46" s="157" t="s">
        <v>224</v>
      </c>
      <c r="E46" s="157">
        <v>41</v>
      </c>
      <c r="F46" s="157">
        <v>1.69</v>
      </c>
      <c r="G46" s="157">
        <v>0.44</v>
      </c>
      <c r="H46" s="222">
        <v>2.2000000000000002</v>
      </c>
      <c r="I46" s="184"/>
      <c r="J46" s="157"/>
      <c r="K46" s="157"/>
      <c r="L46" s="157"/>
      <c r="M46" s="213"/>
      <c r="N46" s="29">
        <f t="shared" si="4"/>
        <v>2460</v>
      </c>
      <c r="O46" s="212"/>
      <c r="P46" s="29" t="s">
        <v>409</v>
      </c>
    </row>
    <row r="47" spans="1:16" x14ac:dyDescent="0.2">
      <c r="A47" s="156" t="s">
        <v>87</v>
      </c>
      <c r="B47" s="157">
        <v>85</v>
      </c>
      <c r="C47" s="157" t="s">
        <v>467</v>
      </c>
      <c r="D47" s="204">
        <v>45388</v>
      </c>
      <c r="E47" s="157">
        <v>3.8</v>
      </c>
      <c r="F47" s="157">
        <v>1.82</v>
      </c>
      <c r="G47" s="157">
        <v>0.51</v>
      </c>
      <c r="H47" s="223">
        <v>1.4</v>
      </c>
      <c r="I47" s="184" t="s">
        <v>468</v>
      </c>
      <c r="J47" s="157">
        <v>2.5</v>
      </c>
      <c r="K47" s="157">
        <v>1.89</v>
      </c>
      <c r="L47" s="157">
        <v>0.97</v>
      </c>
      <c r="M47" s="213"/>
      <c r="N47" s="29"/>
      <c r="O47" s="212"/>
    </row>
    <row r="48" spans="1:16" x14ac:dyDescent="0.2">
      <c r="A48" s="163" t="s">
        <v>88</v>
      </c>
      <c r="B48" s="164">
        <v>113</v>
      </c>
      <c r="C48" s="164" t="s">
        <v>469</v>
      </c>
      <c r="D48" s="243">
        <v>45481</v>
      </c>
      <c r="E48" s="164">
        <v>9.6</v>
      </c>
      <c r="F48" s="164">
        <v>1.78</v>
      </c>
      <c r="G48" s="164">
        <v>0.46</v>
      </c>
      <c r="H48" s="226">
        <v>1</v>
      </c>
      <c r="I48" s="227"/>
      <c r="J48" s="164"/>
      <c r="K48" s="164"/>
      <c r="L48" s="164"/>
      <c r="M48" s="228"/>
      <c r="N48" s="165">
        <f>E48*60</f>
        <v>576</v>
      </c>
      <c r="O48" s="236"/>
      <c r="P48" s="29" t="s">
        <v>409</v>
      </c>
    </row>
    <row r="49" spans="1:17" x14ac:dyDescent="0.2">
      <c r="A49" s="260" t="s">
        <v>90</v>
      </c>
      <c r="B49" s="148">
        <v>62</v>
      </c>
      <c r="C49" s="148" t="s">
        <v>470</v>
      </c>
      <c r="D49" s="261">
        <v>45245</v>
      </c>
      <c r="E49" s="148">
        <v>13.4</v>
      </c>
      <c r="F49" s="148">
        <v>1.91</v>
      </c>
      <c r="G49" s="148">
        <v>0.37</v>
      </c>
      <c r="H49" s="207">
        <v>2.4</v>
      </c>
      <c r="I49" s="206" t="s">
        <v>471</v>
      </c>
      <c r="J49" s="148">
        <v>7.6</v>
      </c>
      <c r="K49" s="148">
        <v>1.73</v>
      </c>
      <c r="L49" s="262">
        <v>0.11</v>
      </c>
      <c r="M49" s="213">
        <v>3.7</v>
      </c>
      <c r="N49" s="149"/>
      <c r="O49" s="208"/>
    </row>
    <row r="50" spans="1:17" x14ac:dyDescent="0.2">
      <c r="A50" s="263" t="s">
        <v>91</v>
      </c>
      <c r="B50" s="157">
        <v>86</v>
      </c>
      <c r="C50" s="157" t="s">
        <v>472</v>
      </c>
      <c r="D50" s="204">
        <v>45388</v>
      </c>
      <c r="E50" s="157">
        <v>4.5</v>
      </c>
      <c r="F50" s="157">
        <v>1.82</v>
      </c>
      <c r="G50" s="157">
        <v>0.46</v>
      </c>
      <c r="H50" s="213">
        <v>2</v>
      </c>
      <c r="I50" s="184" t="s">
        <v>473</v>
      </c>
      <c r="J50" s="157">
        <v>4.5</v>
      </c>
      <c r="K50" s="157">
        <v>1.82</v>
      </c>
      <c r="L50" s="157">
        <v>0.46</v>
      </c>
      <c r="M50" s="213"/>
      <c r="N50" s="29"/>
      <c r="O50" s="212"/>
    </row>
    <row r="51" spans="1:17" x14ac:dyDescent="0.2">
      <c r="A51" s="263" t="s">
        <v>92</v>
      </c>
      <c r="B51" s="157">
        <v>76</v>
      </c>
      <c r="C51" s="157" t="s">
        <v>474</v>
      </c>
      <c r="D51" s="204">
        <v>45252</v>
      </c>
      <c r="E51" s="157" t="s">
        <v>475</v>
      </c>
      <c r="F51" s="157">
        <v>2.1800000000000002</v>
      </c>
      <c r="G51" s="157">
        <v>0.51</v>
      </c>
      <c r="H51" s="213">
        <v>3.3</v>
      </c>
      <c r="I51" s="184"/>
      <c r="J51" s="157"/>
      <c r="K51" s="157"/>
      <c r="L51" s="157"/>
      <c r="M51" s="213"/>
      <c r="N51" s="29"/>
      <c r="O51" s="212"/>
      <c r="P51" s="29" t="s">
        <v>407</v>
      </c>
    </row>
    <row r="52" spans="1:17" x14ac:dyDescent="0.2">
      <c r="A52" s="263" t="s">
        <v>93</v>
      </c>
      <c r="B52" s="157">
        <v>99</v>
      </c>
      <c r="C52" s="157" t="s">
        <v>476</v>
      </c>
      <c r="D52" s="157" t="s">
        <v>210</v>
      </c>
      <c r="E52" s="157">
        <v>45.5</v>
      </c>
      <c r="F52" s="157">
        <v>2.11</v>
      </c>
      <c r="G52" s="157">
        <v>0.59</v>
      </c>
      <c r="H52" s="213">
        <v>4.0999999999999996</v>
      </c>
      <c r="I52" s="184"/>
      <c r="J52" s="157"/>
      <c r="K52" s="157"/>
      <c r="L52" s="157"/>
      <c r="M52" s="213"/>
      <c r="N52" s="29">
        <f t="shared" ref="N52:N54" si="5">60*E52</f>
        <v>2730</v>
      </c>
      <c r="O52" s="212"/>
      <c r="P52" s="29" t="s">
        <v>409</v>
      </c>
    </row>
    <row r="53" spans="1:17" ht="15.75" x14ac:dyDescent="0.25">
      <c r="A53" s="263" t="s">
        <v>94</v>
      </c>
      <c r="B53" s="157">
        <v>117</v>
      </c>
      <c r="C53" s="157" t="s">
        <v>477</v>
      </c>
      <c r="D53" s="204">
        <v>45634</v>
      </c>
      <c r="E53" s="145">
        <v>58.7</v>
      </c>
      <c r="F53" s="145">
        <v>1.8</v>
      </c>
      <c r="G53" s="157">
        <v>0.4</v>
      </c>
      <c r="H53" s="211">
        <v>7</v>
      </c>
      <c r="I53" s="184"/>
      <c r="J53" s="157"/>
      <c r="K53" s="157"/>
      <c r="L53" s="157"/>
      <c r="M53" s="213"/>
      <c r="N53" s="264">
        <f t="shared" si="5"/>
        <v>3522</v>
      </c>
      <c r="O53" s="212"/>
      <c r="P53" s="29" t="s">
        <v>409</v>
      </c>
    </row>
    <row r="54" spans="1:17" ht="15.75" x14ac:dyDescent="0.25">
      <c r="A54" s="263" t="s">
        <v>95</v>
      </c>
      <c r="B54" s="157">
        <v>114</v>
      </c>
      <c r="C54" s="157" t="s">
        <v>478</v>
      </c>
      <c r="D54" s="204">
        <v>45481</v>
      </c>
      <c r="E54" s="145">
        <v>34.700000000000003</v>
      </c>
      <c r="F54" s="145">
        <v>1.69</v>
      </c>
      <c r="G54" s="157">
        <v>0.53</v>
      </c>
      <c r="H54" s="211">
        <v>7.8</v>
      </c>
      <c r="I54" s="184"/>
      <c r="J54" s="157"/>
      <c r="K54" s="157"/>
      <c r="L54" s="157"/>
      <c r="M54" s="213"/>
      <c r="N54" s="264">
        <f t="shared" si="5"/>
        <v>2082</v>
      </c>
      <c r="O54" s="212"/>
      <c r="P54" s="29" t="s">
        <v>409</v>
      </c>
    </row>
    <row r="55" spans="1:17" x14ac:dyDescent="0.2">
      <c r="A55" s="263" t="s">
        <v>96</v>
      </c>
      <c r="B55" s="157">
        <v>124</v>
      </c>
      <c r="C55" s="157" t="s">
        <v>479</v>
      </c>
      <c r="D55" s="221" t="s">
        <v>213</v>
      </c>
      <c r="E55" s="157">
        <v>8.6</v>
      </c>
      <c r="F55" s="157">
        <v>1.71</v>
      </c>
      <c r="G55" s="157">
        <v>0.4</v>
      </c>
      <c r="H55" s="213">
        <v>1.3</v>
      </c>
      <c r="I55" s="184"/>
      <c r="J55" s="157"/>
      <c r="K55" s="157"/>
      <c r="L55" s="157"/>
      <c r="M55" s="213"/>
      <c r="N55" s="29">
        <f>E55*60</f>
        <v>516</v>
      </c>
      <c r="O55" s="212"/>
      <c r="P55" s="29" t="s">
        <v>409</v>
      </c>
    </row>
    <row r="56" spans="1:17" x14ac:dyDescent="0.2">
      <c r="A56" s="263" t="s">
        <v>97</v>
      </c>
      <c r="B56" s="157">
        <v>64</v>
      </c>
      <c r="C56" s="157" t="s">
        <v>480</v>
      </c>
      <c r="D56" s="204">
        <v>45250</v>
      </c>
      <c r="E56" s="157">
        <v>15.1</v>
      </c>
      <c r="F56" s="157">
        <v>1.85</v>
      </c>
      <c r="G56" s="157">
        <v>0.51</v>
      </c>
      <c r="H56" s="213">
        <v>2.4</v>
      </c>
      <c r="I56" s="184" t="s">
        <v>481</v>
      </c>
      <c r="J56" s="157">
        <v>3.2</v>
      </c>
      <c r="K56" s="157">
        <v>2.65</v>
      </c>
      <c r="L56" s="157">
        <v>0.42</v>
      </c>
      <c r="M56" s="213"/>
      <c r="N56" s="29">
        <f>25*E56</f>
        <v>377.5</v>
      </c>
      <c r="O56" s="212"/>
      <c r="P56" s="29" t="s">
        <v>413</v>
      </c>
      <c r="Q56" s="29" t="s">
        <v>482</v>
      </c>
    </row>
    <row r="57" spans="1:17" x14ac:dyDescent="0.2">
      <c r="A57" s="263" t="s">
        <v>98</v>
      </c>
      <c r="B57" s="157">
        <v>96</v>
      </c>
      <c r="C57" s="157" t="s">
        <v>483</v>
      </c>
      <c r="D57" s="157" t="s">
        <v>217</v>
      </c>
      <c r="E57" s="157">
        <v>4.4000000000000004</v>
      </c>
      <c r="F57" s="157">
        <v>1.8</v>
      </c>
      <c r="G57" s="157">
        <v>0.41</v>
      </c>
      <c r="H57" s="213">
        <v>2.1</v>
      </c>
      <c r="I57" s="184"/>
      <c r="J57" s="157"/>
      <c r="K57" s="157"/>
      <c r="L57" s="157"/>
      <c r="M57" s="213"/>
      <c r="N57" s="29">
        <f>60*E57</f>
        <v>264</v>
      </c>
      <c r="O57" s="212"/>
      <c r="P57" s="29" t="s">
        <v>409</v>
      </c>
    </row>
    <row r="58" spans="1:17" x14ac:dyDescent="0.2">
      <c r="A58" s="265" t="s">
        <v>99</v>
      </c>
      <c r="B58" s="164">
        <v>61</v>
      </c>
      <c r="C58" s="164" t="s">
        <v>484</v>
      </c>
      <c r="D58" s="243">
        <v>45245</v>
      </c>
      <c r="E58" s="164">
        <v>19.600000000000001</v>
      </c>
      <c r="F58" s="164">
        <v>1.95</v>
      </c>
      <c r="G58" s="164">
        <v>0.46</v>
      </c>
      <c r="H58" s="228">
        <v>1.6</v>
      </c>
      <c r="I58" s="227" t="s">
        <v>485</v>
      </c>
      <c r="J58" s="164">
        <v>14.1</v>
      </c>
      <c r="K58" s="164">
        <v>1.76</v>
      </c>
      <c r="L58" s="266">
        <v>0.2</v>
      </c>
      <c r="M58" s="228">
        <v>2.1</v>
      </c>
      <c r="N58" s="267"/>
      <c r="O58" s="236"/>
    </row>
    <row r="59" spans="1:17" x14ac:dyDescent="0.2">
      <c r="A59" s="268" t="s">
        <v>100</v>
      </c>
      <c r="B59" s="148">
        <v>87</v>
      </c>
      <c r="C59" s="157" t="s">
        <v>486</v>
      </c>
      <c r="D59" s="204">
        <v>45388</v>
      </c>
      <c r="E59" s="148">
        <v>4.9000000000000004</v>
      </c>
      <c r="F59" s="148">
        <v>1.79</v>
      </c>
      <c r="G59" s="148">
        <v>0.55000000000000004</v>
      </c>
      <c r="H59" s="207">
        <v>4.0999999999999996</v>
      </c>
      <c r="I59" s="184" t="s">
        <v>487</v>
      </c>
      <c r="J59" s="157">
        <v>1.5</v>
      </c>
      <c r="K59" s="157">
        <v>2.5099999999999998</v>
      </c>
      <c r="L59" s="157">
        <v>1.91</v>
      </c>
      <c r="M59" s="213"/>
      <c r="N59" s="29">
        <f>60*E59</f>
        <v>294</v>
      </c>
      <c r="O59" s="212"/>
      <c r="P59" s="29" t="s">
        <v>409</v>
      </c>
    </row>
    <row r="60" spans="1:17" x14ac:dyDescent="0.2">
      <c r="A60" s="269" t="s">
        <v>101</v>
      </c>
      <c r="B60" s="29" t="s">
        <v>67</v>
      </c>
      <c r="C60" s="215"/>
      <c r="D60" s="215"/>
      <c r="E60" s="215"/>
      <c r="F60" s="215"/>
      <c r="G60" s="215"/>
      <c r="H60" s="218"/>
      <c r="I60" s="217"/>
      <c r="J60" s="215"/>
      <c r="K60" s="215"/>
      <c r="L60" s="215"/>
      <c r="M60" s="218"/>
      <c r="N60" s="219"/>
      <c r="O60" s="220"/>
    </row>
    <row r="61" spans="1:17" ht="15.75" x14ac:dyDescent="0.25">
      <c r="A61" s="269" t="s">
        <v>102</v>
      </c>
      <c r="B61" s="157">
        <v>66</v>
      </c>
      <c r="C61" s="157" t="s">
        <v>488</v>
      </c>
      <c r="D61" s="204">
        <v>45250</v>
      </c>
      <c r="E61" s="145">
        <v>13.7</v>
      </c>
      <c r="F61" s="145">
        <v>2.06</v>
      </c>
      <c r="G61" s="157">
        <v>0.95</v>
      </c>
      <c r="H61" s="211">
        <v>6.1</v>
      </c>
      <c r="I61" s="184" t="s">
        <v>489</v>
      </c>
      <c r="J61" s="157">
        <v>3.5</v>
      </c>
      <c r="K61" s="157">
        <v>2.41</v>
      </c>
      <c r="L61" s="157">
        <v>0.69</v>
      </c>
      <c r="M61" s="213"/>
      <c r="N61" s="270">
        <f>25*E61</f>
        <v>342.5</v>
      </c>
      <c r="O61" s="212"/>
      <c r="P61" s="29" t="s">
        <v>413</v>
      </c>
    </row>
    <row r="62" spans="1:17" x14ac:dyDescent="0.2">
      <c r="A62" s="269" t="s">
        <v>103</v>
      </c>
      <c r="B62" s="29" t="s">
        <v>67</v>
      </c>
      <c r="C62" s="215"/>
      <c r="D62" s="215"/>
      <c r="E62" s="215"/>
      <c r="F62" s="215"/>
      <c r="G62" s="215"/>
      <c r="H62" s="218"/>
      <c r="I62" s="217"/>
      <c r="J62" s="215"/>
      <c r="K62" s="215"/>
      <c r="L62" s="215"/>
      <c r="M62" s="218"/>
      <c r="N62" s="219"/>
      <c r="O62" s="220"/>
    </row>
    <row r="63" spans="1:17" ht="15.75" x14ac:dyDescent="0.25">
      <c r="A63" s="269" t="s">
        <v>104</v>
      </c>
      <c r="B63" s="215">
        <v>78</v>
      </c>
      <c r="C63" s="157" t="s">
        <v>490</v>
      </c>
      <c r="D63" s="204">
        <v>45252</v>
      </c>
      <c r="E63" s="145">
        <v>12.2</v>
      </c>
      <c r="F63" s="145">
        <v>1.8</v>
      </c>
      <c r="G63" s="157">
        <v>0.39</v>
      </c>
      <c r="H63" s="211">
        <v>6.1</v>
      </c>
      <c r="I63" s="184"/>
      <c r="J63" s="157"/>
      <c r="K63" s="157"/>
      <c r="L63" s="157"/>
      <c r="M63" s="213"/>
      <c r="N63" s="270">
        <f>33*E63</f>
        <v>402.59999999999997</v>
      </c>
      <c r="O63" s="212"/>
      <c r="P63" s="29" t="s">
        <v>407</v>
      </c>
    </row>
    <row r="64" spans="1:17" x14ac:dyDescent="0.2">
      <c r="A64" s="269" t="s">
        <v>105</v>
      </c>
      <c r="B64" s="29" t="s">
        <v>67</v>
      </c>
      <c r="C64" s="215"/>
      <c r="D64" s="215"/>
      <c r="E64" s="215"/>
      <c r="F64" s="215"/>
      <c r="G64" s="215"/>
      <c r="H64" s="218"/>
      <c r="I64" s="217"/>
      <c r="J64" s="215"/>
      <c r="K64" s="215"/>
      <c r="L64" s="215"/>
      <c r="M64" s="218"/>
      <c r="N64" s="219"/>
      <c r="O64" s="220"/>
    </row>
    <row r="65" spans="1:17" x14ac:dyDescent="0.2">
      <c r="A65" s="271" t="s">
        <v>106</v>
      </c>
      <c r="B65" s="164" t="s">
        <v>67</v>
      </c>
      <c r="C65" s="272"/>
      <c r="D65" s="272"/>
      <c r="E65" s="272"/>
      <c r="F65" s="272"/>
      <c r="G65" s="272"/>
      <c r="H65" s="273"/>
      <c r="I65" s="217"/>
      <c r="J65" s="215"/>
      <c r="K65" s="215"/>
      <c r="L65" s="215"/>
      <c r="M65" s="218"/>
      <c r="N65" s="219"/>
      <c r="O65" s="220"/>
    </row>
    <row r="66" spans="1:17" ht="15.75" x14ac:dyDescent="0.25">
      <c r="A66" s="274" t="s">
        <v>108</v>
      </c>
      <c r="B66" s="157">
        <v>63</v>
      </c>
      <c r="C66" s="157" t="s">
        <v>491</v>
      </c>
      <c r="D66" s="204">
        <v>45245</v>
      </c>
      <c r="E66" s="145">
        <v>61.1</v>
      </c>
      <c r="F66" s="145">
        <v>2.16</v>
      </c>
      <c r="G66" s="157">
        <v>2.04</v>
      </c>
      <c r="H66" s="210">
        <v>7.6</v>
      </c>
      <c r="I66" s="206" t="s">
        <v>492</v>
      </c>
      <c r="J66" s="245">
        <v>16.5</v>
      </c>
      <c r="K66" s="245">
        <v>1.91</v>
      </c>
      <c r="L66" s="148">
        <v>1.1399999999999999</v>
      </c>
      <c r="M66" s="275">
        <v>6.8</v>
      </c>
      <c r="N66" s="276">
        <f>25*E66</f>
        <v>1527.5</v>
      </c>
      <c r="O66" s="277">
        <f>25*J66</f>
        <v>412.5</v>
      </c>
    </row>
    <row r="67" spans="1:17" x14ac:dyDescent="0.2">
      <c r="A67" s="274" t="s">
        <v>109</v>
      </c>
      <c r="B67" s="157">
        <v>88</v>
      </c>
      <c r="C67" s="157" t="s">
        <v>493</v>
      </c>
      <c r="D67" s="204">
        <v>45388</v>
      </c>
      <c r="E67" s="157">
        <v>1.2</v>
      </c>
      <c r="F67" s="157">
        <v>2.65</v>
      </c>
      <c r="G67" s="157">
        <v>15.08</v>
      </c>
      <c r="H67" s="223">
        <v>1.2</v>
      </c>
      <c r="I67" s="184"/>
      <c r="J67" s="157"/>
      <c r="K67" s="157"/>
      <c r="L67" s="157"/>
      <c r="M67" s="213"/>
      <c r="N67" s="172"/>
      <c r="O67" s="212"/>
    </row>
    <row r="68" spans="1:17" x14ac:dyDescent="0.2">
      <c r="A68" s="274" t="s">
        <v>110</v>
      </c>
      <c r="B68" s="157">
        <v>89.1</v>
      </c>
      <c r="C68" s="157" t="s">
        <v>494</v>
      </c>
      <c r="D68" s="204">
        <v>45542</v>
      </c>
      <c r="E68" s="157">
        <v>31.7</v>
      </c>
      <c r="F68" s="157">
        <v>1.86</v>
      </c>
      <c r="G68" s="157">
        <v>0.45</v>
      </c>
      <c r="H68" s="223">
        <v>0</v>
      </c>
      <c r="I68" s="184">
        <v>89.2</v>
      </c>
      <c r="J68" s="157">
        <v>8.1999999999999993</v>
      </c>
      <c r="K68" s="157">
        <v>1.86</v>
      </c>
      <c r="L68" s="157">
        <v>0.57999999999999996</v>
      </c>
      <c r="M68" s="213"/>
      <c r="N68" s="172">
        <f>40*E68</f>
        <v>1268</v>
      </c>
      <c r="O68" s="212">
        <f>40*J68</f>
        <v>328</v>
      </c>
      <c r="P68" s="29" t="s">
        <v>432</v>
      </c>
    </row>
    <row r="69" spans="1:17" x14ac:dyDescent="0.2">
      <c r="A69" s="274" t="s">
        <v>111</v>
      </c>
      <c r="B69" s="157">
        <v>92</v>
      </c>
      <c r="C69" s="157" t="s">
        <v>495</v>
      </c>
      <c r="D69" s="204">
        <v>45572</v>
      </c>
      <c r="E69" s="157">
        <v>10.7</v>
      </c>
      <c r="F69" s="157">
        <v>2.0699999999999998</v>
      </c>
      <c r="G69" s="157">
        <v>1.2</v>
      </c>
      <c r="H69" s="223">
        <v>2.7</v>
      </c>
      <c r="I69" s="184" t="s">
        <v>496</v>
      </c>
      <c r="J69" s="157">
        <v>8.6999999999999993</v>
      </c>
      <c r="K69" s="157">
        <v>2.0299999999999998</v>
      </c>
      <c r="L69" s="157">
        <v>1.1100000000000001</v>
      </c>
      <c r="M69" s="213">
        <v>2.2000000000000002</v>
      </c>
      <c r="N69" s="172">
        <f t="shared" ref="N69:N70" si="6">60*E69</f>
        <v>642</v>
      </c>
      <c r="O69" s="212">
        <f>60*J69</f>
        <v>522</v>
      </c>
      <c r="P69" s="29" t="s">
        <v>409</v>
      </c>
      <c r="Q69" s="29" t="s">
        <v>497</v>
      </c>
    </row>
    <row r="70" spans="1:17" ht="15.75" x14ac:dyDescent="0.25">
      <c r="A70" s="274" t="s">
        <v>112</v>
      </c>
      <c r="B70" s="157">
        <v>97</v>
      </c>
      <c r="C70" s="157" t="s">
        <v>498</v>
      </c>
      <c r="D70" s="157" t="s">
        <v>210</v>
      </c>
      <c r="E70" s="145">
        <v>11.2</v>
      </c>
      <c r="F70" s="145">
        <v>1.8</v>
      </c>
      <c r="G70" s="157">
        <v>0.5</v>
      </c>
      <c r="H70" s="210">
        <v>7.3</v>
      </c>
      <c r="I70" s="184"/>
      <c r="J70" s="157"/>
      <c r="K70" s="157"/>
      <c r="L70" s="157"/>
      <c r="M70" s="213"/>
      <c r="N70" s="274">
        <f t="shared" si="6"/>
        <v>672</v>
      </c>
      <c r="O70" s="212"/>
      <c r="P70" s="29" t="s">
        <v>409</v>
      </c>
    </row>
    <row r="71" spans="1:17" x14ac:dyDescent="0.2">
      <c r="A71" s="274" t="s">
        <v>113</v>
      </c>
      <c r="B71" s="29" t="s">
        <v>67</v>
      </c>
      <c r="C71" s="215"/>
      <c r="D71" s="215"/>
      <c r="E71" s="215"/>
      <c r="F71" s="215"/>
      <c r="G71" s="215"/>
      <c r="H71" s="216"/>
      <c r="I71" s="217"/>
      <c r="J71" s="215"/>
      <c r="K71" s="215"/>
      <c r="L71" s="215"/>
      <c r="M71" s="218"/>
      <c r="N71" s="278"/>
      <c r="O71" s="220"/>
      <c r="P71" s="29"/>
    </row>
    <row r="72" spans="1:17" x14ac:dyDescent="0.2">
      <c r="A72" s="274" t="s">
        <v>115</v>
      </c>
      <c r="B72" s="29" t="s">
        <v>67</v>
      </c>
      <c r="C72" s="215"/>
      <c r="D72" s="215"/>
      <c r="E72" s="215"/>
      <c r="F72" s="215"/>
      <c r="G72" s="215"/>
      <c r="H72" s="216"/>
      <c r="I72" s="217"/>
      <c r="J72" s="215"/>
      <c r="K72" s="215"/>
      <c r="L72" s="215"/>
      <c r="M72" s="218"/>
      <c r="N72" s="278"/>
      <c r="O72" s="220"/>
    </row>
    <row r="73" spans="1:17" x14ac:dyDescent="0.2">
      <c r="A73" s="274" t="s">
        <v>116</v>
      </c>
      <c r="B73" s="157">
        <v>109</v>
      </c>
      <c r="C73" s="157" t="s">
        <v>499</v>
      </c>
      <c r="D73" s="204">
        <v>45299</v>
      </c>
      <c r="E73" s="157">
        <v>14.7</v>
      </c>
      <c r="F73" s="157">
        <v>1.83</v>
      </c>
      <c r="G73" s="157">
        <v>0.5</v>
      </c>
      <c r="H73" s="223">
        <v>0</v>
      </c>
      <c r="I73" s="172"/>
      <c r="J73" s="29"/>
      <c r="K73" s="29"/>
      <c r="L73" s="29"/>
      <c r="M73" s="161"/>
      <c r="N73" s="172">
        <f>60*E73</f>
        <v>882</v>
      </c>
      <c r="O73" s="212"/>
      <c r="P73" s="29" t="s">
        <v>409</v>
      </c>
    </row>
    <row r="74" spans="1:17" x14ac:dyDescent="0.2">
      <c r="A74" s="274" t="s">
        <v>117</v>
      </c>
      <c r="B74" s="29" t="s">
        <v>67</v>
      </c>
      <c r="C74" s="219"/>
      <c r="D74" s="219"/>
      <c r="E74" s="219"/>
      <c r="F74" s="219"/>
      <c r="G74" s="219"/>
      <c r="H74" s="279"/>
      <c r="I74" s="278"/>
      <c r="J74" s="219"/>
      <c r="K74" s="219"/>
      <c r="L74" s="219"/>
      <c r="M74" s="280"/>
      <c r="N74" s="278"/>
      <c r="O74" s="220"/>
    </row>
    <row r="75" spans="1:17" ht="15.75" x14ac:dyDescent="0.25">
      <c r="A75" s="281" t="s">
        <v>118</v>
      </c>
      <c r="B75" s="164">
        <v>98</v>
      </c>
      <c r="C75" s="165" t="s">
        <v>500</v>
      </c>
      <c r="D75" s="165" t="s">
        <v>210</v>
      </c>
      <c r="E75" s="251">
        <v>28.3</v>
      </c>
      <c r="F75" s="251">
        <v>2.0699999999999998</v>
      </c>
      <c r="G75" s="164">
        <v>0.98</v>
      </c>
      <c r="H75" s="252">
        <v>7.6</v>
      </c>
      <c r="I75" s="173"/>
      <c r="J75" s="165"/>
      <c r="K75" s="165"/>
      <c r="L75" s="165"/>
      <c r="M75" s="167"/>
      <c r="N75" s="281">
        <f>60*E75</f>
        <v>1698</v>
      </c>
      <c r="O75" s="236"/>
      <c r="P75" s="29" t="s">
        <v>409</v>
      </c>
    </row>
    <row r="76" spans="1:17" x14ac:dyDescent="0.2">
      <c r="H76" s="73"/>
      <c r="M76" s="73"/>
    </row>
    <row r="77" spans="1:17" x14ac:dyDescent="0.2">
      <c r="H77" s="73"/>
      <c r="M77" s="73"/>
    </row>
    <row r="78" spans="1:17" x14ac:dyDescent="0.2">
      <c r="H78" s="73"/>
      <c r="M78" s="73"/>
    </row>
    <row r="79" spans="1:17" x14ac:dyDescent="0.2">
      <c r="H79" s="73"/>
      <c r="M79" s="73"/>
    </row>
    <row r="80" spans="1:17" x14ac:dyDescent="0.2">
      <c r="H80" s="73"/>
      <c r="M80" s="73"/>
    </row>
    <row r="81" spans="8:13" x14ac:dyDescent="0.2">
      <c r="H81" s="73"/>
      <c r="M81" s="73"/>
    </row>
    <row r="82" spans="8:13" x14ac:dyDescent="0.2">
      <c r="H82" s="73"/>
      <c r="M82" s="73"/>
    </row>
    <row r="83" spans="8:13" x14ac:dyDescent="0.2">
      <c r="H83" s="73"/>
      <c r="M83" s="73"/>
    </row>
    <row r="84" spans="8:13" x14ac:dyDescent="0.2">
      <c r="H84" s="73"/>
      <c r="M84" s="73"/>
    </row>
    <row r="85" spans="8:13" x14ac:dyDescent="0.2">
      <c r="H85" s="73"/>
      <c r="M85" s="73"/>
    </row>
    <row r="86" spans="8:13" x14ac:dyDescent="0.2">
      <c r="H86" s="73"/>
      <c r="M86" s="73"/>
    </row>
    <row r="87" spans="8:13" x14ac:dyDescent="0.2">
      <c r="H87" s="73"/>
      <c r="M87" s="73"/>
    </row>
    <row r="88" spans="8:13" x14ac:dyDescent="0.2">
      <c r="H88" s="73"/>
      <c r="M88" s="73"/>
    </row>
    <row r="89" spans="8:13" x14ac:dyDescent="0.2">
      <c r="H89" s="73"/>
      <c r="M89" s="73"/>
    </row>
    <row r="90" spans="8:13" x14ac:dyDescent="0.2">
      <c r="H90" s="73"/>
      <c r="M90" s="73"/>
    </row>
    <row r="91" spans="8:13" x14ac:dyDescent="0.2">
      <c r="H91" s="73"/>
      <c r="M91" s="73"/>
    </row>
    <row r="92" spans="8:13" x14ac:dyDescent="0.2">
      <c r="H92" s="73"/>
      <c r="M92" s="73"/>
    </row>
    <row r="93" spans="8:13" x14ac:dyDescent="0.2">
      <c r="H93" s="73"/>
      <c r="M93" s="73"/>
    </row>
    <row r="94" spans="8:13" x14ac:dyDescent="0.2">
      <c r="H94" s="73"/>
      <c r="M94" s="73"/>
    </row>
    <row r="95" spans="8:13" x14ac:dyDescent="0.2">
      <c r="H95" s="73"/>
      <c r="M95" s="73"/>
    </row>
    <row r="96" spans="8:13" x14ac:dyDescent="0.2">
      <c r="H96" s="73"/>
      <c r="M96" s="73"/>
    </row>
    <row r="97" spans="8:13" x14ac:dyDescent="0.2">
      <c r="H97" s="73"/>
      <c r="M97" s="73"/>
    </row>
    <row r="98" spans="8:13" x14ac:dyDescent="0.2">
      <c r="H98" s="73"/>
      <c r="M98" s="73"/>
    </row>
    <row r="99" spans="8:13" x14ac:dyDescent="0.2">
      <c r="H99" s="73"/>
      <c r="M99" s="73"/>
    </row>
    <row r="100" spans="8:13" x14ac:dyDescent="0.2">
      <c r="H100" s="73"/>
      <c r="M100" s="73"/>
    </row>
    <row r="101" spans="8:13" x14ac:dyDescent="0.2">
      <c r="H101" s="73"/>
      <c r="M101" s="73"/>
    </row>
    <row r="102" spans="8:13" x14ac:dyDescent="0.2">
      <c r="H102" s="73"/>
      <c r="M102" s="73"/>
    </row>
    <row r="103" spans="8:13" x14ac:dyDescent="0.2">
      <c r="H103" s="73"/>
      <c r="M103" s="73"/>
    </row>
    <row r="104" spans="8:13" x14ac:dyDescent="0.2">
      <c r="H104" s="73"/>
      <c r="M104" s="73"/>
    </row>
    <row r="105" spans="8:13" x14ac:dyDescent="0.2">
      <c r="H105" s="73"/>
      <c r="M105" s="73"/>
    </row>
    <row r="106" spans="8:13" x14ac:dyDescent="0.2">
      <c r="H106" s="73"/>
      <c r="M106" s="73"/>
    </row>
    <row r="107" spans="8:13" x14ac:dyDescent="0.2">
      <c r="H107" s="73"/>
      <c r="M107" s="73"/>
    </row>
    <row r="108" spans="8:13" x14ac:dyDescent="0.2">
      <c r="H108" s="73"/>
      <c r="M108" s="73"/>
    </row>
    <row r="109" spans="8:13" x14ac:dyDescent="0.2">
      <c r="H109" s="73"/>
      <c r="M109" s="73"/>
    </row>
    <row r="110" spans="8:13" x14ac:dyDescent="0.2">
      <c r="H110" s="73"/>
      <c r="M110" s="73"/>
    </row>
    <row r="111" spans="8:13" x14ac:dyDescent="0.2">
      <c r="H111" s="73"/>
      <c r="M111" s="73"/>
    </row>
    <row r="112" spans="8:13" x14ac:dyDescent="0.2">
      <c r="H112" s="73"/>
      <c r="M112" s="73"/>
    </row>
    <row r="113" spans="8:13" x14ac:dyDescent="0.2">
      <c r="H113" s="73"/>
      <c r="M113" s="73"/>
    </row>
    <row r="114" spans="8:13" x14ac:dyDescent="0.2">
      <c r="H114" s="73"/>
      <c r="M114" s="73"/>
    </row>
    <row r="115" spans="8:13" x14ac:dyDescent="0.2">
      <c r="H115" s="73"/>
      <c r="M115" s="73"/>
    </row>
    <row r="116" spans="8:13" x14ac:dyDescent="0.2">
      <c r="H116" s="73"/>
      <c r="M116" s="73"/>
    </row>
    <row r="117" spans="8:13" x14ac:dyDescent="0.2">
      <c r="H117" s="73"/>
      <c r="M117" s="73"/>
    </row>
    <row r="118" spans="8:13" x14ac:dyDescent="0.2">
      <c r="H118" s="73"/>
      <c r="M118" s="73"/>
    </row>
    <row r="119" spans="8:13" x14ac:dyDescent="0.2">
      <c r="H119" s="73"/>
      <c r="M119" s="73"/>
    </row>
    <row r="120" spans="8:13" x14ac:dyDescent="0.2">
      <c r="H120" s="73"/>
      <c r="M120" s="73"/>
    </row>
    <row r="121" spans="8:13" x14ac:dyDescent="0.2">
      <c r="H121" s="73"/>
      <c r="M121" s="73"/>
    </row>
    <row r="122" spans="8:13" x14ac:dyDescent="0.2">
      <c r="H122" s="73"/>
      <c r="M122" s="73"/>
    </row>
    <row r="123" spans="8:13" x14ac:dyDescent="0.2">
      <c r="H123" s="73"/>
      <c r="M123" s="73"/>
    </row>
    <row r="124" spans="8:13" x14ac:dyDescent="0.2">
      <c r="H124" s="73"/>
      <c r="M124" s="73"/>
    </row>
    <row r="125" spans="8:13" x14ac:dyDescent="0.2">
      <c r="H125" s="73"/>
      <c r="M125" s="73"/>
    </row>
    <row r="126" spans="8:13" x14ac:dyDescent="0.2">
      <c r="H126" s="73"/>
      <c r="M126" s="73"/>
    </row>
    <row r="127" spans="8:13" x14ac:dyDescent="0.2">
      <c r="H127" s="73"/>
      <c r="M127" s="73"/>
    </row>
    <row r="128" spans="8:13" x14ac:dyDescent="0.2">
      <c r="H128" s="73"/>
      <c r="M128" s="73"/>
    </row>
    <row r="129" spans="8:13" x14ac:dyDescent="0.2">
      <c r="H129" s="73"/>
      <c r="M129" s="73"/>
    </row>
    <row r="130" spans="8:13" x14ac:dyDescent="0.2">
      <c r="H130" s="73"/>
      <c r="M130" s="73"/>
    </row>
    <row r="131" spans="8:13" x14ac:dyDescent="0.2">
      <c r="H131" s="73"/>
      <c r="M131" s="73"/>
    </row>
    <row r="132" spans="8:13" x14ac:dyDescent="0.2">
      <c r="H132" s="73"/>
      <c r="M132" s="73"/>
    </row>
    <row r="133" spans="8:13" x14ac:dyDescent="0.2">
      <c r="H133" s="73"/>
      <c r="M133" s="73"/>
    </row>
    <row r="134" spans="8:13" x14ac:dyDescent="0.2">
      <c r="H134" s="73"/>
      <c r="M134" s="73"/>
    </row>
    <row r="135" spans="8:13" x14ac:dyDescent="0.2">
      <c r="H135" s="73"/>
      <c r="M135" s="73"/>
    </row>
    <row r="136" spans="8:13" x14ac:dyDescent="0.2">
      <c r="H136" s="73"/>
      <c r="M136" s="73"/>
    </row>
    <row r="137" spans="8:13" x14ac:dyDescent="0.2">
      <c r="H137" s="73"/>
      <c r="M137" s="73"/>
    </row>
    <row r="138" spans="8:13" x14ac:dyDescent="0.2">
      <c r="H138" s="73"/>
      <c r="M138" s="73"/>
    </row>
    <row r="139" spans="8:13" x14ac:dyDescent="0.2">
      <c r="H139" s="73"/>
      <c r="M139" s="73"/>
    </row>
    <row r="140" spans="8:13" x14ac:dyDescent="0.2">
      <c r="H140" s="73"/>
      <c r="M140" s="73"/>
    </row>
    <row r="141" spans="8:13" x14ac:dyDescent="0.2">
      <c r="H141" s="73"/>
      <c r="M141" s="73"/>
    </row>
    <row r="142" spans="8:13" x14ac:dyDescent="0.2">
      <c r="H142" s="73"/>
      <c r="M142" s="73"/>
    </row>
    <row r="143" spans="8:13" x14ac:dyDescent="0.2">
      <c r="H143" s="73"/>
      <c r="M143" s="73"/>
    </row>
    <row r="144" spans="8:13" x14ac:dyDescent="0.2">
      <c r="H144" s="73"/>
      <c r="M144" s="73"/>
    </row>
    <row r="145" spans="8:13" x14ac:dyDescent="0.2">
      <c r="H145" s="73"/>
      <c r="M145" s="73"/>
    </row>
    <row r="146" spans="8:13" x14ac:dyDescent="0.2">
      <c r="H146" s="73"/>
      <c r="M146" s="73"/>
    </row>
    <row r="147" spans="8:13" x14ac:dyDescent="0.2">
      <c r="H147" s="73"/>
      <c r="M147" s="73"/>
    </row>
    <row r="148" spans="8:13" x14ac:dyDescent="0.2">
      <c r="H148" s="73"/>
      <c r="M148" s="73"/>
    </row>
    <row r="149" spans="8:13" x14ac:dyDescent="0.2">
      <c r="H149" s="73"/>
      <c r="M149" s="73"/>
    </row>
    <row r="150" spans="8:13" x14ac:dyDescent="0.2">
      <c r="H150" s="73"/>
      <c r="M150" s="73"/>
    </row>
    <row r="151" spans="8:13" x14ac:dyDescent="0.2">
      <c r="H151" s="73"/>
      <c r="M151" s="73"/>
    </row>
    <row r="152" spans="8:13" x14ac:dyDescent="0.2">
      <c r="H152" s="73"/>
      <c r="M152" s="73"/>
    </row>
    <row r="153" spans="8:13" x14ac:dyDescent="0.2">
      <c r="H153" s="73"/>
      <c r="M153" s="73"/>
    </row>
    <row r="154" spans="8:13" x14ac:dyDescent="0.2">
      <c r="H154" s="73"/>
      <c r="M154" s="73"/>
    </row>
    <row r="155" spans="8:13" x14ac:dyDescent="0.2">
      <c r="H155" s="73"/>
      <c r="M155" s="73"/>
    </row>
    <row r="156" spans="8:13" x14ac:dyDescent="0.2">
      <c r="H156" s="73"/>
      <c r="M156" s="73"/>
    </row>
    <row r="157" spans="8:13" x14ac:dyDescent="0.2">
      <c r="H157" s="73"/>
      <c r="M157" s="73"/>
    </row>
    <row r="158" spans="8:13" x14ac:dyDescent="0.2">
      <c r="H158" s="73"/>
      <c r="M158" s="73"/>
    </row>
    <row r="159" spans="8:13" x14ac:dyDescent="0.2">
      <c r="H159" s="73"/>
      <c r="M159" s="73"/>
    </row>
    <row r="160" spans="8:13" x14ac:dyDescent="0.2">
      <c r="H160" s="73"/>
      <c r="M160" s="73"/>
    </row>
    <row r="161" spans="8:13" x14ac:dyDescent="0.2">
      <c r="H161" s="73"/>
      <c r="M161" s="73"/>
    </row>
    <row r="162" spans="8:13" x14ac:dyDescent="0.2">
      <c r="H162" s="73"/>
      <c r="M162" s="73"/>
    </row>
    <row r="163" spans="8:13" x14ac:dyDescent="0.2">
      <c r="H163" s="73"/>
      <c r="M163" s="73"/>
    </row>
    <row r="164" spans="8:13" x14ac:dyDescent="0.2">
      <c r="H164" s="73"/>
      <c r="M164" s="73"/>
    </row>
    <row r="165" spans="8:13" x14ac:dyDescent="0.2">
      <c r="H165" s="73"/>
      <c r="M165" s="73"/>
    </row>
    <row r="166" spans="8:13" x14ac:dyDescent="0.2">
      <c r="H166" s="73"/>
      <c r="M166" s="73"/>
    </row>
    <row r="167" spans="8:13" x14ac:dyDescent="0.2">
      <c r="H167" s="73"/>
      <c r="M167" s="73"/>
    </row>
    <row r="168" spans="8:13" x14ac:dyDescent="0.2">
      <c r="H168" s="73"/>
      <c r="M168" s="73"/>
    </row>
    <row r="169" spans="8:13" x14ac:dyDescent="0.2">
      <c r="H169" s="73"/>
      <c r="M169" s="73"/>
    </row>
    <row r="170" spans="8:13" x14ac:dyDescent="0.2">
      <c r="H170" s="73"/>
      <c r="M170" s="73"/>
    </row>
    <row r="171" spans="8:13" x14ac:dyDescent="0.2">
      <c r="H171" s="73"/>
      <c r="M171" s="73"/>
    </row>
    <row r="172" spans="8:13" x14ac:dyDescent="0.2">
      <c r="H172" s="73"/>
      <c r="M172" s="73"/>
    </row>
    <row r="173" spans="8:13" x14ac:dyDescent="0.2">
      <c r="H173" s="73"/>
      <c r="M173" s="73"/>
    </row>
    <row r="174" spans="8:13" x14ac:dyDescent="0.2">
      <c r="H174" s="73"/>
      <c r="M174" s="73"/>
    </row>
    <row r="175" spans="8:13" x14ac:dyDescent="0.2">
      <c r="H175" s="73"/>
      <c r="M175" s="73"/>
    </row>
    <row r="176" spans="8:13" x14ac:dyDescent="0.2">
      <c r="H176" s="73"/>
      <c r="M176" s="73"/>
    </row>
    <row r="177" spans="8:13" x14ac:dyDescent="0.2">
      <c r="H177" s="73"/>
      <c r="M177" s="73"/>
    </row>
    <row r="178" spans="8:13" x14ac:dyDescent="0.2">
      <c r="H178" s="73"/>
      <c r="M178" s="73"/>
    </row>
    <row r="179" spans="8:13" x14ac:dyDescent="0.2">
      <c r="H179" s="73"/>
      <c r="M179" s="73"/>
    </row>
    <row r="180" spans="8:13" x14ac:dyDescent="0.2">
      <c r="H180" s="73"/>
      <c r="M180" s="73"/>
    </row>
    <row r="181" spans="8:13" x14ac:dyDescent="0.2">
      <c r="H181" s="73"/>
      <c r="M181" s="73"/>
    </row>
    <row r="182" spans="8:13" x14ac:dyDescent="0.2">
      <c r="H182" s="73"/>
      <c r="M182" s="73"/>
    </row>
    <row r="183" spans="8:13" x14ac:dyDescent="0.2">
      <c r="H183" s="73"/>
      <c r="M183" s="73"/>
    </row>
    <row r="184" spans="8:13" x14ac:dyDescent="0.2">
      <c r="H184" s="73"/>
      <c r="M184" s="73"/>
    </row>
    <row r="185" spans="8:13" x14ac:dyDescent="0.2">
      <c r="H185" s="73"/>
      <c r="M185" s="73"/>
    </row>
    <row r="186" spans="8:13" x14ac:dyDescent="0.2">
      <c r="H186" s="73"/>
      <c r="M186" s="73"/>
    </row>
    <row r="187" spans="8:13" x14ac:dyDescent="0.2">
      <c r="H187" s="73"/>
      <c r="M187" s="73"/>
    </row>
    <row r="188" spans="8:13" x14ac:dyDescent="0.2">
      <c r="H188" s="73"/>
      <c r="M188" s="73"/>
    </row>
    <row r="189" spans="8:13" x14ac:dyDescent="0.2">
      <c r="H189" s="73"/>
      <c r="M189" s="73"/>
    </row>
    <row r="190" spans="8:13" x14ac:dyDescent="0.2">
      <c r="H190" s="73"/>
      <c r="M190" s="73"/>
    </row>
    <row r="191" spans="8:13" x14ac:dyDescent="0.2">
      <c r="H191" s="73"/>
      <c r="M191" s="73"/>
    </row>
    <row r="192" spans="8:13" x14ac:dyDescent="0.2">
      <c r="H192" s="73"/>
      <c r="M192" s="73"/>
    </row>
    <row r="193" spans="8:13" x14ac:dyDescent="0.2">
      <c r="H193" s="73"/>
      <c r="M193" s="73"/>
    </row>
    <row r="194" spans="8:13" x14ac:dyDescent="0.2">
      <c r="H194" s="73"/>
      <c r="M194" s="73"/>
    </row>
    <row r="195" spans="8:13" x14ac:dyDescent="0.2">
      <c r="H195" s="73"/>
      <c r="M195" s="73"/>
    </row>
    <row r="196" spans="8:13" x14ac:dyDescent="0.2">
      <c r="H196" s="73"/>
      <c r="M196" s="73"/>
    </row>
    <row r="197" spans="8:13" x14ac:dyDescent="0.2">
      <c r="H197" s="73"/>
      <c r="M197" s="73"/>
    </row>
    <row r="198" spans="8:13" x14ac:dyDescent="0.2">
      <c r="H198" s="73"/>
      <c r="M198" s="73"/>
    </row>
    <row r="199" spans="8:13" x14ac:dyDescent="0.2">
      <c r="H199" s="73"/>
      <c r="M199" s="73"/>
    </row>
    <row r="200" spans="8:13" x14ac:dyDescent="0.2">
      <c r="H200" s="73"/>
      <c r="M200" s="73"/>
    </row>
    <row r="201" spans="8:13" x14ac:dyDescent="0.2">
      <c r="H201" s="73"/>
      <c r="M201" s="73"/>
    </row>
    <row r="202" spans="8:13" x14ac:dyDescent="0.2">
      <c r="H202" s="73"/>
      <c r="M202" s="73"/>
    </row>
    <row r="203" spans="8:13" x14ac:dyDescent="0.2">
      <c r="H203" s="73"/>
      <c r="M203" s="73"/>
    </row>
    <row r="204" spans="8:13" x14ac:dyDescent="0.2">
      <c r="H204" s="73"/>
      <c r="M204" s="73"/>
    </row>
    <row r="205" spans="8:13" x14ac:dyDescent="0.2">
      <c r="H205" s="73"/>
      <c r="M205" s="73"/>
    </row>
    <row r="206" spans="8:13" x14ac:dyDescent="0.2">
      <c r="H206" s="73"/>
      <c r="M206" s="73"/>
    </row>
    <row r="207" spans="8:13" x14ac:dyDescent="0.2">
      <c r="H207" s="73"/>
      <c r="M207" s="73"/>
    </row>
    <row r="208" spans="8:13" x14ac:dyDescent="0.2">
      <c r="H208" s="73"/>
      <c r="M208" s="73"/>
    </row>
    <row r="209" spans="8:13" x14ac:dyDescent="0.2">
      <c r="H209" s="73"/>
      <c r="M209" s="73"/>
    </row>
    <row r="210" spans="8:13" x14ac:dyDescent="0.2">
      <c r="H210" s="73"/>
      <c r="M210" s="73"/>
    </row>
    <row r="211" spans="8:13" x14ac:dyDescent="0.2">
      <c r="H211" s="73"/>
      <c r="M211" s="73"/>
    </row>
    <row r="212" spans="8:13" x14ac:dyDescent="0.2">
      <c r="H212" s="73"/>
      <c r="M212" s="73"/>
    </row>
    <row r="213" spans="8:13" x14ac:dyDescent="0.2">
      <c r="H213" s="73"/>
      <c r="M213" s="73"/>
    </row>
    <row r="214" spans="8:13" x14ac:dyDescent="0.2">
      <c r="H214" s="73"/>
      <c r="M214" s="73"/>
    </row>
    <row r="215" spans="8:13" x14ac:dyDescent="0.2">
      <c r="H215" s="73"/>
      <c r="M215" s="73"/>
    </row>
    <row r="216" spans="8:13" x14ac:dyDescent="0.2">
      <c r="H216" s="73"/>
      <c r="M216" s="73"/>
    </row>
    <row r="217" spans="8:13" x14ac:dyDescent="0.2">
      <c r="H217" s="73"/>
      <c r="M217" s="73"/>
    </row>
    <row r="218" spans="8:13" x14ac:dyDescent="0.2">
      <c r="H218" s="73"/>
      <c r="M218" s="73"/>
    </row>
    <row r="219" spans="8:13" x14ac:dyDescent="0.2">
      <c r="H219" s="73"/>
      <c r="M219" s="73"/>
    </row>
    <row r="220" spans="8:13" x14ac:dyDescent="0.2">
      <c r="H220" s="73"/>
      <c r="M220" s="73"/>
    </row>
    <row r="221" spans="8:13" x14ac:dyDescent="0.2">
      <c r="H221" s="73"/>
      <c r="M221" s="73"/>
    </row>
    <row r="222" spans="8:13" x14ac:dyDescent="0.2">
      <c r="H222" s="73"/>
      <c r="M222" s="73"/>
    </row>
    <row r="223" spans="8:13" x14ac:dyDescent="0.2">
      <c r="H223" s="73"/>
      <c r="M223" s="73"/>
    </row>
    <row r="224" spans="8:13" x14ac:dyDescent="0.2">
      <c r="H224" s="73"/>
      <c r="M224" s="73"/>
    </row>
    <row r="225" spans="8:13" x14ac:dyDescent="0.2">
      <c r="H225" s="73"/>
      <c r="M225" s="73"/>
    </row>
    <row r="226" spans="8:13" x14ac:dyDescent="0.2">
      <c r="H226" s="73"/>
      <c r="M226" s="73"/>
    </row>
    <row r="227" spans="8:13" x14ac:dyDescent="0.2">
      <c r="H227" s="73"/>
      <c r="M227" s="73"/>
    </row>
    <row r="228" spans="8:13" x14ac:dyDescent="0.2">
      <c r="H228" s="73"/>
      <c r="M228" s="73"/>
    </row>
    <row r="229" spans="8:13" x14ac:dyDescent="0.2">
      <c r="H229" s="73"/>
      <c r="M229" s="73"/>
    </row>
    <row r="230" spans="8:13" x14ac:dyDescent="0.2">
      <c r="H230" s="73"/>
      <c r="M230" s="73"/>
    </row>
    <row r="231" spans="8:13" x14ac:dyDescent="0.2">
      <c r="H231" s="73"/>
      <c r="M231" s="73"/>
    </row>
    <row r="232" spans="8:13" x14ac:dyDescent="0.2">
      <c r="H232" s="73"/>
      <c r="M232" s="73"/>
    </row>
    <row r="233" spans="8:13" x14ac:dyDescent="0.2">
      <c r="H233" s="73"/>
      <c r="M233" s="73"/>
    </row>
    <row r="234" spans="8:13" x14ac:dyDescent="0.2">
      <c r="H234" s="73"/>
      <c r="M234" s="73"/>
    </row>
    <row r="235" spans="8:13" x14ac:dyDescent="0.2">
      <c r="H235" s="73"/>
      <c r="M235" s="73"/>
    </row>
    <row r="236" spans="8:13" x14ac:dyDescent="0.2">
      <c r="H236" s="73"/>
      <c r="M236" s="73"/>
    </row>
    <row r="237" spans="8:13" x14ac:dyDescent="0.2">
      <c r="H237" s="73"/>
      <c r="M237" s="73"/>
    </row>
    <row r="238" spans="8:13" x14ac:dyDescent="0.2">
      <c r="H238" s="73"/>
      <c r="M238" s="73"/>
    </row>
    <row r="239" spans="8:13" x14ac:dyDescent="0.2">
      <c r="H239" s="73"/>
      <c r="M239" s="73"/>
    </row>
    <row r="240" spans="8:13" x14ac:dyDescent="0.2">
      <c r="H240" s="73"/>
      <c r="M240" s="73"/>
    </row>
    <row r="241" spans="8:13" x14ac:dyDescent="0.2">
      <c r="H241" s="73"/>
      <c r="M241" s="73"/>
    </row>
    <row r="242" spans="8:13" x14ac:dyDescent="0.2">
      <c r="H242" s="73"/>
      <c r="M242" s="73"/>
    </row>
    <row r="243" spans="8:13" x14ac:dyDescent="0.2">
      <c r="H243" s="73"/>
      <c r="M243" s="73"/>
    </row>
    <row r="244" spans="8:13" x14ac:dyDescent="0.2">
      <c r="H244" s="73"/>
      <c r="M244" s="73"/>
    </row>
    <row r="245" spans="8:13" x14ac:dyDescent="0.2">
      <c r="H245" s="73"/>
      <c r="M245" s="73"/>
    </row>
    <row r="246" spans="8:13" x14ac:dyDescent="0.2">
      <c r="H246" s="73"/>
      <c r="M246" s="73"/>
    </row>
    <row r="247" spans="8:13" x14ac:dyDescent="0.2">
      <c r="H247" s="73"/>
      <c r="M247" s="73"/>
    </row>
    <row r="248" spans="8:13" x14ac:dyDescent="0.2">
      <c r="H248" s="73"/>
      <c r="M248" s="73"/>
    </row>
    <row r="249" spans="8:13" x14ac:dyDescent="0.2">
      <c r="H249" s="73"/>
      <c r="M249" s="73"/>
    </row>
    <row r="250" spans="8:13" x14ac:dyDescent="0.2">
      <c r="H250" s="73"/>
      <c r="M250" s="73"/>
    </row>
    <row r="251" spans="8:13" x14ac:dyDescent="0.2">
      <c r="H251" s="73"/>
      <c r="M251" s="73"/>
    </row>
    <row r="252" spans="8:13" x14ac:dyDescent="0.2">
      <c r="H252" s="73"/>
      <c r="M252" s="73"/>
    </row>
    <row r="253" spans="8:13" x14ac:dyDescent="0.2">
      <c r="H253" s="73"/>
      <c r="M253" s="73"/>
    </row>
    <row r="254" spans="8:13" x14ac:dyDescent="0.2">
      <c r="H254" s="73"/>
      <c r="M254" s="73"/>
    </row>
    <row r="255" spans="8:13" x14ac:dyDescent="0.2">
      <c r="H255" s="73"/>
      <c r="M255" s="73"/>
    </row>
    <row r="256" spans="8:13" x14ac:dyDescent="0.2">
      <c r="H256" s="73"/>
      <c r="M256" s="73"/>
    </row>
    <row r="257" spans="8:13" x14ac:dyDescent="0.2">
      <c r="H257" s="73"/>
      <c r="M257" s="73"/>
    </row>
    <row r="258" spans="8:13" x14ac:dyDescent="0.2">
      <c r="H258" s="73"/>
      <c r="M258" s="73"/>
    </row>
    <row r="259" spans="8:13" x14ac:dyDescent="0.2">
      <c r="H259" s="73"/>
      <c r="M259" s="73"/>
    </row>
    <row r="260" spans="8:13" x14ac:dyDescent="0.2">
      <c r="H260" s="73"/>
      <c r="M260" s="73"/>
    </row>
    <row r="261" spans="8:13" x14ac:dyDescent="0.2">
      <c r="H261" s="73"/>
      <c r="M261" s="73"/>
    </row>
    <row r="262" spans="8:13" x14ac:dyDescent="0.2">
      <c r="H262" s="73"/>
      <c r="M262" s="73"/>
    </row>
    <row r="263" spans="8:13" x14ac:dyDescent="0.2">
      <c r="H263" s="73"/>
      <c r="M263" s="73"/>
    </row>
    <row r="264" spans="8:13" x14ac:dyDescent="0.2">
      <c r="H264" s="73"/>
      <c r="M264" s="73"/>
    </row>
    <row r="265" spans="8:13" x14ac:dyDescent="0.2">
      <c r="H265" s="73"/>
      <c r="M265" s="73"/>
    </row>
    <row r="266" spans="8:13" x14ac:dyDescent="0.2">
      <c r="H266" s="73"/>
      <c r="M266" s="73"/>
    </row>
    <row r="267" spans="8:13" x14ac:dyDescent="0.2">
      <c r="H267" s="73"/>
      <c r="M267" s="73"/>
    </row>
    <row r="268" spans="8:13" x14ac:dyDescent="0.2">
      <c r="H268" s="73"/>
      <c r="M268" s="73"/>
    </row>
    <row r="269" spans="8:13" x14ac:dyDescent="0.2">
      <c r="H269" s="73"/>
      <c r="M269" s="73"/>
    </row>
    <row r="270" spans="8:13" x14ac:dyDescent="0.2">
      <c r="H270" s="73"/>
      <c r="M270" s="73"/>
    </row>
    <row r="271" spans="8:13" x14ac:dyDescent="0.2">
      <c r="H271" s="73"/>
      <c r="M271" s="73"/>
    </row>
    <row r="272" spans="8:13" x14ac:dyDescent="0.2">
      <c r="H272" s="73"/>
      <c r="M272" s="73"/>
    </row>
    <row r="273" spans="8:13" x14ac:dyDescent="0.2">
      <c r="H273" s="73"/>
      <c r="M273" s="73"/>
    </row>
    <row r="274" spans="8:13" x14ac:dyDescent="0.2">
      <c r="H274" s="73"/>
      <c r="M274" s="73"/>
    </row>
    <row r="275" spans="8:13" x14ac:dyDescent="0.2">
      <c r="H275" s="73"/>
      <c r="M275" s="73"/>
    </row>
    <row r="276" spans="8:13" x14ac:dyDescent="0.2">
      <c r="H276" s="73"/>
      <c r="M276" s="73"/>
    </row>
    <row r="277" spans="8:13" x14ac:dyDescent="0.2">
      <c r="H277" s="73"/>
      <c r="M277" s="73"/>
    </row>
    <row r="278" spans="8:13" x14ac:dyDescent="0.2">
      <c r="H278" s="73"/>
      <c r="M278" s="73"/>
    </row>
    <row r="279" spans="8:13" x14ac:dyDescent="0.2">
      <c r="H279" s="73"/>
      <c r="M279" s="73"/>
    </row>
    <row r="280" spans="8:13" x14ac:dyDescent="0.2">
      <c r="H280" s="73"/>
      <c r="M280" s="73"/>
    </row>
    <row r="281" spans="8:13" x14ac:dyDescent="0.2">
      <c r="H281" s="73"/>
      <c r="M281" s="73"/>
    </row>
    <row r="282" spans="8:13" x14ac:dyDescent="0.2">
      <c r="H282" s="73"/>
      <c r="M282" s="73"/>
    </row>
    <row r="283" spans="8:13" x14ac:dyDescent="0.2">
      <c r="H283" s="73"/>
      <c r="M283" s="73"/>
    </row>
    <row r="284" spans="8:13" x14ac:dyDescent="0.2">
      <c r="H284" s="73"/>
      <c r="M284" s="73"/>
    </row>
    <row r="285" spans="8:13" x14ac:dyDescent="0.2">
      <c r="H285" s="73"/>
      <c r="M285" s="73"/>
    </row>
    <row r="286" spans="8:13" x14ac:dyDescent="0.2">
      <c r="H286" s="73"/>
      <c r="M286" s="73"/>
    </row>
    <row r="287" spans="8:13" x14ac:dyDescent="0.2">
      <c r="H287" s="73"/>
      <c r="M287" s="73"/>
    </row>
    <row r="288" spans="8:13" x14ac:dyDescent="0.2">
      <c r="H288" s="73"/>
      <c r="M288" s="73"/>
    </row>
    <row r="289" spans="8:13" x14ac:dyDescent="0.2">
      <c r="H289" s="73"/>
      <c r="M289" s="73"/>
    </row>
    <row r="290" spans="8:13" x14ac:dyDescent="0.2">
      <c r="H290" s="73"/>
      <c r="M290" s="73"/>
    </row>
    <row r="291" spans="8:13" x14ac:dyDescent="0.2">
      <c r="H291" s="73"/>
      <c r="M291" s="73"/>
    </row>
    <row r="292" spans="8:13" x14ac:dyDescent="0.2">
      <c r="H292" s="73"/>
      <c r="M292" s="73"/>
    </row>
    <row r="293" spans="8:13" x14ac:dyDescent="0.2">
      <c r="H293" s="73"/>
      <c r="M293" s="73"/>
    </row>
    <row r="294" spans="8:13" x14ac:dyDescent="0.2">
      <c r="H294" s="73"/>
      <c r="M294" s="73"/>
    </row>
    <row r="295" spans="8:13" x14ac:dyDescent="0.2">
      <c r="H295" s="73"/>
      <c r="M295" s="73"/>
    </row>
    <row r="296" spans="8:13" x14ac:dyDescent="0.2">
      <c r="H296" s="73"/>
      <c r="M296" s="73"/>
    </row>
    <row r="297" spans="8:13" x14ac:dyDescent="0.2">
      <c r="H297" s="73"/>
      <c r="M297" s="73"/>
    </row>
    <row r="298" spans="8:13" x14ac:dyDescent="0.2">
      <c r="H298" s="73"/>
      <c r="M298" s="73"/>
    </row>
    <row r="299" spans="8:13" x14ac:dyDescent="0.2">
      <c r="H299" s="73"/>
      <c r="M299" s="73"/>
    </row>
    <row r="300" spans="8:13" x14ac:dyDescent="0.2">
      <c r="H300" s="73"/>
      <c r="M300" s="73"/>
    </row>
    <row r="301" spans="8:13" x14ac:dyDescent="0.2">
      <c r="H301" s="73"/>
      <c r="M301" s="73"/>
    </row>
    <row r="302" spans="8:13" x14ac:dyDescent="0.2">
      <c r="H302" s="73"/>
      <c r="M302" s="73"/>
    </row>
    <row r="303" spans="8:13" x14ac:dyDescent="0.2">
      <c r="H303" s="73"/>
      <c r="M303" s="73"/>
    </row>
    <row r="304" spans="8:13" x14ac:dyDescent="0.2">
      <c r="H304" s="73"/>
      <c r="M304" s="73"/>
    </row>
    <row r="305" spans="8:13" x14ac:dyDescent="0.2">
      <c r="H305" s="73"/>
      <c r="M305" s="73"/>
    </row>
    <row r="306" spans="8:13" x14ac:dyDescent="0.2">
      <c r="H306" s="73"/>
      <c r="M306" s="73"/>
    </row>
    <row r="307" spans="8:13" x14ac:dyDescent="0.2">
      <c r="H307" s="73"/>
      <c r="M307" s="73"/>
    </row>
    <row r="308" spans="8:13" x14ac:dyDescent="0.2">
      <c r="H308" s="73"/>
      <c r="M308" s="73"/>
    </row>
    <row r="309" spans="8:13" x14ac:dyDescent="0.2">
      <c r="H309" s="73"/>
      <c r="M309" s="73"/>
    </row>
    <row r="310" spans="8:13" x14ac:dyDescent="0.2">
      <c r="H310" s="73"/>
      <c r="M310" s="73"/>
    </row>
    <row r="311" spans="8:13" x14ac:dyDescent="0.2">
      <c r="H311" s="73"/>
      <c r="M311" s="73"/>
    </row>
    <row r="312" spans="8:13" x14ac:dyDescent="0.2">
      <c r="H312" s="73"/>
      <c r="M312" s="73"/>
    </row>
    <row r="313" spans="8:13" x14ac:dyDescent="0.2">
      <c r="H313" s="73"/>
      <c r="M313" s="73"/>
    </row>
    <row r="314" spans="8:13" x14ac:dyDescent="0.2">
      <c r="H314" s="73"/>
      <c r="M314" s="73"/>
    </row>
    <row r="315" spans="8:13" x14ac:dyDescent="0.2">
      <c r="H315" s="73"/>
      <c r="M315" s="73"/>
    </row>
    <row r="316" spans="8:13" x14ac:dyDescent="0.2">
      <c r="H316" s="73"/>
      <c r="M316" s="73"/>
    </row>
    <row r="317" spans="8:13" x14ac:dyDescent="0.2">
      <c r="H317" s="73"/>
      <c r="M317" s="73"/>
    </row>
    <row r="318" spans="8:13" x14ac:dyDescent="0.2">
      <c r="H318" s="73"/>
      <c r="M318" s="73"/>
    </row>
    <row r="319" spans="8:13" x14ac:dyDescent="0.2">
      <c r="H319" s="73"/>
      <c r="M319" s="73"/>
    </row>
    <row r="320" spans="8:13" x14ac:dyDescent="0.2">
      <c r="H320" s="73"/>
      <c r="M320" s="73"/>
    </row>
    <row r="321" spans="8:13" x14ac:dyDescent="0.2">
      <c r="H321" s="73"/>
      <c r="M321" s="73"/>
    </row>
    <row r="322" spans="8:13" x14ac:dyDescent="0.2">
      <c r="H322" s="73"/>
      <c r="M322" s="73"/>
    </row>
    <row r="323" spans="8:13" x14ac:dyDescent="0.2">
      <c r="H323" s="73"/>
      <c r="M323" s="73"/>
    </row>
    <row r="324" spans="8:13" x14ac:dyDescent="0.2">
      <c r="H324" s="73"/>
      <c r="M324" s="73"/>
    </row>
    <row r="325" spans="8:13" x14ac:dyDescent="0.2">
      <c r="H325" s="73"/>
      <c r="M325" s="73"/>
    </row>
    <row r="326" spans="8:13" x14ac:dyDescent="0.2">
      <c r="H326" s="73"/>
      <c r="M326" s="73"/>
    </row>
    <row r="327" spans="8:13" x14ac:dyDescent="0.2">
      <c r="H327" s="73"/>
      <c r="M327" s="73"/>
    </row>
    <row r="328" spans="8:13" x14ac:dyDescent="0.2">
      <c r="H328" s="73"/>
      <c r="M328" s="73"/>
    </row>
    <row r="329" spans="8:13" x14ac:dyDescent="0.2">
      <c r="H329" s="73"/>
      <c r="M329" s="73"/>
    </row>
    <row r="330" spans="8:13" x14ac:dyDescent="0.2">
      <c r="H330" s="73"/>
      <c r="M330" s="73"/>
    </row>
    <row r="331" spans="8:13" x14ac:dyDescent="0.2">
      <c r="H331" s="73"/>
      <c r="M331" s="73"/>
    </row>
    <row r="332" spans="8:13" x14ac:dyDescent="0.2">
      <c r="H332" s="73"/>
      <c r="M332" s="73"/>
    </row>
    <row r="333" spans="8:13" x14ac:dyDescent="0.2">
      <c r="H333" s="73"/>
      <c r="M333" s="73"/>
    </row>
    <row r="334" spans="8:13" x14ac:dyDescent="0.2">
      <c r="H334" s="73"/>
      <c r="M334" s="73"/>
    </row>
    <row r="335" spans="8:13" x14ac:dyDescent="0.2">
      <c r="H335" s="73"/>
      <c r="M335" s="73"/>
    </row>
    <row r="336" spans="8:13" x14ac:dyDescent="0.2">
      <c r="H336" s="73"/>
      <c r="M336" s="73"/>
    </row>
    <row r="337" spans="8:13" x14ac:dyDescent="0.2">
      <c r="H337" s="73"/>
      <c r="M337" s="73"/>
    </row>
    <row r="338" spans="8:13" x14ac:dyDescent="0.2">
      <c r="H338" s="73"/>
      <c r="M338" s="73"/>
    </row>
    <row r="339" spans="8:13" x14ac:dyDescent="0.2">
      <c r="H339" s="73"/>
      <c r="M339" s="73"/>
    </row>
    <row r="340" spans="8:13" x14ac:dyDescent="0.2">
      <c r="H340" s="73"/>
      <c r="M340" s="73"/>
    </row>
    <row r="341" spans="8:13" x14ac:dyDescent="0.2">
      <c r="H341" s="73"/>
      <c r="M341" s="73"/>
    </row>
    <row r="342" spans="8:13" x14ac:dyDescent="0.2">
      <c r="H342" s="73"/>
      <c r="M342" s="73"/>
    </row>
    <row r="343" spans="8:13" x14ac:dyDescent="0.2">
      <c r="H343" s="73"/>
      <c r="M343" s="73"/>
    </row>
    <row r="344" spans="8:13" x14ac:dyDescent="0.2">
      <c r="H344" s="73"/>
      <c r="M344" s="73"/>
    </row>
    <row r="345" spans="8:13" x14ac:dyDescent="0.2">
      <c r="H345" s="73"/>
      <c r="M345" s="73"/>
    </row>
    <row r="346" spans="8:13" x14ac:dyDescent="0.2">
      <c r="H346" s="73"/>
      <c r="M346" s="73"/>
    </row>
    <row r="347" spans="8:13" x14ac:dyDescent="0.2">
      <c r="H347" s="73"/>
      <c r="M347" s="73"/>
    </row>
    <row r="348" spans="8:13" x14ac:dyDescent="0.2">
      <c r="H348" s="73"/>
      <c r="M348" s="73"/>
    </row>
    <row r="349" spans="8:13" x14ac:dyDescent="0.2">
      <c r="H349" s="73"/>
      <c r="M349" s="73"/>
    </row>
    <row r="350" spans="8:13" x14ac:dyDescent="0.2">
      <c r="H350" s="73"/>
      <c r="M350" s="73"/>
    </row>
    <row r="351" spans="8:13" x14ac:dyDescent="0.2">
      <c r="H351" s="73"/>
      <c r="M351" s="73"/>
    </row>
    <row r="352" spans="8:13" x14ac:dyDescent="0.2">
      <c r="H352" s="73"/>
      <c r="M352" s="73"/>
    </row>
    <row r="353" spans="8:13" x14ac:dyDescent="0.2">
      <c r="H353" s="73"/>
      <c r="M353" s="73"/>
    </row>
    <row r="354" spans="8:13" x14ac:dyDescent="0.2">
      <c r="H354" s="73"/>
      <c r="M354" s="73"/>
    </row>
    <row r="355" spans="8:13" x14ac:dyDescent="0.2">
      <c r="H355" s="73"/>
      <c r="M355" s="73"/>
    </row>
    <row r="356" spans="8:13" x14ac:dyDescent="0.2">
      <c r="H356" s="73"/>
      <c r="M356" s="73"/>
    </row>
    <row r="357" spans="8:13" x14ac:dyDescent="0.2">
      <c r="H357" s="73"/>
      <c r="M357" s="73"/>
    </row>
    <row r="358" spans="8:13" x14ac:dyDescent="0.2">
      <c r="H358" s="73"/>
      <c r="M358" s="73"/>
    </row>
    <row r="359" spans="8:13" x14ac:dyDescent="0.2">
      <c r="H359" s="73"/>
      <c r="M359" s="73"/>
    </row>
    <row r="360" spans="8:13" x14ac:dyDescent="0.2">
      <c r="H360" s="73"/>
      <c r="M360" s="73"/>
    </row>
    <row r="361" spans="8:13" x14ac:dyDescent="0.2">
      <c r="H361" s="73"/>
      <c r="M361" s="73"/>
    </row>
    <row r="362" spans="8:13" x14ac:dyDescent="0.2">
      <c r="H362" s="73"/>
      <c r="M362" s="73"/>
    </row>
    <row r="363" spans="8:13" x14ac:dyDescent="0.2">
      <c r="H363" s="73"/>
      <c r="M363" s="73"/>
    </row>
    <row r="364" spans="8:13" x14ac:dyDescent="0.2">
      <c r="H364" s="73"/>
      <c r="M364" s="73"/>
    </row>
    <row r="365" spans="8:13" x14ac:dyDescent="0.2">
      <c r="H365" s="73"/>
      <c r="M365" s="73"/>
    </row>
    <row r="366" spans="8:13" x14ac:dyDescent="0.2">
      <c r="H366" s="73"/>
      <c r="M366" s="73"/>
    </row>
    <row r="367" spans="8:13" x14ac:dyDescent="0.2">
      <c r="H367" s="73"/>
      <c r="M367" s="73"/>
    </row>
    <row r="368" spans="8:13" x14ac:dyDescent="0.2">
      <c r="H368" s="73"/>
      <c r="M368" s="73"/>
    </row>
    <row r="369" spans="8:13" x14ac:dyDescent="0.2">
      <c r="H369" s="73"/>
      <c r="M369" s="73"/>
    </row>
    <row r="370" spans="8:13" x14ac:dyDescent="0.2">
      <c r="H370" s="73"/>
      <c r="M370" s="73"/>
    </row>
    <row r="371" spans="8:13" x14ac:dyDescent="0.2">
      <c r="H371" s="73"/>
      <c r="M371" s="73"/>
    </row>
    <row r="372" spans="8:13" x14ac:dyDescent="0.2">
      <c r="H372" s="73"/>
      <c r="M372" s="73"/>
    </row>
    <row r="373" spans="8:13" x14ac:dyDescent="0.2">
      <c r="H373" s="73"/>
      <c r="M373" s="73"/>
    </row>
    <row r="374" spans="8:13" x14ac:dyDescent="0.2">
      <c r="H374" s="73"/>
      <c r="M374" s="73"/>
    </row>
    <row r="375" spans="8:13" x14ac:dyDescent="0.2">
      <c r="H375" s="73"/>
      <c r="M375" s="73"/>
    </row>
    <row r="376" spans="8:13" x14ac:dyDescent="0.2">
      <c r="H376" s="73"/>
      <c r="M376" s="73"/>
    </row>
    <row r="377" spans="8:13" x14ac:dyDescent="0.2">
      <c r="H377" s="73"/>
      <c r="M377" s="73"/>
    </row>
    <row r="378" spans="8:13" x14ac:dyDescent="0.2">
      <c r="H378" s="73"/>
      <c r="M378" s="73"/>
    </row>
    <row r="379" spans="8:13" x14ac:dyDescent="0.2">
      <c r="H379" s="73"/>
      <c r="M379" s="73"/>
    </row>
    <row r="380" spans="8:13" x14ac:dyDescent="0.2">
      <c r="H380" s="73"/>
      <c r="M380" s="73"/>
    </row>
    <row r="381" spans="8:13" x14ac:dyDescent="0.2">
      <c r="H381" s="73"/>
      <c r="M381" s="73"/>
    </row>
    <row r="382" spans="8:13" x14ac:dyDescent="0.2">
      <c r="H382" s="73"/>
      <c r="M382" s="73"/>
    </row>
    <row r="383" spans="8:13" x14ac:dyDescent="0.2">
      <c r="H383" s="73"/>
      <c r="M383" s="73"/>
    </row>
    <row r="384" spans="8:13" x14ac:dyDescent="0.2">
      <c r="H384" s="73"/>
      <c r="M384" s="73"/>
    </row>
    <row r="385" spans="8:13" x14ac:dyDescent="0.2">
      <c r="H385" s="73"/>
      <c r="M385" s="73"/>
    </row>
    <row r="386" spans="8:13" x14ac:dyDescent="0.2">
      <c r="H386" s="73"/>
      <c r="M386" s="73"/>
    </row>
    <row r="387" spans="8:13" x14ac:dyDescent="0.2">
      <c r="H387" s="73"/>
      <c r="M387" s="73"/>
    </row>
    <row r="388" spans="8:13" x14ac:dyDescent="0.2">
      <c r="H388" s="73"/>
      <c r="M388" s="73"/>
    </row>
    <row r="389" spans="8:13" x14ac:dyDescent="0.2">
      <c r="H389" s="73"/>
      <c r="M389" s="73"/>
    </row>
    <row r="390" spans="8:13" x14ac:dyDescent="0.2">
      <c r="H390" s="73"/>
      <c r="M390" s="73"/>
    </row>
    <row r="391" spans="8:13" x14ac:dyDescent="0.2">
      <c r="H391" s="73"/>
      <c r="M391" s="73"/>
    </row>
    <row r="392" spans="8:13" x14ac:dyDescent="0.2">
      <c r="H392" s="73"/>
      <c r="M392" s="73"/>
    </row>
    <row r="393" spans="8:13" x14ac:dyDescent="0.2">
      <c r="H393" s="73"/>
      <c r="M393" s="73"/>
    </row>
    <row r="394" spans="8:13" x14ac:dyDescent="0.2">
      <c r="H394" s="73"/>
      <c r="M394" s="73"/>
    </row>
    <row r="395" spans="8:13" x14ac:dyDescent="0.2">
      <c r="H395" s="73"/>
      <c r="M395" s="73"/>
    </row>
    <row r="396" spans="8:13" x14ac:dyDescent="0.2">
      <c r="H396" s="73"/>
      <c r="M396" s="73"/>
    </row>
    <row r="397" spans="8:13" x14ac:dyDescent="0.2">
      <c r="H397" s="73"/>
      <c r="M397" s="73"/>
    </row>
    <row r="398" spans="8:13" x14ac:dyDescent="0.2">
      <c r="H398" s="73"/>
      <c r="M398" s="73"/>
    </row>
    <row r="399" spans="8:13" x14ac:dyDescent="0.2">
      <c r="H399" s="73"/>
      <c r="M399" s="73"/>
    </row>
    <row r="400" spans="8:13" x14ac:dyDescent="0.2">
      <c r="H400" s="73"/>
      <c r="M400" s="73"/>
    </row>
    <row r="401" spans="8:13" x14ac:dyDescent="0.2">
      <c r="H401" s="73"/>
      <c r="M401" s="73"/>
    </row>
    <row r="402" spans="8:13" x14ac:dyDescent="0.2">
      <c r="H402" s="73"/>
      <c r="M402" s="73"/>
    </row>
    <row r="403" spans="8:13" x14ac:dyDescent="0.2">
      <c r="H403" s="73"/>
      <c r="M403" s="73"/>
    </row>
    <row r="404" spans="8:13" x14ac:dyDescent="0.2">
      <c r="H404" s="73"/>
      <c r="M404" s="73"/>
    </row>
    <row r="405" spans="8:13" x14ac:dyDescent="0.2">
      <c r="H405" s="73"/>
      <c r="M405" s="73"/>
    </row>
    <row r="406" spans="8:13" x14ac:dyDescent="0.2">
      <c r="H406" s="73"/>
      <c r="M406" s="73"/>
    </row>
    <row r="407" spans="8:13" x14ac:dyDescent="0.2">
      <c r="H407" s="73"/>
      <c r="M407" s="73"/>
    </row>
    <row r="408" spans="8:13" x14ac:dyDescent="0.2">
      <c r="H408" s="73"/>
      <c r="M408" s="73"/>
    </row>
    <row r="409" spans="8:13" x14ac:dyDescent="0.2">
      <c r="H409" s="73"/>
      <c r="M409" s="73"/>
    </row>
    <row r="410" spans="8:13" x14ac:dyDescent="0.2">
      <c r="H410" s="73"/>
      <c r="M410" s="73"/>
    </row>
    <row r="411" spans="8:13" x14ac:dyDescent="0.2">
      <c r="H411" s="73"/>
      <c r="M411" s="73"/>
    </row>
    <row r="412" spans="8:13" x14ac:dyDescent="0.2">
      <c r="H412" s="73"/>
      <c r="M412" s="73"/>
    </row>
    <row r="413" spans="8:13" x14ac:dyDescent="0.2">
      <c r="H413" s="73"/>
      <c r="M413" s="73"/>
    </row>
    <row r="414" spans="8:13" x14ac:dyDescent="0.2">
      <c r="H414" s="73"/>
      <c r="M414" s="73"/>
    </row>
    <row r="415" spans="8:13" x14ac:dyDescent="0.2">
      <c r="H415" s="73"/>
      <c r="M415" s="73"/>
    </row>
    <row r="416" spans="8:13" x14ac:dyDescent="0.2">
      <c r="H416" s="73"/>
      <c r="M416" s="73"/>
    </row>
    <row r="417" spans="8:13" x14ac:dyDescent="0.2">
      <c r="H417" s="73"/>
      <c r="M417" s="73"/>
    </row>
    <row r="418" spans="8:13" x14ac:dyDescent="0.2">
      <c r="H418" s="73"/>
      <c r="M418" s="73"/>
    </row>
    <row r="419" spans="8:13" x14ac:dyDescent="0.2">
      <c r="H419" s="73"/>
      <c r="M419" s="73"/>
    </row>
    <row r="420" spans="8:13" x14ac:dyDescent="0.2">
      <c r="H420" s="73"/>
      <c r="M420" s="73"/>
    </row>
    <row r="421" spans="8:13" x14ac:dyDescent="0.2">
      <c r="H421" s="73"/>
      <c r="M421" s="73"/>
    </row>
    <row r="422" spans="8:13" x14ac:dyDescent="0.2">
      <c r="H422" s="73"/>
      <c r="M422" s="73"/>
    </row>
    <row r="423" spans="8:13" x14ac:dyDescent="0.2">
      <c r="H423" s="73"/>
      <c r="M423" s="73"/>
    </row>
    <row r="424" spans="8:13" x14ac:dyDescent="0.2">
      <c r="H424" s="73"/>
      <c r="M424" s="73"/>
    </row>
    <row r="425" spans="8:13" x14ac:dyDescent="0.2">
      <c r="H425" s="73"/>
      <c r="M425" s="73"/>
    </row>
    <row r="426" spans="8:13" x14ac:dyDescent="0.2">
      <c r="H426" s="73"/>
      <c r="M426" s="73"/>
    </row>
    <row r="427" spans="8:13" x14ac:dyDescent="0.2">
      <c r="H427" s="73"/>
      <c r="M427" s="73"/>
    </row>
    <row r="428" spans="8:13" x14ac:dyDescent="0.2">
      <c r="H428" s="73"/>
      <c r="M428" s="73"/>
    </row>
    <row r="429" spans="8:13" x14ac:dyDescent="0.2">
      <c r="H429" s="73"/>
      <c r="M429" s="73"/>
    </row>
    <row r="430" spans="8:13" x14ac:dyDescent="0.2">
      <c r="H430" s="73"/>
      <c r="M430" s="73"/>
    </row>
    <row r="431" spans="8:13" x14ac:dyDescent="0.2">
      <c r="H431" s="73"/>
      <c r="M431" s="73"/>
    </row>
    <row r="432" spans="8:13" x14ac:dyDescent="0.2">
      <c r="H432" s="73"/>
      <c r="M432" s="73"/>
    </row>
    <row r="433" spans="8:13" x14ac:dyDescent="0.2">
      <c r="H433" s="73"/>
      <c r="M433" s="73"/>
    </row>
    <row r="434" spans="8:13" x14ac:dyDescent="0.2">
      <c r="H434" s="73"/>
      <c r="M434" s="73"/>
    </row>
    <row r="435" spans="8:13" x14ac:dyDescent="0.2">
      <c r="H435" s="73"/>
      <c r="M435" s="73"/>
    </row>
    <row r="436" spans="8:13" x14ac:dyDescent="0.2">
      <c r="H436" s="73"/>
      <c r="M436" s="73"/>
    </row>
    <row r="437" spans="8:13" x14ac:dyDescent="0.2">
      <c r="H437" s="73"/>
      <c r="M437" s="73"/>
    </row>
    <row r="438" spans="8:13" x14ac:dyDescent="0.2">
      <c r="H438" s="73"/>
      <c r="M438" s="73"/>
    </row>
    <row r="439" spans="8:13" x14ac:dyDescent="0.2">
      <c r="H439" s="73"/>
      <c r="M439" s="73"/>
    </row>
    <row r="440" spans="8:13" x14ac:dyDescent="0.2">
      <c r="H440" s="73"/>
      <c r="M440" s="73"/>
    </row>
    <row r="441" spans="8:13" x14ac:dyDescent="0.2">
      <c r="H441" s="73"/>
      <c r="M441" s="73"/>
    </row>
    <row r="442" spans="8:13" x14ac:dyDescent="0.2">
      <c r="H442" s="73"/>
      <c r="M442" s="73"/>
    </row>
    <row r="443" spans="8:13" x14ac:dyDescent="0.2">
      <c r="H443" s="73"/>
      <c r="M443" s="73"/>
    </row>
    <row r="444" spans="8:13" x14ac:dyDescent="0.2">
      <c r="H444" s="73"/>
      <c r="M444" s="73"/>
    </row>
    <row r="445" spans="8:13" x14ac:dyDescent="0.2">
      <c r="H445" s="73"/>
      <c r="M445" s="73"/>
    </row>
    <row r="446" spans="8:13" x14ac:dyDescent="0.2">
      <c r="H446" s="73"/>
      <c r="M446" s="73"/>
    </row>
    <row r="447" spans="8:13" x14ac:dyDescent="0.2">
      <c r="H447" s="73"/>
      <c r="M447" s="73"/>
    </row>
    <row r="448" spans="8:13" x14ac:dyDescent="0.2">
      <c r="H448" s="73"/>
      <c r="M448" s="73"/>
    </row>
    <row r="449" spans="8:13" x14ac:dyDescent="0.2">
      <c r="H449" s="73"/>
      <c r="M449" s="73"/>
    </row>
    <row r="450" spans="8:13" x14ac:dyDescent="0.2">
      <c r="H450" s="73"/>
      <c r="M450" s="73"/>
    </row>
    <row r="451" spans="8:13" x14ac:dyDescent="0.2">
      <c r="H451" s="73"/>
      <c r="M451" s="73"/>
    </row>
    <row r="452" spans="8:13" x14ac:dyDescent="0.2">
      <c r="H452" s="73"/>
      <c r="M452" s="73"/>
    </row>
    <row r="453" spans="8:13" x14ac:dyDescent="0.2">
      <c r="H453" s="73"/>
      <c r="M453" s="73"/>
    </row>
    <row r="454" spans="8:13" x14ac:dyDescent="0.2">
      <c r="H454" s="73"/>
      <c r="M454" s="73"/>
    </row>
    <row r="455" spans="8:13" x14ac:dyDescent="0.2">
      <c r="H455" s="73"/>
      <c r="M455" s="73"/>
    </row>
    <row r="456" spans="8:13" x14ac:dyDescent="0.2">
      <c r="H456" s="73"/>
      <c r="M456" s="73"/>
    </row>
    <row r="457" spans="8:13" x14ac:dyDescent="0.2">
      <c r="H457" s="73"/>
      <c r="M457" s="73"/>
    </row>
    <row r="458" spans="8:13" x14ac:dyDescent="0.2">
      <c r="H458" s="73"/>
      <c r="M458" s="73"/>
    </row>
    <row r="459" spans="8:13" x14ac:dyDescent="0.2">
      <c r="H459" s="73"/>
      <c r="M459" s="73"/>
    </row>
    <row r="460" spans="8:13" x14ac:dyDescent="0.2">
      <c r="H460" s="73"/>
      <c r="M460" s="73"/>
    </row>
    <row r="461" spans="8:13" x14ac:dyDescent="0.2">
      <c r="H461" s="73"/>
      <c r="M461" s="73"/>
    </row>
    <row r="462" spans="8:13" x14ac:dyDescent="0.2">
      <c r="H462" s="73"/>
      <c r="M462" s="73"/>
    </row>
    <row r="463" spans="8:13" x14ac:dyDescent="0.2">
      <c r="H463" s="73"/>
      <c r="M463" s="73"/>
    </row>
    <row r="464" spans="8:13" x14ac:dyDescent="0.2">
      <c r="H464" s="73"/>
      <c r="M464" s="73"/>
    </row>
    <row r="465" spans="8:13" x14ac:dyDescent="0.2">
      <c r="H465" s="73"/>
      <c r="M465" s="73"/>
    </row>
    <row r="466" spans="8:13" x14ac:dyDescent="0.2">
      <c r="H466" s="73"/>
      <c r="M466" s="73"/>
    </row>
    <row r="467" spans="8:13" x14ac:dyDescent="0.2">
      <c r="H467" s="73"/>
      <c r="M467" s="73"/>
    </row>
    <row r="468" spans="8:13" x14ac:dyDescent="0.2">
      <c r="H468" s="73"/>
      <c r="M468" s="73"/>
    </row>
    <row r="469" spans="8:13" x14ac:dyDescent="0.2">
      <c r="H469" s="73"/>
      <c r="M469" s="73"/>
    </row>
    <row r="470" spans="8:13" x14ac:dyDescent="0.2">
      <c r="H470" s="73"/>
      <c r="M470" s="73"/>
    </row>
    <row r="471" spans="8:13" x14ac:dyDescent="0.2">
      <c r="H471" s="73"/>
      <c r="M471" s="73"/>
    </row>
    <row r="472" spans="8:13" x14ac:dyDescent="0.2">
      <c r="H472" s="73"/>
      <c r="M472" s="73"/>
    </row>
    <row r="473" spans="8:13" x14ac:dyDescent="0.2">
      <c r="H473" s="73"/>
      <c r="M473" s="73"/>
    </row>
    <row r="474" spans="8:13" x14ac:dyDescent="0.2">
      <c r="H474" s="73"/>
      <c r="M474" s="73"/>
    </row>
    <row r="475" spans="8:13" x14ac:dyDescent="0.2">
      <c r="H475" s="73"/>
      <c r="M475" s="73"/>
    </row>
    <row r="476" spans="8:13" x14ac:dyDescent="0.2">
      <c r="H476" s="73"/>
      <c r="M476" s="73"/>
    </row>
    <row r="477" spans="8:13" x14ac:dyDescent="0.2">
      <c r="H477" s="73"/>
      <c r="M477" s="73"/>
    </row>
    <row r="478" spans="8:13" x14ac:dyDescent="0.2">
      <c r="H478" s="73"/>
      <c r="M478" s="73"/>
    </row>
    <row r="479" spans="8:13" x14ac:dyDescent="0.2">
      <c r="H479" s="73"/>
      <c r="M479" s="73"/>
    </row>
    <row r="480" spans="8:13" x14ac:dyDescent="0.2">
      <c r="H480" s="73"/>
      <c r="M480" s="73"/>
    </row>
    <row r="481" spans="8:13" x14ac:dyDescent="0.2">
      <c r="H481" s="73"/>
      <c r="M481" s="73"/>
    </row>
    <row r="482" spans="8:13" x14ac:dyDescent="0.2">
      <c r="H482" s="73"/>
      <c r="M482" s="73"/>
    </row>
    <row r="483" spans="8:13" x14ac:dyDescent="0.2">
      <c r="H483" s="73"/>
      <c r="M483" s="73"/>
    </row>
    <row r="484" spans="8:13" x14ac:dyDescent="0.2">
      <c r="H484" s="73"/>
      <c r="M484" s="73"/>
    </row>
    <row r="485" spans="8:13" x14ac:dyDescent="0.2">
      <c r="H485" s="73"/>
      <c r="M485" s="73"/>
    </row>
    <row r="486" spans="8:13" x14ac:dyDescent="0.2">
      <c r="H486" s="73"/>
      <c r="M486" s="73"/>
    </row>
    <row r="487" spans="8:13" x14ac:dyDescent="0.2">
      <c r="H487" s="73"/>
      <c r="M487" s="73"/>
    </row>
    <row r="488" spans="8:13" x14ac:dyDescent="0.2">
      <c r="H488" s="73"/>
      <c r="M488" s="73"/>
    </row>
    <row r="489" spans="8:13" x14ac:dyDescent="0.2">
      <c r="H489" s="73"/>
      <c r="M489" s="73"/>
    </row>
    <row r="490" spans="8:13" x14ac:dyDescent="0.2">
      <c r="H490" s="73"/>
      <c r="M490" s="73"/>
    </row>
    <row r="491" spans="8:13" x14ac:dyDescent="0.2">
      <c r="H491" s="73"/>
      <c r="M491" s="73"/>
    </row>
    <row r="492" spans="8:13" x14ac:dyDescent="0.2">
      <c r="H492" s="73"/>
      <c r="M492" s="73"/>
    </row>
    <row r="493" spans="8:13" x14ac:dyDescent="0.2">
      <c r="H493" s="73"/>
      <c r="M493" s="73"/>
    </row>
    <row r="494" spans="8:13" x14ac:dyDescent="0.2">
      <c r="H494" s="73"/>
      <c r="M494" s="73"/>
    </row>
    <row r="495" spans="8:13" x14ac:dyDescent="0.2">
      <c r="H495" s="73"/>
      <c r="M495" s="73"/>
    </row>
    <row r="496" spans="8:13" x14ac:dyDescent="0.2">
      <c r="H496" s="73"/>
      <c r="M496" s="73"/>
    </row>
    <row r="497" spans="8:13" x14ac:dyDescent="0.2">
      <c r="H497" s="73"/>
      <c r="M497" s="73"/>
    </row>
    <row r="498" spans="8:13" x14ac:dyDescent="0.2">
      <c r="H498" s="73"/>
      <c r="M498" s="73"/>
    </row>
    <row r="499" spans="8:13" x14ac:dyDescent="0.2">
      <c r="H499" s="73"/>
      <c r="M499" s="73"/>
    </row>
    <row r="500" spans="8:13" x14ac:dyDescent="0.2">
      <c r="H500" s="73"/>
      <c r="M500" s="73"/>
    </row>
    <row r="501" spans="8:13" x14ac:dyDescent="0.2">
      <c r="H501" s="73"/>
      <c r="M501" s="73"/>
    </row>
    <row r="502" spans="8:13" x14ac:dyDescent="0.2">
      <c r="H502" s="73"/>
      <c r="M502" s="73"/>
    </row>
    <row r="503" spans="8:13" x14ac:dyDescent="0.2">
      <c r="H503" s="73"/>
      <c r="M503" s="73"/>
    </row>
    <row r="504" spans="8:13" x14ac:dyDescent="0.2">
      <c r="H504" s="73"/>
      <c r="M504" s="73"/>
    </row>
    <row r="505" spans="8:13" x14ac:dyDescent="0.2">
      <c r="H505" s="73"/>
      <c r="M505" s="73"/>
    </row>
    <row r="506" spans="8:13" x14ac:dyDescent="0.2">
      <c r="H506" s="73"/>
      <c r="M506" s="73"/>
    </row>
    <row r="507" spans="8:13" x14ac:dyDescent="0.2">
      <c r="H507" s="73"/>
      <c r="M507" s="73"/>
    </row>
    <row r="508" spans="8:13" x14ac:dyDescent="0.2">
      <c r="H508" s="73"/>
      <c r="M508" s="73"/>
    </row>
    <row r="509" spans="8:13" x14ac:dyDescent="0.2">
      <c r="H509" s="73"/>
      <c r="M509" s="73"/>
    </row>
    <row r="510" spans="8:13" x14ac:dyDescent="0.2">
      <c r="H510" s="73"/>
      <c r="M510" s="73"/>
    </row>
    <row r="511" spans="8:13" x14ac:dyDescent="0.2">
      <c r="H511" s="73"/>
      <c r="M511" s="73"/>
    </row>
    <row r="512" spans="8:13" x14ac:dyDescent="0.2">
      <c r="H512" s="73"/>
      <c r="M512" s="73"/>
    </row>
    <row r="513" spans="8:13" x14ac:dyDescent="0.2">
      <c r="H513" s="73"/>
      <c r="M513" s="73"/>
    </row>
    <row r="514" spans="8:13" x14ac:dyDescent="0.2">
      <c r="H514" s="73"/>
      <c r="M514" s="73"/>
    </row>
    <row r="515" spans="8:13" x14ac:dyDescent="0.2">
      <c r="H515" s="73"/>
      <c r="M515" s="73"/>
    </row>
    <row r="516" spans="8:13" x14ac:dyDescent="0.2">
      <c r="H516" s="73"/>
      <c r="M516" s="73"/>
    </row>
    <row r="517" spans="8:13" x14ac:dyDescent="0.2">
      <c r="H517" s="73"/>
      <c r="M517" s="73"/>
    </row>
    <row r="518" spans="8:13" x14ac:dyDescent="0.2">
      <c r="H518" s="73"/>
      <c r="M518" s="73"/>
    </row>
    <row r="519" spans="8:13" x14ac:dyDescent="0.2">
      <c r="H519" s="73"/>
      <c r="M519" s="73"/>
    </row>
    <row r="520" spans="8:13" x14ac:dyDescent="0.2">
      <c r="H520" s="73"/>
      <c r="M520" s="73"/>
    </row>
    <row r="521" spans="8:13" x14ac:dyDescent="0.2">
      <c r="H521" s="73"/>
      <c r="M521" s="73"/>
    </row>
    <row r="522" spans="8:13" x14ac:dyDescent="0.2">
      <c r="H522" s="73"/>
      <c r="M522" s="73"/>
    </row>
    <row r="523" spans="8:13" x14ac:dyDescent="0.2">
      <c r="H523" s="73"/>
      <c r="M523" s="73"/>
    </row>
    <row r="524" spans="8:13" x14ac:dyDescent="0.2">
      <c r="H524" s="73"/>
      <c r="M524" s="73"/>
    </row>
    <row r="525" spans="8:13" x14ac:dyDescent="0.2">
      <c r="H525" s="73"/>
      <c r="M525" s="73"/>
    </row>
    <row r="526" spans="8:13" x14ac:dyDescent="0.2">
      <c r="H526" s="73"/>
      <c r="M526" s="73"/>
    </row>
    <row r="527" spans="8:13" x14ac:dyDescent="0.2">
      <c r="H527" s="73"/>
      <c r="M527" s="73"/>
    </row>
    <row r="528" spans="8:13" x14ac:dyDescent="0.2">
      <c r="H528" s="73"/>
      <c r="M528" s="73"/>
    </row>
    <row r="529" spans="8:13" x14ac:dyDescent="0.2">
      <c r="H529" s="73"/>
      <c r="M529" s="73"/>
    </row>
    <row r="530" spans="8:13" x14ac:dyDescent="0.2">
      <c r="H530" s="73"/>
      <c r="M530" s="73"/>
    </row>
    <row r="531" spans="8:13" x14ac:dyDescent="0.2">
      <c r="H531" s="73"/>
      <c r="M531" s="73"/>
    </row>
    <row r="532" spans="8:13" x14ac:dyDescent="0.2">
      <c r="H532" s="73"/>
      <c r="M532" s="73"/>
    </row>
    <row r="533" spans="8:13" x14ac:dyDescent="0.2">
      <c r="H533" s="73"/>
      <c r="M533" s="73"/>
    </row>
    <row r="534" spans="8:13" x14ac:dyDescent="0.2">
      <c r="H534" s="73"/>
      <c r="M534" s="73"/>
    </row>
    <row r="535" spans="8:13" x14ac:dyDescent="0.2">
      <c r="H535" s="73"/>
      <c r="M535" s="73"/>
    </row>
    <row r="536" spans="8:13" x14ac:dyDescent="0.2">
      <c r="H536" s="73"/>
      <c r="M536" s="73"/>
    </row>
    <row r="537" spans="8:13" x14ac:dyDescent="0.2">
      <c r="H537" s="73"/>
      <c r="M537" s="73"/>
    </row>
    <row r="538" spans="8:13" x14ac:dyDescent="0.2">
      <c r="H538" s="73"/>
      <c r="M538" s="73"/>
    </row>
    <row r="539" spans="8:13" x14ac:dyDescent="0.2">
      <c r="H539" s="73"/>
      <c r="M539" s="73"/>
    </row>
    <row r="540" spans="8:13" x14ac:dyDescent="0.2">
      <c r="H540" s="73"/>
      <c r="M540" s="73"/>
    </row>
    <row r="541" spans="8:13" x14ac:dyDescent="0.2">
      <c r="H541" s="73"/>
      <c r="M541" s="73"/>
    </row>
    <row r="542" spans="8:13" x14ac:dyDescent="0.2">
      <c r="H542" s="73"/>
      <c r="M542" s="73"/>
    </row>
    <row r="543" spans="8:13" x14ac:dyDescent="0.2">
      <c r="H543" s="73"/>
      <c r="M543" s="73"/>
    </row>
    <row r="544" spans="8:13" x14ac:dyDescent="0.2">
      <c r="H544" s="73"/>
      <c r="M544" s="73"/>
    </row>
    <row r="545" spans="8:13" x14ac:dyDescent="0.2">
      <c r="H545" s="73"/>
      <c r="M545" s="73"/>
    </row>
    <row r="546" spans="8:13" x14ac:dyDescent="0.2">
      <c r="H546" s="73"/>
      <c r="M546" s="73"/>
    </row>
    <row r="547" spans="8:13" x14ac:dyDescent="0.2">
      <c r="H547" s="73"/>
      <c r="M547" s="73"/>
    </row>
    <row r="548" spans="8:13" x14ac:dyDescent="0.2">
      <c r="H548" s="73"/>
      <c r="M548" s="73"/>
    </row>
    <row r="549" spans="8:13" x14ac:dyDescent="0.2">
      <c r="H549" s="73"/>
      <c r="M549" s="73"/>
    </row>
    <row r="550" spans="8:13" x14ac:dyDescent="0.2">
      <c r="H550" s="73"/>
      <c r="M550" s="73"/>
    </row>
    <row r="551" spans="8:13" x14ac:dyDescent="0.2">
      <c r="H551" s="73"/>
      <c r="M551" s="73"/>
    </row>
    <row r="552" spans="8:13" x14ac:dyDescent="0.2">
      <c r="H552" s="73"/>
      <c r="M552" s="73"/>
    </row>
    <row r="553" spans="8:13" x14ac:dyDescent="0.2">
      <c r="H553" s="73"/>
      <c r="M553" s="73"/>
    </row>
    <row r="554" spans="8:13" x14ac:dyDescent="0.2">
      <c r="H554" s="73"/>
      <c r="M554" s="73"/>
    </row>
    <row r="555" spans="8:13" x14ac:dyDescent="0.2">
      <c r="H555" s="73"/>
      <c r="M555" s="73"/>
    </row>
    <row r="556" spans="8:13" x14ac:dyDescent="0.2">
      <c r="H556" s="73"/>
      <c r="M556" s="73"/>
    </row>
    <row r="557" spans="8:13" x14ac:dyDescent="0.2">
      <c r="H557" s="73"/>
      <c r="M557" s="73"/>
    </row>
    <row r="558" spans="8:13" x14ac:dyDescent="0.2">
      <c r="H558" s="73"/>
      <c r="M558" s="73"/>
    </row>
    <row r="559" spans="8:13" x14ac:dyDescent="0.2">
      <c r="H559" s="73"/>
      <c r="M559" s="73"/>
    </row>
    <row r="560" spans="8:13" x14ac:dyDescent="0.2">
      <c r="H560" s="73"/>
      <c r="M560" s="73"/>
    </row>
    <row r="561" spans="8:13" x14ac:dyDescent="0.2">
      <c r="H561" s="73"/>
      <c r="M561" s="73"/>
    </row>
    <row r="562" spans="8:13" x14ac:dyDescent="0.2">
      <c r="H562" s="73"/>
      <c r="M562" s="73"/>
    </row>
    <row r="563" spans="8:13" x14ac:dyDescent="0.2">
      <c r="H563" s="73"/>
      <c r="M563" s="73"/>
    </row>
    <row r="564" spans="8:13" x14ac:dyDescent="0.2">
      <c r="H564" s="73"/>
      <c r="M564" s="73"/>
    </row>
    <row r="565" spans="8:13" x14ac:dyDescent="0.2">
      <c r="H565" s="73"/>
      <c r="M565" s="73"/>
    </row>
    <row r="566" spans="8:13" x14ac:dyDescent="0.2">
      <c r="H566" s="73"/>
      <c r="M566" s="73"/>
    </row>
    <row r="567" spans="8:13" x14ac:dyDescent="0.2">
      <c r="H567" s="73"/>
      <c r="M567" s="73"/>
    </row>
    <row r="568" spans="8:13" x14ac:dyDescent="0.2">
      <c r="H568" s="73"/>
      <c r="M568" s="73"/>
    </row>
    <row r="569" spans="8:13" x14ac:dyDescent="0.2">
      <c r="H569" s="73"/>
      <c r="M569" s="73"/>
    </row>
    <row r="570" spans="8:13" x14ac:dyDescent="0.2">
      <c r="H570" s="73"/>
      <c r="M570" s="73"/>
    </row>
    <row r="571" spans="8:13" x14ac:dyDescent="0.2">
      <c r="H571" s="73"/>
      <c r="M571" s="73"/>
    </row>
    <row r="572" spans="8:13" x14ac:dyDescent="0.2">
      <c r="H572" s="73"/>
      <c r="M572" s="73"/>
    </row>
    <row r="573" spans="8:13" x14ac:dyDescent="0.2">
      <c r="H573" s="73"/>
      <c r="M573" s="73"/>
    </row>
    <row r="574" spans="8:13" x14ac:dyDescent="0.2">
      <c r="H574" s="73"/>
      <c r="M574" s="73"/>
    </row>
    <row r="575" spans="8:13" x14ac:dyDescent="0.2">
      <c r="H575" s="73"/>
      <c r="M575" s="73"/>
    </row>
    <row r="576" spans="8:13" x14ac:dyDescent="0.2">
      <c r="H576" s="73"/>
      <c r="M576" s="73"/>
    </row>
    <row r="577" spans="8:13" x14ac:dyDescent="0.2">
      <c r="H577" s="73"/>
      <c r="M577" s="73"/>
    </row>
    <row r="578" spans="8:13" x14ac:dyDescent="0.2">
      <c r="H578" s="73"/>
      <c r="M578" s="73"/>
    </row>
    <row r="579" spans="8:13" x14ac:dyDescent="0.2">
      <c r="H579" s="73"/>
      <c r="M579" s="73"/>
    </row>
    <row r="580" spans="8:13" x14ac:dyDescent="0.2">
      <c r="H580" s="73"/>
      <c r="M580" s="73"/>
    </row>
    <row r="581" spans="8:13" x14ac:dyDescent="0.2">
      <c r="H581" s="73"/>
      <c r="M581" s="73"/>
    </row>
    <row r="582" spans="8:13" x14ac:dyDescent="0.2">
      <c r="H582" s="73"/>
      <c r="M582" s="73"/>
    </row>
    <row r="583" spans="8:13" x14ac:dyDescent="0.2">
      <c r="H583" s="73"/>
      <c r="M583" s="73"/>
    </row>
    <row r="584" spans="8:13" x14ac:dyDescent="0.2">
      <c r="H584" s="73"/>
      <c r="M584" s="73"/>
    </row>
    <row r="585" spans="8:13" x14ac:dyDescent="0.2">
      <c r="H585" s="73"/>
      <c r="M585" s="73"/>
    </row>
    <row r="586" spans="8:13" x14ac:dyDescent="0.2">
      <c r="H586" s="73"/>
      <c r="M586" s="73"/>
    </row>
    <row r="587" spans="8:13" x14ac:dyDescent="0.2">
      <c r="H587" s="73"/>
      <c r="M587" s="73"/>
    </row>
    <row r="588" spans="8:13" x14ac:dyDescent="0.2">
      <c r="H588" s="73"/>
      <c r="M588" s="73"/>
    </row>
    <row r="589" spans="8:13" x14ac:dyDescent="0.2">
      <c r="H589" s="73"/>
      <c r="M589" s="73"/>
    </row>
    <row r="590" spans="8:13" x14ac:dyDescent="0.2">
      <c r="H590" s="73"/>
      <c r="M590" s="73"/>
    </row>
    <row r="591" spans="8:13" x14ac:dyDescent="0.2">
      <c r="H591" s="73"/>
      <c r="M591" s="73"/>
    </row>
    <row r="592" spans="8:13" x14ac:dyDescent="0.2">
      <c r="H592" s="73"/>
      <c r="M592" s="73"/>
    </row>
    <row r="593" spans="8:13" x14ac:dyDescent="0.2">
      <c r="H593" s="73"/>
      <c r="M593" s="73"/>
    </row>
    <row r="594" spans="8:13" x14ac:dyDescent="0.2">
      <c r="H594" s="73"/>
      <c r="M594" s="73"/>
    </row>
    <row r="595" spans="8:13" x14ac:dyDescent="0.2">
      <c r="H595" s="73"/>
      <c r="M595" s="73"/>
    </row>
    <row r="596" spans="8:13" x14ac:dyDescent="0.2">
      <c r="H596" s="73"/>
      <c r="M596" s="73"/>
    </row>
    <row r="597" spans="8:13" x14ac:dyDescent="0.2">
      <c r="H597" s="73"/>
      <c r="M597" s="73"/>
    </row>
    <row r="598" spans="8:13" x14ac:dyDescent="0.2">
      <c r="H598" s="73"/>
      <c r="M598" s="73"/>
    </row>
    <row r="599" spans="8:13" x14ac:dyDescent="0.2">
      <c r="H599" s="73"/>
      <c r="M599" s="73"/>
    </row>
    <row r="600" spans="8:13" x14ac:dyDescent="0.2">
      <c r="H600" s="73"/>
      <c r="M600" s="73"/>
    </row>
    <row r="601" spans="8:13" x14ac:dyDescent="0.2">
      <c r="H601" s="73"/>
      <c r="M601" s="73"/>
    </row>
    <row r="602" spans="8:13" x14ac:dyDescent="0.2">
      <c r="H602" s="73"/>
      <c r="M602" s="73"/>
    </row>
    <row r="603" spans="8:13" x14ac:dyDescent="0.2">
      <c r="H603" s="73"/>
      <c r="M603" s="73"/>
    </row>
    <row r="604" spans="8:13" x14ac:dyDescent="0.2">
      <c r="H604" s="73"/>
      <c r="M604" s="73"/>
    </row>
    <row r="605" spans="8:13" x14ac:dyDescent="0.2">
      <c r="H605" s="73"/>
      <c r="M605" s="73"/>
    </row>
    <row r="606" spans="8:13" x14ac:dyDescent="0.2">
      <c r="H606" s="73"/>
      <c r="M606" s="73"/>
    </row>
    <row r="607" spans="8:13" x14ac:dyDescent="0.2">
      <c r="H607" s="73"/>
      <c r="M607" s="73"/>
    </row>
    <row r="608" spans="8:13" x14ac:dyDescent="0.2">
      <c r="H608" s="73"/>
      <c r="M608" s="73"/>
    </row>
    <row r="609" spans="8:13" x14ac:dyDescent="0.2">
      <c r="H609" s="73"/>
      <c r="M609" s="73"/>
    </row>
    <row r="610" spans="8:13" x14ac:dyDescent="0.2">
      <c r="H610" s="73"/>
      <c r="M610" s="73"/>
    </row>
    <row r="611" spans="8:13" x14ac:dyDescent="0.2">
      <c r="H611" s="73"/>
      <c r="M611" s="73"/>
    </row>
    <row r="612" spans="8:13" x14ac:dyDescent="0.2">
      <c r="H612" s="73"/>
      <c r="M612" s="73"/>
    </row>
    <row r="613" spans="8:13" x14ac:dyDescent="0.2">
      <c r="H613" s="73"/>
      <c r="M613" s="73"/>
    </row>
    <row r="614" spans="8:13" x14ac:dyDescent="0.2">
      <c r="H614" s="73"/>
      <c r="M614" s="73"/>
    </row>
    <row r="615" spans="8:13" x14ac:dyDescent="0.2">
      <c r="H615" s="73"/>
      <c r="M615" s="73"/>
    </row>
    <row r="616" spans="8:13" x14ac:dyDescent="0.2">
      <c r="H616" s="73"/>
      <c r="M616" s="73"/>
    </row>
    <row r="617" spans="8:13" x14ac:dyDescent="0.2">
      <c r="H617" s="73"/>
      <c r="M617" s="73"/>
    </row>
    <row r="618" spans="8:13" x14ac:dyDescent="0.2">
      <c r="H618" s="73"/>
      <c r="M618" s="73"/>
    </row>
    <row r="619" spans="8:13" x14ac:dyDescent="0.2">
      <c r="H619" s="73"/>
      <c r="M619" s="73"/>
    </row>
    <row r="620" spans="8:13" x14ac:dyDescent="0.2">
      <c r="H620" s="73"/>
      <c r="M620" s="73"/>
    </row>
    <row r="621" spans="8:13" x14ac:dyDescent="0.2">
      <c r="H621" s="73"/>
      <c r="M621" s="73"/>
    </row>
    <row r="622" spans="8:13" x14ac:dyDescent="0.2">
      <c r="H622" s="73"/>
      <c r="M622" s="73"/>
    </row>
    <row r="623" spans="8:13" x14ac:dyDescent="0.2">
      <c r="H623" s="73"/>
      <c r="M623" s="73"/>
    </row>
    <row r="624" spans="8:13" x14ac:dyDescent="0.2">
      <c r="H624" s="73"/>
      <c r="M624" s="73"/>
    </row>
    <row r="625" spans="8:13" x14ac:dyDescent="0.2">
      <c r="H625" s="73"/>
      <c r="M625" s="73"/>
    </row>
    <row r="626" spans="8:13" x14ac:dyDescent="0.2">
      <c r="H626" s="73"/>
      <c r="M626" s="73"/>
    </row>
    <row r="627" spans="8:13" x14ac:dyDescent="0.2">
      <c r="H627" s="73"/>
      <c r="M627" s="73"/>
    </row>
    <row r="628" spans="8:13" x14ac:dyDescent="0.2">
      <c r="H628" s="73"/>
      <c r="M628" s="73"/>
    </row>
    <row r="629" spans="8:13" x14ac:dyDescent="0.2">
      <c r="H629" s="73"/>
      <c r="M629" s="73"/>
    </row>
    <row r="630" spans="8:13" x14ac:dyDescent="0.2">
      <c r="H630" s="73"/>
      <c r="M630" s="73"/>
    </row>
    <row r="631" spans="8:13" x14ac:dyDescent="0.2">
      <c r="H631" s="73"/>
      <c r="M631" s="73"/>
    </row>
    <row r="632" spans="8:13" x14ac:dyDescent="0.2">
      <c r="H632" s="73"/>
      <c r="M632" s="73"/>
    </row>
    <row r="633" spans="8:13" x14ac:dyDescent="0.2">
      <c r="H633" s="73"/>
      <c r="M633" s="73"/>
    </row>
    <row r="634" spans="8:13" x14ac:dyDescent="0.2">
      <c r="H634" s="73"/>
      <c r="M634" s="73"/>
    </row>
    <row r="635" spans="8:13" x14ac:dyDescent="0.2">
      <c r="H635" s="73"/>
      <c r="M635" s="73"/>
    </row>
    <row r="636" spans="8:13" x14ac:dyDescent="0.2">
      <c r="H636" s="73"/>
      <c r="M636" s="73"/>
    </row>
    <row r="637" spans="8:13" x14ac:dyDescent="0.2">
      <c r="H637" s="73"/>
      <c r="M637" s="73"/>
    </row>
    <row r="638" spans="8:13" x14ac:dyDescent="0.2">
      <c r="H638" s="73"/>
      <c r="M638" s="73"/>
    </row>
    <row r="639" spans="8:13" x14ac:dyDescent="0.2">
      <c r="H639" s="73"/>
      <c r="M639" s="73"/>
    </row>
    <row r="640" spans="8:13" x14ac:dyDescent="0.2">
      <c r="H640" s="73"/>
      <c r="M640" s="73"/>
    </row>
    <row r="641" spans="8:13" x14ac:dyDescent="0.2">
      <c r="H641" s="73"/>
      <c r="M641" s="73"/>
    </row>
    <row r="642" spans="8:13" x14ac:dyDescent="0.2">
      <c r="H642" s="73"/>
      <c r="M642" s="73"/>
    </row>
    <row r="643" spans="8:13" x14ac:dyDescent="0.2">
      <c r="H643" s="73"/>
      <c r="M643" s="73"/>
    </row>
    <row r="644" spans="8:13" x14ac:dyDescent="0.2">
      <c r="H644" s="73"/>
      <c r="M644" s="73"/>
    </row>
    <row r="645" spans="8:13" x14ac:dyDescent="0.2">
      <c r="H645" s="73"/>
      <c r="M645" s="73"/>
    </row>
    <row r="646" spans="8:13" x14ac:dyDescent="0.2">
      <c r="H646" s="73"/>
      <c r="M646" s="73"/>
    </row>
    <row r="647" spans="8:13" x14ac:dyDescent="0.2">
      <c r="H647" s="73"/>
      <c r="M647" s="73"/>
    </row>
    <row r="648" spans="8:13" x14ac:dyDescent="0.2">
      <c r="H648" s="73"/>
      <c r="M648" s="73"/>
    </row>
    <row r="649" spans="8:13" x14ac:dyDescent="0.2">
      <c r="H649" s="73"/>
      <c r="M649" s="73"/>
    </row>
    <row r="650" spans="8:13" x14ac:dyDescent="0.2">
      <c r="H650" s="73"/>
      <c r="M650" s="73"/>
    </row>
    <row r="651" spans="8:13" x14ac:dyDescent="0.2">
      <c r="H651" s="73"/>
      <c r="M651" s="73"/>
    </row>
    <row r="652" spans="8:13" x14ac:dyDescent="0.2">
      <c r="H652" s="73"/>
      <c r="M652" s="73"/>
    </row>
    <row r="653" spans="8:13" x14ac:dyDescent="0.2">
      <c r="H653" s="73"/>
      <c r="M653" s="73"/>
    </row>
    <row r="654" spans="8:13" x14ac:dyDescent="0.2">
      <c r="H654" s="73"/>
      <c r="M654" s="73"/>
    </row>
    <row r="655" spans="8:13" x14ac:dyDescent="0.2">
      <c r="H655" s="73"/>
      <c r="M655" s="73"/>
    </row>
    <row r="656" spans="8:13" x14ac:dyDescent="0.2">
      <c r="H656" s="73"/>
      <c r="M656" s="73"/>
    </row>
    <row r="657" spans="8:13" x14ac:dyDescent="0.2">
      <c r="H657" s="73"/>
      <c r="M657" s="73"/>
    </row>
    <row r="658" spans="8:13" x14ac:dyDescent="0.2">
      <c r="H658" s="73"/>
      <c r="M658" s="73"/>
    </row>
    <row r="659" spans="8:13" x14ac:dyDescent="0.2">
      <c r="H659" s="73"/>
      <c r="M659" s="73"/>
    </row>
    <row r="660" spans="8:13" x14ac:dyDescent="0.2">
      <c r="H660" s="73"/>
      <c r="M660" s="73"/>
    </row>
    <row r="661" spans="8:13" x14ac:dyDescent="0.2">
      <c r="H661" s="73"/>
      <c r="M661" s="73"/>
    </row>
    <row r="662" spans="8:13" x14ac:dyDescent="0.2">
      <c r="H662" s="73"/>
      <c r="M662" s="73"/>
    </row>
    <row r="663" spans="8:13" x14ac:dyDescent="0.2">
      <c r="H663" s="73"/>
      <c r="M663" s="73"/>
    </row>
    <row r="664" spans="8:13" x14ac:dyDescent="0.2">
      <c r="H664" s="73"/>
      <c r="M664" s="73"/>
    </row>
    <row r="665" spans="8:13" x14ac:dyDescent="0.2">
      <c r="H665" s="73"/>
      <c r="M665" s="73"/>
    </row>
    <row r="666" spans="8:13" x14ac:dyDescent="0.2">
      <c r="H666" s="73"/>
      <c r="M666" s="73"/>
    </row>
    <row r="667" spans="8:13" x14ac:dyDescent="0.2">
      <c r="H667" s="73"/>
      <c r="M667" s="73"/>
    </row>
    <row r="668" spans="8:13" x14ac:dyDescent="0.2">
      <c r="H668" s="73"/>
      <c r="M668" s="73"/>
    </row>
    <row r="669" spans="8:13" x14ac:dyDescent="0.2">
      <c r="H669" s="73"/>
      <c r="M669" s="73"/>
    </row>
    <row r="670" spans="8:13" x14ac:dyDescent="0.2">
      <c r="H670" s="73"/>
      <c r="M670" s="73"/>
    </row>
    <row r="671" spans="8:13" x14ac:dyDescent="0.2">
      <c r="H671" s="73"/>
      <c r="M671" s="73"/>
    </row>
    <row r="672" spans="8:13" x14ac:dyDescent="0.2">
      <c r="H672" s="73"/>
      <c r="M672" s="73"/>
    </row>
    <row r="673" spans="8:13" x14ac:dyDescent="0.2">
      <c r="H673" s="73"/>
      <c r="M673" s="73"/>
    </row>
    <row r="674" spans="8:13" x14ac:dyDescent="0.2">
      <c r="H674" s="73"/>
      <c r="M674" s="73"/>
    </row>
    <row r="675" spans="8:13" x14ac:dyDescent="0.2">
      <c r="H675" s="73"/>
      <c r="M675" s="73"/>
    </row>
    <row r="676" spans="8:13" x14ac:dyDescent="0.2">
      <c r="H676" s="73"/>
      <c r="M676" s="73"/>
    </row>
    <row r="677" spans="8:13" x14ac:dyDescent="0.2">
      <c r="H677" s="73"/>
      <c r="M677" s="73"/>
    </row>
    <row r="678" spans="8:13" x14ac:dyDescent="0.2">
      <c r="H678" s="73"/>
      <c r="M678" s="73"/>
    </row>
    <row r="679" spans="8:13" x14ac:dyDescent="0.2">
      <c r="H679" s="73"/>
      <c r="M679" s="73"/>
    </row>
    <row r="680" spans="8:13" x14ac:dyDescent="0.2">
      <c r="H680" s="73"/>
      <c r="M680" s="73"/>
    </row>
    <row r="681" spans="8:13" x14ac:dyDescent="0.2">
      <c r="H681" s="73"/>
      <c r="M681" s="73"/>
    </row>
    <row r="682" spans="8:13" x14ac:dyDescent="0.2">
      <c r="H682" s="73"/>
      <c r="M682" s="73"/>
    </row>
    <row r="683" spans="8:13" x14ac:dyDescent="0.2">
      <c r="H683" s="73"/>
      <c r="M683" s="73"/>
    </row>
    <row r="684" spans="8:13" x14ac:dyDescent="0.2">
      <c r="H684" s="73"/>
      <c r="M684" s="73"/>
    </row>
    <row r="685" spans="8:13" x14ac:dyDescent="0.2">
      <c r="H685" s="73"/>
      <c r="M685" s="73"/>
    </row>
    <row r="686" spans="8:13" x14ac:dyDescent="0.2">
      <c r="H686" s="73"/>
      <c r="M686" s="73"/>
    </row>
    <row r="687" spans="8:13" x14ac:dyDescent="0.2">
      <c r="H687" s="73"/>
      <c r="M687" s="73"/>
    </row>
    <row r="688" spans="8:13" x14ac:dyDescent="0.2">
      <c r="H688" s="73"/>
      <c r="M688" s="73"/>
    </row>
    <row r="689" spans="8:13" x14ac:dyDescent="0.2">
      <c r="H689" s="73"/>
      <c r="M689" s="73"/>
    </row>
    <row r="690" spans="8:13" x14ac:dyDescent="0.2">
      <c r="H690" s="73"/>
      <c r="M690" s="73"/>
    </row>
    <row r="691" spans="8:13" x14ac:dyDescent="0.2">
      <c r="H691" s="73"/>
      <c r="M691" s="73"/>
    </row>
    <row r="692" spans="8:13" x14ac:dyDescent="0.2">
      <c r="H692" s="73"/>
      <c r="M692" s="73"/>
    </row>
    <row r="693" spans="8:13" x14ac:dyDescent="0.2">
      <c r="H693" s="73"/>
      <c r="M693" s="73"/>
    </row>
    <row r="694" spans="8:13" x14ac:dyDescent="0.2">
      <c r="H694" s="73"/>
      <c r="M694" s="73"/>
    </row>
    <row r="695" spans="8:13" x14ac:dyDescent="0.2">
      <c r="H695" s="73"/>
      <c r="M695" s="73"/>
    </row>
    <row r="696" spans="8:13" x14ac:dyDescent="0.2">
      <c r="H696" s="73"/>
      <c r="M696" s="73"/>
    </row>
    <row r="697" spans="8:13" x14ac:dyDescent="0.2">
      <c r="H697" s="73"/>
      <c r="M697" s="73"/>
    </row>
    <row r="698" spans="8:13" x14ac:dyDescent="0.2">
      <c r="H698" s="73"/>
      <c r="M698" s="73"/>
    </row>
    <row r="699" spans="8:13" x14ac:dyDescent="0.2">
      <c r="H699" s="73"/>
      <c r="M699" s="73"/>
    </row>
    <row r="700" spans="8:13" x14ac:dyDescent="0.2">
      <c r="H700" s="73"/>
      <c r="M700" s="73"/>
    </row>
    <row r="701" spans="8:13" x14ac:dyDescent="0.2">
      <c r="H701" s="73"/>
      <c r="M701" s="73"/>
    </row>
    <row r="702" spans="8:13" x14ac:dyDescent="0.2">
      <c r="H702" s="73"/>
      <c r="M702" s="73"/>
    </row>
    <row r="703" spans="8:13" x14ac:dyDescent="0.2">
      <c r="H703" s="73"/>
      <c r="M703" s="73"/>
    </row>
    <row r="704" spans="8:13" x14ac:dyDescent="0.2">
      <c r="H704" s="73"/>
      <c r="M704" s="73"/>
    </row>
    <row r="705" spans="8:13" x14ac:dyDescent="0.2">
      <c r="H705" s="73"/>
      <c r="M705" s="73"/>
    </row>
    <row r="706" spans="8:13" x14ac:dyDescent="0.2">
      <c r="H706" s="73"/>
      <c r="M706" s="73"/>
    </row>
    <row r="707" spans="8:13" x14ac:dyDescent="0.2">
      <c r="H707" s="73"/>
      <c r="M707" s="73"/>
    </row>
    <row r="708" spans="8:13" x14ac:dyDescent="0.2">
      <c r="H708" s="73"/>
      <c r="M708" s="73"/>
    </row>
    <row r="709" spans="8:13" x14ac:dyDescent="0.2">
      <c r="H709" s="73"/>
      <c r="M709" s="73"/>
    </row>
    <row r="710" spans="8:13" x14ac:dyDescent="0.2">
      <c r="H710" s="73"/>
      <c r="M710" s="73"/>
    </row>
    <row r="711" spans="8:13" x14ac:dyDescent="0.2">
      <c r="H711" s="73"/>
      <c r="M711" s="73"/>
    </row>
    <row r="712" spans="8:13" x14ac:dyDescent="0.2">
      <c r="H712" s="73"/>
      <c r="M712" s="73"/>
    </row>
    <row r="713" spans="8:13" x14ac:dyDescent="0.2">
      <c r="H713" s="73"/>
      <c r="M713" s="73"/>
    </row>
    <row r="714" spans="8:13" x14ac:dyDescent="0.2">
      <c r="H714" s="73"/>
      <c r="M714" s="73"/>
    </row>
    <row r="715" spans="8:13" x14ac:dyDescent="0.2">
      <c r="H715" s="73"/>
      <c r="M715" s="73"/>
    </row>
    <row r="716" spans="8:13" x14ac:dyDescent="0.2">
      <c r="H716" s="73"/>
      <c r="M716" s="73"/>
    </row>
    <row r="717" spans="8:13" x14ac:dyDescent="0.2">
      <c r="H717" s="73"/>
      <c r="M717" s="73"/>
    </row>
    <row r="718" spans="8:13" x14ac:dyDescent="0.2">
      <c r="H718" s="73"/>
      <c r="M718" s="73"/>
    </row>
    <row r="719" spans="8:13" x14ac:dyDescent="0.2">
      <c r="H719" s="73"/>
      <c r="M719" s="73"/>
    </row>
    <row r="720" spans="8:13" x14ac:dyDescent="0.2">
      <c r="H720" s="73"/>
      <c r="M720" s="73"/>
    </row>
    <row r="721" spans="8:13" x14ac:dyDescent="0.2">
      <c r="H721" s="73"/>
      <c r="M721" s="73"/>
    </row>
    <row r="722" spans="8:13" x14ac:dyDescent="0.2">
      <c r="H722" s="73"/>
      <c r="M722" s="73"/>
    </row>
    <row r="723" spans="8:13" x14ac:dyDescent="0.2">
      <c r="H723" s="73"/>
      <c r="M723" s="73"/>
    </row>
    <row r="724" spans="8:13" x14ac:dyDescent="0.2">
      <c r="H724" s="73"/>
      <c r="M724" s="73"/>
    </row>
    <row r="725" spans="8:13" x14ac:dyDescent="0.2">
      <c r="H725" s="73"/>
      <c r="M725" s="73"/>
    </row>
    <row r="726" spans="8:13" x14ac:dyDescent="0.2">
      <c r="H726" s="73"/>
      <c r="M726" s="73"/>
    </row>
    <row r="727" spans="8:13" x14ac:dyDescent="0.2">
      <c r="H727" s="73"/>
      <c r="M727" s="73"/>
    </row>
    <row r="728" spans="8:13" x14ac:dyDescent="0.2">
      <c r="H728" s="73"/>
      <c r="M728" s="73"/>
    </row>
    <row r="729" spans="8:13" x14ac:dyDescent="0.2">
      <c r="H729" s="73"/>
      <c r="M729" s="73"/>
    </row>
    <row r="730" spans="8:13" x14ac:dyDescent="0.2">
      <c r="H730" s="73"/>
      <c r="M730" s="73"/>
    </row>
    <row r="731" spans="8:13" x14ac:dyDescent="0.2">
      <c r="H731" s="73"/>
      <c r="M731" s="73"/>
    </row>
    <row r="732" spans="8:13" x14ac:dyDescent="0.2">
      <c r="H732" s="73"/>
      <c r="M732" s="73"/>
    </row>
    <row r="733" spans="8:13" x14ac:dyDescent="0.2">
      <c r="H733" s="73"/>
      <c r="M733" s="73"/>
    </row>
    <row r="734" spans="8:13" x14ac:dyDescent="0.2">
      <c r="H734" s="73"/>
      <c r="M734" s="73"/>
    </row>
    <row r="735" spans="8:13" x14ac:dyDescent="0.2">
      <c r="H735" s="73"/>
      <c r="M735" s="73"/>
    </row>
    <row r="736" spans="8:13" x14ac:dyDescent="0.2">
      <c r="H736" s="73"/>
      <c r="M736" s="73"/>
    </row>
    <row r="737" spans="8:13" x14ac:dyDescent="0.2">
      <c r="H737" s="73"/>
      <c r="M737" s="73"/>
    </row>
    <row r="738" spans="8:13" x14ac:dyDescent="0.2">
      <c r="H738" s="73"/>
      <c r="M738" s="73"/>
    </row>
    <row r="739" spans="8:13" x14ac:dyDescent="0.2">
      <c r="H739" s="73"/>
      <c r="M739" s="73"/>
    </row>
    <row r="740" spans="8:13" x14ac:dyDescent="0.2">
      <c r="H740" s="73"/>
      <c r="M740" s="73"/>
    </row>
    <row r="741" spans="8:13" x14ac:dyDescent="0.2">
      <c r="H741" s="73"/>
      <c r="M741" s="73"/>
    </row>
    <row r="742" spans="8:13" x14ac:dyDescent="0.2">
      <c r="H742" s="73"/>
      <c r="M742" s="73"/>
    </row>
    <row r="743" spans="8:13" x14ac:dyDescent="0.2">
      <c r="H743" s="73"/>
      <c r="M743" s="73"/>
    </row>
    <row r="744" spans="8:13" x14ac:dyDescent="0.2">
      <c r="H744" s="73"/>
      <c r="M744" s="73"/>
    </row>
    <row r="745" spans="8:13" x14ac:dyDescent="0.2">
      <c r="H745" s="73"/>
      <c r="M745" s="73"/>
    </row>
    <row r="746" spans="8:13" x14ac:dyDescent="0.2">
      <c r="H746" s="73"/>
      <c r="M746" s="73"/>
    </row>
    <row r="747" spans="8:13" x14ac:dyDescent="0.2">
      <c r="H747" s="73"/>
      <c r="M747" s="73"/>
    </row>
    <row r="748" spans="8:13" x14ac:dyDescent="0.2">
      <c r="H748" s="73"/>
      <c r="M748" s="73"/>
    </row>
    <row r="749" spans="8:13" x14ac:dyDescent="0.2">
      <c r="H749" s="73"/>
      <c r="M749" s="73"/>
    </row>
    <row r="750" spans="8:13" x14ac:dyDescent="0.2">
      <c r="H750" s="73"/>
      <c r="M750" s="73"/>
    </row>
    <row r="751" spans="8:13" x14ac:dyDescent="0.2">
      <c r="H751" s="73"/>
      <c r="M751" s="73"/>
    </row>
    <row r="752" spans="8:13" x14ac:dyDescent="0.2">
      <c r="H752" s="73"/>
      <c r="M752" s="73"/>
    </row>
    <row r="753" spans="8:13" x14ac:dyDescent="0.2">
      <c r="H753" s="73"/>
      <c r="M753" s="73"/>
    </row>
    <row r="754" spans="8:13" x14ac:dyDescent="0.2">
      <c r="H754" s="73"/>
      <c r="M754" s="73"/>
    </row>
    <row r="755" spans="8:13" x14ac:dyDescent="0.2">
      <c r="H755" s="73"/>
      <c r="M755" s="73"/>
    </row>
    <row r="756" spans="8:13" x14ac:dyDescent="0.2">
      <c r="H756" s="73"/>
      <c r="M756" s="73"/>
    </row>
    <row r="757" spans="8:13" x14ac:dyDescent="0.2">
      <c r="H757" s="73"/>
      <c r="M757" s="73"/>
    </row>
    <row r="758" spans="8:13" x14ac:dyDescent="0.2">
      <c r="H758" s="73"/>
      <c r="M758" s="73"/>
    </row>
    <row r="759" spans="8:13" x14ac:dyDescent="0.2">
      <c r="H759" s="73"/>
      <c r="M759" s="73"/>
    </row>
    <row r="760" spans="8:13" x14ac:dyDescent="0.2">
      <c r="H760" s="73"/>
      <c r="M760" s="73"/>
    </row>
    <row r="761" spans="8:13" x14ac:dyDescent="0.2">
      <c r="H761" s="73"/>
      <c r="M761" s="73"/>
    </row>
    <row r="762" spans="8:13" x14ac:dyDescent="0.2">
      <c r="H762" s="73"/>
      <c r="M762" s="73"/>
    </row>
    <row r="763" spans="8:13" x14ac:dyDescent="0.2">
      <c r="H763" s="73"/>
      <c r="M763" s="73"/>
    </row>
    <row r="764" spans="8:13" x14ac:dyDescent="0.2">
      <c r="H764" s="73"/>
      <c r="M764" s="73"/>
    </row>
    <row r="765" spans="8:13" x14ac:dyDescent="0.2">
      <c r="H765" s="73"/>
      <c r="M765" s="73"/>
    </row>
    <row r="766" spans="8:13" x14ac:dyDescent="0.2">
      <c r="H766" s="73"/>
      <c r="M766" s="73"/>
    </row>
    <row r="767" spans="8:13" x14ac:dyDescent="0.2">
      <c r="H767" s="73"/>
      <c r="M767" s="73"/>
    </row>
    <row r="768" spans="8:13" x14ac:dyDescent="0.2">
      <c r="H768" s="73"/>
      <c r="M768" s="73"/>
    </row>
    <row r="769" spans="8:13" x14ac:dyDescent="0.2">
      <c r="H769" s="73"/>
      <c r="M769" s="73"/>
    </row>
    <row r="770" spans="8:13" x14ac:dyDescent="0.2">
      <c r="H770" s="73"/>
      <c r="M770" s="73"/>
    </row>
    <row r="771" spans="8:13" x14ac:dyDescent="0.2">
      <c r="H771" s="73"/>
      <c r="M771" s="73"/>
    </row>
    <row r="772" spans="8:13" x14ac:dyDescent="0.2">
      <c r="H772" s="73"/>
      <c r="M772" s="73"/>
    </row>
    <row r="773" spans="8:13" x14ac:dyDescent="0.2">
      <c r="H773" s="73"/>
      <c r="M773" s="73"/>
    </row>
    <row r="774" spans="8:13" x14ac:dyDescent="0.2">
      <c r="H774" s="73"/>
      <c r="M774" s="73"/>
    </row>
    <row r="775" spans="8:13" x14ac:dyDescent="0.2">
      <c r="H775" s="73"/>
      <c r="M775" s="73"/>
    </row>
    <row r="776" spans="8:13" x14ac:dyDescent="0.2">
      <c r="H776" s="73"/>
      <c r="M776" s="73"/>
    </row>
    <row r="777" spans="8:13" x14ac:dyDescent="0.2">
      <c r="H777" s="73"/>
      <c r="M777" s="73"/>
    </row>
    <row r="778" spans="8:13" x14ac:dyDescent="0.2">
      <c r="H778" s="73"/>
      <c r="M778" s="73"/>
    </row>
    <row r="779" spans="8:13" x14ac:dyDescent="0.2">
      <c r="H779" s="73"/>
      <c r="M779" s="73"/>
    </row>
    <row r="780" spans="8:13" x14ac:dyDescent="0.2">
      <c r="H780" s="73"/>
      <c r="M780" s="73"/>
    </row>
    <row r="781" spans="8:13" x14ac:dyDescent="0.2">
      <c r="H781" s="73"/>
      <c r="M781" s="73"/>
    </row>
    <row r="782" spans="8:13" x14ac:dyDescent="0.2">
      <c r="H782" s="73"/>
      <c r="M782" s="73"/>
    </row>
    <row r="783" spans="8:13" x14ac:dyDescent="0.2">
      <c r="H783" s="73"/>
      <c r="M783" s="73"/>
    </row>
    <row r="784" spans="8:13" x14ac:dyDescent="0.2">
      <c r="H784" s="73"/>
      <c r="M784" s="73"/>
    </row>
    <row r="785" spans="8:13" x14ac:dyDescent="0.2">
      <c r="H785" s="73"/>
      <c r="M785" s="73"/>
    </row>
    <row r="786" spans="8:13" x14ac:dyDescent="0.2">
      <c r="H786" s="73"/>
      <c r="M786" s="73"/>
    </row>
    <row r="787" spans="8:13" x14ac:dyDescent="0.2">
      <c r="H787" s="73"/>
      <c r="M787" s="73"/>
    </row>
    <row r="788" spans="8:13" x14ac:dyDescent="0.2">
      <c r="H788" s="73"/>
      <c r="M788" s="73"/>
    </row>
    <row r="789" spans="8:13" x14ac:dyDescent="0.2">
      <c r="H789" s="73"/>
      <c r="M789" s="73"/>
    </row>
    <row r="790" spans="8:13" x14ac:dyDescent="0.2">
      <c r="H790" s="73"/>
      <c r="M790" s="73"/>
    </row>
    <row r="791" spans="8:13" x14ac:dyDescent="0.2">
      <c r="H791" s="73"/>
      <c r="M791" s="73"/>
    </row>
    <row r="792" spans="8:13" x14ac:dyDescent="0.2">
      <c r="H792" s="73"/>
      <c r="M792" s="73"/>
    </row>
    <row r="793" spans="8:13" x14ac:dyDescent="0.2">
      <c r="H793" s="73"/>
      <c r="M793" s="73"/>
    </row>
    <row r="794" spans="8:13" x14ac:dyDescent="0.2">
      <c r="H794" s="73"/>
      <c r="M794" s="73"/>
    </row>
    <row r="795" spans="8:13" x14ac:dyDescent="0.2">
      <c r="H795" s="73"/>
      <c r="M795" s="73"/>
    </row>
    <row r="796" spans="8:13" x14ac:dyDescent="0.2">
      <c r="H796" s="73"/>
      <c r="M796" s="73"/>
    </row>
    <row r="797" spans="8:13" x14ac:dyDescent="0.2">
      <c r="H797" s="73"/>
      <c r="M797" s="73"/>
    </row>
    <row r="798" spans="8:13" x14ac:dyDescent="0.2">
      <c r="H798" s="73"/>
      <c r="M798" s="73"/>
    </row>
    <row r="799" spans="8:13" x14ac:dyDescent="0.2">
      <c r="H799" s="73"/>
      <c r="M799" s="73"/>
    </row>
    <row r="800" spans="8:13" x14ac:dyDescent="0.2">
      <c r="H800" s="73"/>
      <c r="M800" s="73"/>
    </row>
    <row r="801" spans="8:13" x14ac:dyDescent="0.2">
      <c r="H801" s="73"/>
      <c r="M801" s="73"/>
    </row>
    <row r="802" spans="8:13" x14ac:dyDescent="0.2">
      <c r="H802" s="73"/>
      <c r="M802" s="73"/>
    </row>
    <row r="803" spans="8:13" x14ac:dyDescent="0.2">
      <c r="H803" s="73"/>
      <c r="M803" s="73"/>
    </row>
    <row r="804" spans="8:13" x14ac:dyDescent="0.2">
      <c r="H804" s="73"/>
      <c r="M804" s="73"/>
    </row>
    <row r="805" spans="8:13" x14ac:dyDescent="0.2">
      <c r="H805" s="73"/>
      <c r="M805" s="73"/>
    </row>
    <row r="806" spans="8:13" x14ac:dyDescent="0.2">
      <c r="H806" s="73"/>
      <c r="M806" s="73"/>
    </row>
    <row r="807" spans="8:13" x14ac:dyDescent="0.2">
      <c r="H807" s="73"/>
      <c r="M807" s="73"/>
    </row>
    <row r="808" spans="8:13" x14ac:dyDescent="0.2">
      <c r="H808" s="73"/>
      <c r="M808" s="73"/>
    </row>
    <row r="809" spans="8:13" x14ac:dyDescent="0.2">
      <c r="H809" s="73"/>
      <c r="M809" s="73"/>
    </row>
    <row r="810" spans="8:13" x14ac:dyDescent="0.2">
      <c r="H810" s="73"/>
      <c r="M810" s="73"/>
    </row>
    <row r="811" spans="8:13" x14ac:dyDescent="0.2">
      <c r="H811" s="73"/>
      <c r="M811" s="73"/>
    </row>
    <row r="812" spans="8:13" x14ac:dyDescent="0.2">
      <c r="H812" s="73"/>
      <c r="M812" s="73"/>
    </row>
    <row r="813" spans="8:13" x14ac:dyDescent="0.2">
      <c r="H813" s="73"/>
      <c r="M813" s="73"/>
    </row>
    <row r="814" spans="8:13" x14ac:dyDescent="0.2">
      <c r="H814" s="73"/>
      <c r="M814" s="73"/>
    </row>
    <row r="815" spans="8:13" x14ac:dyDescent="0.2">
      <c r="H815" s="73"/>
      <c r="M815" s="73"/>
    </row>
    <row r="816" spans="8:13" x14ac:dyDescent="0.2">
      <c r="H816" s="73"/>
      <c r="M816" s="73"/>
    </row>
    <row r="817" spans="8:13" x14ac:dyDescent="0.2">
      <c r="H817" s="73"/>
      <c r="M817" s="73"/>
    </row>
    <row r="818" spans="8:13" x14ac:dyDescent="0.2">
      <c r="H818" s="73"/>
      <c r="M818" s="73"/>
    </row>
    <row r="819" spans="8:13" x14ac:dyDescent="0.2">
      <c r="H819" s="73"/>
      <c r="M819" s="73"/>
    </row>
    <row r="820" spans="8:13" x14ac:dyDescent="0.2">
      <c r="H820" s="73"/>
      <c r="M820" s="73"/>
    </row>
    <row r="821" spans="8:13" x14ac:dyDescent="0.2">
      <c r="H821" s="73"/>
      <c r="M821" s="73"/>
    </row>
    <row r="822" spans="8:13" x14ac:dyDescent="0.2">
      <c r="H822" s="73"/>
      <c r="M822" s="73"/>
    </row>
    <row r="823" spans="8:13" x14ac:dyDescent="0.2">
      <c r="H823" s="73"/>
      <c r="M823" s="73"/>
    </row>
    <row r="824" spans="8:13" x14ac:dyDescent="0.2">
      <c r="H824" s="73"/>
      <c r="M824" s="73"/>
    </row>
    <row r="825" spans="8:13" x14ac:dyDescent="0.2">
      <c r="H825" s="73"/>
      <c r="M825" s="73"/>
    </row>
    <row r="826" spans="8:13" x14ac:dyDescent="0.2">
      <c r="H826" s="73"/>
      <c r="M826" s="73"/>
    </row>
    <row r="827" spans="8:13" x14ac:dyDescent="0.2">
      <c r="H827" s="73"/>
      <c r="M827" s="73"/>
    </row>
    <row r="828" spans="8:13" x14ac:dyDescent="0.2">
      <c r="H828" s="73"/>
      <c r="M828" s="73"/>
    </row>
    <row r="829" spans="8:13" x14ac:dyDescent="0.2">
      <c r="H829" s="73"/>
      <c r="M829" s="73"/>
    </row>
    <row r="830" spans="8:13" x14ac:dyDescent="0.2">
      <c r="H830" s="73"/>
      <c r="M830" s="73"/>
    </row>
    <row r="831" spans="8:13" x14ac:dyDescent="0.2">
      <c r="H831" s="73"/>
      <c r="M831" s="73"/>
    </row>
    <row r="832" spans="8:13" x14ac:dyDescent="0.2">
      <c r="H832" s="73"/>
      <c r="M832" s="73"/>
    </row>
    <row r="833" spans="8:13" x14ac:dyDescent="0.2">
      <c r="H833" s="73"/>
      <c r="M833" s="73"/>
    </row>
    <row r="834" spans="8:13" x14ac:dyDescent="0.2">
      <c r="H834" s="73"/>
      <c r="M834" s="73"/>
    </row>
    <row r="835" spans="8:13" x14ac:dyDescent="0.2">
      <c r="H835" s="73"/>
      <c r="M835" s="73"/>
    </row>
    <row r="836" spans="8:13" x14ac:dyDescent="0.2">
      <c r="H836" s="73"/>
      <c r="M836" s="73"/>
    </row>
    <row r="837" spans="8:13" x14ac:dyDescent="0.2">
      <c r="H837" s="73"/>
      <c r="M837" s="73"/>
    </row>
    <row r="838" spans="8:13" x14ac:dyDescent="0.2">
      <c r="H838" s="73"/>
      <c r="M838" s="73"/>
    </row>
    <row r="839" spans="8:13" x14ac:dyDescent="0.2">
      <c r="H839" s="73"/>
      <c r="M839" s="73"/>
    </row>
    <row r="840" spans="8:13" x14ac:dyDescent="0.2">
      <c r="H840" s="73"/>
      <c r="M840" s="73"/>
    </row>
    <row r="841" spans="8:13" x14ac:dyDescent="0.2">
      <c r="H841" s="73"/>
      <c r="M841" s="73"/>
    </row>
    <row r="842" spans="8:13" x14ac:dyDescent="0.2">
      <c r="H842" s="73"/>
      <c r="M842" s="73"/>
    </row>
    <row r="843" spans="8:13" x14ac:dyDescent="0.2">
      <c r="H843" s="73"/>
      <c r="M843" s="73"/>
    </row>
    <row r="844" spans="8:13" x14ac:dyDescent="0.2">
      <c r="H844" s="73"/>
      <c r="M844" s="73"/>
    </row>
    <row r="845" spans="8:13" x14ac:dyDescent="0.2">
      <c r="H845" s="73"/>
      <c r="M845" s="73"/>
    </row>
    <row r="846" spans="8:13" x14ac:dyDescent="0.2">
      <c r="H846" s="73"/>
      <c r="M846" s="73"/>
    </row>
    <row r="847" spans="8:13" x14ac:dyDescent="0.2">
      <c r="H847" s="73"/>
      <c r="M847" s="73"/>
    </row>
    <row r="848" spans="8:13" x14ac:dyDescent="0.2">
      <c r="H848" s="73"/>
      <c r="M848" s="73"/>
    </row>
    <row r="849" spans="8:13" x14ac:dyDescent="0.2">
      <c r="H849" s="73"/>
      <c r="M849" s="73"/>
    </row>
    <row r="850" spans="8:13" x14ac:dyDescent="0.2">
      <c r="H850" s="73"/>
      <c r="M850" s="73"/>
    </row>
    <row r="851" spans="8:13" x14ac:dyDescent="0.2">
      <c r="H851" s="73"/>
      <c r="M851" s="73"/>
    </row>
    <row r="852" spans="8:13" x14ac:dyDescent="0.2">
      <c r="H852" s="73"/>
      <c r="M852" s="73"/>
    </row>
    <row r="853" spans="8:13" x14ac:dyDescent="0.2">
      <c r="H853" s="73"/>
      <c r="M853" s="73"/>
    </row>
    <row r="854" spans="8:13" x14ac:dyDescent="0.2">
      <c r="H854" s="73"/>
      <c r="M854" s="73"/>
    </row>
    <row r="855" spans="8:13" x14ac:dyDescent="0.2">
      <c r="H855" s="73"/>
      <c r="M855" s="73"/>
    </row>
    <row r="856" spans="8:13" x14ac:dyDescent="0.2">
      <c r="H856" s="73"/>
      <c r="M856" s="73"/>
    </row>
    <row r="857" spans="8:13" x14ac:dyDescent="0.2">
      <c r="H857" s="73"/>
      <c r="M857" s="73"/>
    </row>
    <row r="858" spans="8:13" x14ac:dyDescent="0.2">
      <c r="H858" s="73"/>
      <c r="M858" s="73"/>
    </row>
    <row r="859" spans="8:13" x14ac:dyDescent="0.2">
      <c r="H859" s="73"/>
      <c r="M859" s="73"/>
    </row>
    <row r="860" spans="8:13" x14ac:dyDescent="0.2">
      <c r="H860" s="73"/>
      <c r="M860" s="73"/>
    </row>
    <row r="861" spans="8:13" x14ac:dyDescent="0.2">
      <c r="H861" s="73"/>
      <c r="M861" s="73"/>
    </row>
    <row r="862" spans="8:13" x14ac:dyDescent="0.2">
      <c r="H862" s="73"/>
      <c r="M862" s="73"/>
    </row>
    <row r="863" spans="8:13" x14ac:dyDescent="0.2">
      <c r="H863" s="73"/>
      <c r="M863" s="73"/>
    </row>
    <row r="864" spans="8:13" x14ac:dyDescent="0.2">
      <c r="H864" s="73"/>
      <c r="M864" s="73"/>
    </row>
    <row r="865" spans="8:13" x14ac:dyDescent="0.2">
      <c r="H865" s="73"/>
      <c r="M865" s="73"/>
    </row>
    <row r="866" spans="8:13" x14ac:dyDescent="0.2">
      <c r="H866" s="73"/>
      <c r="M866" s="73"/>
    </row>
    <row r="867" spans="8:13" x14ac:dyDescent="0.2">
      <c r="H867" s="73"/>
      <c r="M867" s="73"/>
    </row>
    <row r="868" spans="8:13" x14ac:dyDescent="0.2">
      <c r="H868" s="73"/>
      <c r="M868" s="73"/>
    </row>
    <row r="869" spans="8:13" x14ac:dyDescent="0.2">
      <c r="H869" s="73"/>
      <c r="M869" s="73"/>
    </row>
    <row r="870" spans="8:13" x14ac:dyDescent="0.2">
      <c r="H870" s="73"/>
      <c r="M870" s="73"/>
    </row>
    <row r="871" spans="8:13" x14ac:dyDescent="0.2">
      <c r="H871" s="73"/>
      <c r="M871" s="73"/>
    </row>
    <row r="872" spans="8:13" x14ac:dyDescent="0.2">
      <c r="H872" s="73"/>
      <c r="M872" s="73"/>
    </row>
    <row r="873" spans="8:13" x14ac:dyDescent="0.2">
      <c r="H873" s="73"/>
      <c r="M873" s="73"/>
    </row>
    <row r="874" spans="8:13" x14ac:dyDescent="0.2">
      <c r="H874" s="73"/>
      <c r="M874" s="73"/>
    </row>
    <row r="875" spans="8:13" x14ac:dyDescent="0.2">
      <c r="H875" s="73"/>
      <c r="M875" s="73"/>
    </row>
    <row r="876" spans="8:13" x14ac:dyDescent="0.2">
      <c r="H876" s="73"/>
      <c r="M876" s="73"/>
    </row>
    <row r="877" spans="8:13" x14ac:dyDescent="0.2">
      <c r="H877" s="73"/>
      <c r="M877" s="73"/>
    </row>
    <row r="878" spans="8:13" x14ac:dyDescent="0.2">
      <c r="H878" s="73"/>
      <c r="M878" s="73"/>
    </row>
    <row r="879" spans="8:13" x14ac:dyDescent="0.2">
      <c r="H879" s="73"/>
      <c r="M879" s="73"/>
    </row>
    <row r="880" spans="8:13" x14ac:dyDescent="0.2">
      <c r="H880" s="73"/>
      <c r="M880" s="73"/>
    </row>
    <row r="881" spans="8:13" x14ac:dyDescent="0.2">
      <c r="H881" s="73"/>
      <c r="M881" s="73"/>
    </row>
    <row r="882" spans="8:13" x14ac:dyDescent="0.2">
      <c r="H882" s="73"/>
      <c r="M882" s="73"/>
    </row>
    <row r="883" spans="8:13" x14ac:dyDescent="0.2">
      <c r="H883" s="73"/>
      <c r="M883" s="73"/>
    </row>
    <row r="884" spans="8:13" x14ac:dyDescent="0.2">
      <c r="H884" s="73"/>
      <c r="M884" s="73"/>
    </row>
    <row r="885" spans="8:13" x14ac:dyDescent="0.2">
      <c r="H885" s="73"/>
      <c r="M885" s="73"/>
    </row>
    <row r="886" spans="8:13" x14ac:dyDescent="0.2">
      <c r="H886" s="73"/>
      <c r="M886" s="73"/>
    </row>
    <row r="887" spans="8:13" x14ac:dyDescent="0.2">
      <c r="H887" s="73"/>
      <c r="M887" s="73"/>
    </row>
    <row r="888" spans="8:13" x14ac:dyDescent="0.2">
      <c r="H888" s="73"/>
      <c r="M888" s="73"/>
    </row>
    <row r="889" spans="8:13" x14ac:dyDescent="0.2">
      <c r="H889" s="73"/>
      <c r="M889" s="73"/>
    </row>
    <row r="890" spans="8:13" x14ac:dyDescent="0.2">
      <c r="H890" s="73"/>
      <c r="M890" s="73"/>
    </row>
    <row r="891" spans="8:13" x14ac:dyDescent="0.2">
      <c r="H891" s="73"/>
      <c r="M891" s="73"/>
    </row>
    <row r="892" spans="8:13" x14ac:dyDescent="0.2">
      <c r="H892" s="73"/>
      <c r="M892" s="73"/>
    </row>
    <row r="893" spans="8:13" x14ac:dyDescent="0.2">
      <c r="H893" s="73"/>
      <c r="M893" s="73"/>
    </row>
    <row r="894" spans="8:13" x14ac:dyDescent="0.2">
      <c r="H894" s="73"/>
      <c r="M894" s="73"/>
    </row>
    <row r="895" spans="8:13" x14ac:dyDescent="0.2">
      <c r="H895" s="73"/>
      <c r="M895" s="73"/>
    </row>
    <row r="896" spans="8:13" x14ac:dyDescent="0.2">
      <c r="H896" s="73"/>
      <c r="M896" s="73"/>
    </row>
    <row r="897" spans="8:13" x14ac:dyDescent="0.2">
      <c r="H897" s="73"/>
      <c r="M897" s="73"/>
    </row>
    <row r="898" spans="8:13" x14ac:dyDescent="0.2">
      <c r="H898" s="73"/>
      <c r="M898" s="73"/>
    </row>
    <row r="899" spans="8:13" x14ac:dyDescent="0.2">
      <c r="H899" s="73"/>
      <c r="M899" s="73"/>
    </row>
    <row r="900" spans="8:13" x14ac:dyDescent="0.2">
      <c r="H900" s="73"/>
      <c r="M900" s="73"/>
    </row>
    <row r="901" spans="8:13" x14ac:dyDescent="0.2">
      <c r="H901" s="73"/>
      <c r="M901" s="73"/>
    </row>
    <row r="902" spans="8:13" x14ac:dyDescent="0.2">
      <c r="H902" s="73"/>
      <c r="M902" s="73"/>
    </row>
    <row r="903" spans="8:13" x14ac:dyDescent="0.2">
      <c r="H903" s="73"/>
      <c r="M903" s="73"/>
    </row>
    <row r="904" spans="8:13" x14ac:dyDescent="0.2">
      <c r="H904" s="73"/>
      <c r="M904" s="73"/>
    </row>
    <row r="905" spans="8:13" x14ac:dyDescent="0.2">
      <c r="H905" s="73"/>
      <c r="M905" s="73"/>
    </row>
    <row r="906" spans="8:13" x14ac:dyDescent="0.2">
      <c r="H906" s="73"/>
      <c r="M906" s="73"/>
    </row>
    <row r="907" spans="8:13" x14ac:dyDescent="0.2">
      <c r="H907" s="73"/>
      <c r="M907" s="73"/>
    </row>
    <row r="908" spans="8:13" x14ac:dyDescent="0.2">
      <c r="H908" s="73"/>
      <c r="M908" s="73"/>
    </row>
    <row r="909" spans="8:13" x14ac:dyDescent="0.2">
      <c r="H909" s="73"/>
      <c r="M909" s="73"/>
    </row>
    <row r="910" spans="8:13" x14ac:dyDescent="0.2">
      <c r="H910" s="73"/>
      <c r="M910" s="73"/>
    </row>
    <row r="911" spans="8:13" x14ac:dyDescent="0.2">
      <c r="H911" s="73"/>
      <c r="M911" s="73"/>
    </row>
    <row r="912" spans="8:13" x14ac:dyDescent="0.2">
      <c r="H912" s="73"/>
      <c r="M912" s="73"/>
    </row>
    <row r="913" spans="8:13" x14ac:dyDescent="0.2">
      <c r="H913" s="73"/>
      <c r="M913" s="73"/>
    </row>
    <row r="914" spans="8:13" x14ac:dyDescent="0.2">
      <c r="H914" s="73"/>
      <c r="M914" s="73"/>
    </row>
    <row r="915" spans="8:13" x14ac:dyDescent="0.2">
      <c r="H915" s="73"/>
      <c r="M915" s="73"/>
    </row>
    <row r="916" spans="8:13" x14ac:dyDescent="0.2">
      <c r="H916" s="73"/>
      <c r="M916" s="73"/>
    </row>
    <row r="917" spans="8:13" x14ac:dyDescent="0.2">
      <c r="H917" s="73"/>
      <c r="M917" s="73"/>
    </row>
    <row r="918" spans="8:13" x14ac:dyDescent="0.2">
      <c r="H918" s="73"/>
      <c r="M918" s="73"/>
    </row>
    <row r="919" spans="8:13" x14ac:dyDescent="0.2">
      <c r="H919" s="73"/>
      <c r="M919" s="73"/>
    </row>
    <row r="920" spans="8:13" x14ac:dyDescent="0.2">
      <c r="H920" s="73"/>
      <c r="M920" s="73"/>
    </row>
    <row r="921" spans="8:13" x14ac:dyDescent="0.2">
      <c r="H921" s="73"/>
      <c r="M921" s="73"/>
    </row>
    <row r="922" spans="8:13" x14ac:dyDescent="0.2">
      <c r="H922" s="73"/>
      <c r="M922" s="73"/>
    </row>
    <row r="923" spans="8:13" x14ac:dyDescent="0.2">
      <c r="H923" s="73"/>
      <c r="M923" s="73"/>
    </row>
    <row r="924" spans="8:13" x14ac:dyDescent="0.2">
      <c r="H924" s="73"/>
      <c r="M924" s="73"/>
    </row>
    <row r="925" spans="8:13" x14ac:dyDescent="0.2">
      <c r="H925" s="73"/>
      <c r="M925" s="73"/>
    </row>
    <row r="926" spans="8:13" x14ac:dyDescent="0.2">
      <c r="H926" s="73"/>
      <c r="M926" s="73"/>
    </row>
    <row r="927" spans="8:13" x14ac:dyDescent="0.2">
      <c r="H927" s="73"/>
      <c r="M927" s="73"/>
    </row>
    <row r="928" spans="8:13" x14ac:dyDescent="0.2">
      <c r="H928" s="73"/>
      <c r="M928" s="73"/>
    </row>
    <row r="929" spans="8:13" x14ac:dyDescent="0.2">
      <c r="H929" s="73"/>
      <c r="M929" s="73"/>
    </row>
    <row r="930" spans="8:13" x14ac:dyDescent="0.2">
      <c r="H930" s="73"/>
      <c r="M930" s="73"/>
    </row>
    <row r="931" spans="8:13" x14ac:dyDescent="0.2">
      <c r="H931" s="73"/>
      <c r="M931" s="73"/>
    </row>
    <row r="932" spans="8:13" x14ac:dyDescent="0.2">
      <c r="H932" s="73"/>
      <c r="M932" s="73"/>
    </row>
    <row r="933" spans="8:13" x14ac:dyDescent="0.2">
      <c r="H933" s="73"/>
      <c r="M933" s="73"/>
    </row>
    <row r="934" spans="8:13" x14ac:dyDescent="0.2">
      <c r="H934" s="73"/>
      <c r="M934" s="73"/>
    </row>
    <row r="935" spans="8:13" x14ac:dyDescent="0.2">
      <c r="H935" s="73"/>
      <c r="M935" s="73"/>
    </row>
    <row r="936" spans="8:13" x14ac:dyDescent="0.2">
      <c r="H936" s="73"/>
      <c r="M936" s="73"/>
    </row>
    <row r="937" spans="8:13" x14ac:dyDescent="0.2">
      <c r="H937" s="73"/>
      <c r="M937" s="73"/>
    </row>
    <row r="938" spans="8:13" x14ac:dyDescent="0.2">
      <c r="H938" s="73"/>
      <c r="M938" s="73"/>
    </row>
    <row r="939" spans="8:13" x14ac:dyDescent="0.2">
      <c r="H939" s="73"/>
      <c r="M939" s="73"/>
    </row>
    <row r="940" spans="8:13" x14ac:dyDescent="0.2">
      <c r="H940" s="73"/>
      <c r="M940" s="73"/>
    </row>
    <row r="941" spans="8:13" x14ac:dyDescent="0.2">
      <c r="H941" s="73"/>
      <c r="M941" s="73"/>
    </row>
    <row r="942" spans="8:13" x14ac:dyDescent="0.2">
      <c r="H942" s="73"/>
      <c r="M942" s="73"/>
    </row>
    <row r="943" spans="8:13" x14ac:dyDescent="0.2">
      <c r="H943" s="73"/>
      <c r="M943" s="73"/>
    </row>
    <row r="944" spans="8:13" x14ac:dyDescent="0.2">
      <c r="H944" s="73"/>
      <c r="M944" s="73"/>
    </row>
    <row r="945" spans="8:13" x14ac:dyDescent="0.2">
      <c r="H945" s="73"/>
      <c r="M945" s="73"/>
    </row>
    <row r="946" spans="8:13" x14ac:dyDescent="0.2">
      <c r="H946" s="73"/>
      <c r="M946" s="73"/>
    </row>
    <row r="947" spans="8:13" x14ac:dyDescent="0.2">
      <c r="H947" s="73"/>
      <c r="M947" s="73"/>
    </row>
    <row r="948" spans="8:13" x14ac:dyDescent="0.2">
      <c r="H948" s="73"/>
      <c r="M948" s="73"/>
    </row>
    <row r="949" spans="8:13" x14ac:dyDescent="0.2">
      <c r="H949" s="73"/>
      <c r="M949" s="73"/>
    </row>
    <row r="950" spans="8:13" x14ac:dyDescent="0.2">
      <c r="H950" s="73"/>
      <c r="M950" s="73"/>
    </row>
    <row r="951" spans="8:13" x14ac:dyDescent="0.2">
      <c r="H951" s="73"/>
      <c r="M951" s="73"/>
    </row>
    <row r="952" spans="8:13" x14ac:dyDescent="0.2">
      <c r="H952" s="73"/>
      <c r="M952" s="73"/>
    </row>
    <row r="953" spans="8:13" x14ac:dyDescent="0.2">
      <c r="H953" s="73"/>
      <c r="M953" s="73"/>
    </row>
    <row r="954" spans="8:13" x14ac:dyDescent="0.2">
      <c r="H954" s="73"/>
      <c r="M954" s="73"/>
    </row>
    <row r="955" spans="8:13" x14ac:dyDescent="0.2">
      <c r="H955" s="73"/>
      <c r="M955" s="73"/>
    </row>
    <row r="956" spans="8:13" x14ac:dyDescent="0.2">
      <c r="H956" s="73"/>
      <c r="M956" s="73"/>
    </row>
    <row r="957" spans="8:13" x14ac:dyDescent="0.2">
      <c r="H957" s="73"/>
      <c r="M957" s="73"/>
    </row>
    <row r="958" spans="8:13" x14ac:dyDescent="0.2">
      <c r="H958" s="73"/>
      <c r="M958" s="73"/>
    </row>
    <row r="959" spans="8:13" x14ac:dyDescent="0.2">
      <c r="H959" s="73"/>
      <c r="M959" s="73"/>
    </row>
    <row r="960" spans="8:13" x14ac:dyDescent="0.2">
      <c r="H960" s="73"/>
      <c r="M960" s="73"/>
    </row>
    <row r="961" spans="8:13" x14ac:dyDescent="0.2">
      <c r="H961" s="73"/>
      <c r="M961" s="73"/>
    </row>
    <row r="962" spans="8:13" x14ac:dyDescent="0.2">
      <c r="H962" s="73"/>
      <c r="M962" s="73"/>
    </row>
    <row r="963" spans="8:13" x14ac:dyDescent="0.2">
      <c r="H963" s="73"/>
      <c r="M963" s="73"/>
    </row>
    <row r="964" spans="8:13" x14ac:dyDescent="0.2">
      <c r="H964" s="73"/>
      <c r="M964" s="73"/>
    </row>
    <row r="965" spans="8:13" x14ac:dyDescent="0.2">
      <c r="H965" s="73"/>
      <c r="M965" s="73"/>
    </row>
    <row r="966" spans="8:13" x14ac:dyDescent="0.2">
      <c r="H966" s="73"/>
      <c r="M966" s="73"/>
    </row>
    <row r="967" spans="8:13" x14ac:dyDescent="0.2">
      <c r="H967" s="73"/>
      <c r="M967" s="73"/>
    </row>
    <row r="968" spans="8:13" x14ac:dyDescent="0.2">
      <c r="H968" s="73"/>
      <c r="M968" s="73"/>
    </row>
    <row r="969" spans="8:13" x14ac:dyDescent="0.2">
      <c r="H969" s="73"/>
      <c r="M969" s="73"/>
    </row>
    <row r="970" spans="8:13" x14ac:dyDescent="0.2">
      <c r="H970" s="73"/>
      <c r="M970" s="73"/>
    </row>
    <row r="971" spans="8:13" x14ac:dyDescent="0.2">
      <c r="H971" s="73"/>
      <c r="M971" s="73"/>
    </row>
    <row r="972" spans="8:13" x14ac:dyDescent="0.2">
      <c r="H972" s="73"/>
      <c r="M972" s="73"/>
    </row>
    <row r="973" spans="8:13" x14ac:dyDescent="0.2">
      <c r="H973" s="73"/>
      <c r="M973" s="73"/>
    </row>
    <row r="974" spans="8:13" x14ac:dyDescent="0.2">
      <c r="H974" s="73"/>
      <c r="M974" s="73"/>
    </row>
    <row r="975" spans="8:13" x14ac:dyDescent="0.2">
      <c r="H975" s="73"/>
      <c r="M975" s="73"/>
    </row>
    <row r="976" spans="8:13" x14ac:dyDescent="0.2">
      <c r="H976" s="73"/>
      <c r="M976" s="73"/>
    </row>
    <row r="977" spans="8:13" x14ac:dyDescent="0.2">
      <c r="H977" s="73"/>
      <c r="M977" s="73"/>
    </row>
    <row r="978" spans="8:13" x14ac:dyDescent="0.2">
      <c r="H978" s="73"/>
      <c r="M978" s="73"/>
    </row>
    <row r="979" spans="8:13" x14ac:dyDescent="0.2">
      <c r="H979" s="73"/>
      <c r="M979" s="73"/>
    </row>
    <row r="980" spans="8:13" x14ac:dyDescent="0.2">
      <c r="H980" s="73"/>
      <c r="M980" s="73"/>
    </row>
    <row r="981" spans="8:13" x14ac:dyDescent="0.2">
      <c r="H981" s="73"/>
      <c r="M981" s="73"/>
    </row>
    <row r="982" spans="8:13" x14ac:dyDescent="0.2">
      <c r="H982" s="73"/>
      <c r="M982" s="73"/>
    </row>
    <row r="983" spans="8:13" x14ac:dyDescent="0.2">
      <c r="H983" s="73"/>
      <c r="M983" s="73"/>
    </row>
    <row r="984" spans="8:13" x14ac:dyDescent="0.2">
      <c r="H984" s="73"/>
      <c r="M984" s="73"/>
    </row>
    <row r="985" spans="8:13" x14ac:dyDescent="0.2">
      <c r="H985" s="73"/>
      <c r="M985" s="73"/>
    </row>
    <row r="986" spans="8:13" x14ac:dyDescent="0.2">
      <c r="H986" s="73"/>
      <c r="M986" s="73"/>
    </row>
    <row r="987" spans="8:13" x14ac:dyDescent="0.2">
      <c r="H987" s="73"/>
      <c r="M987" s="73"/>
    </row>
    <row r="988" spans="8:13" x14ac:dyDescent="0.2">
      <c r="H988" s="73"/>
      <c r="M988" s="73"/>
    </row>
    <row r="989" spans="8:13" x14ac:dyDescent="0.2">
      <c r="H989" s="73"/>
      <c r="M989" s="73"/>
    </row>
    <row r="990" spans="8:13" x14ac:dyDescent="0.2">
      <c r="H990" s="73"/>
      <c r="M990" s="73"/>
    </row>
    <row r="991" spans="8:13" x14ac:dyDescent="0.2">
      <c r="H991" s="73"/>
      <c r="M991" s="73"/>
    </row>
    <row r="992" spans="8:13" x14ac:dyDescent="0.2">
      <c r="H992" s="73"/>
      <c r="M992" s="73"/>
    </row>
    <row r="993" spans="8:13" x14ac:dyDescent="0.2">
      <c r="H993" s="73"/>
      <c r="M993" s="73"/>
    </row>
    <row r="994" spans="8:13" x14ac:dyDescent="0.2">
      <c r="H994" s="73"/>
      <c r="M994" s="73"/>
    </row>
    <row r="995" spans="8:13" x14ac:dyDescent="0.2">
      <c r="H995" s="73"/>
      <c r="M995" s="73"/>
    </row>
    <row r="996" spans="8:13" x14ac:dyDescent="0.2">
      <c r="H996" s="73"/>
      <c r="M996" s="73"/>
    </row>
    <row r="997" spans="8:13" x14ac:dyDescent="0.2">
      <c r="H997" s="73"/>
      <c r="M997" s="73"/>
    </row>
    <row r="998" spans="8:13" x14ac:dyDescent="0.2">
      <c r="H998" s="73"/>
      <c r="M998" s="73"/>
    </row>
    <row r="999" spans="8:13" x14ac:dyDescent="0.2">
      <c r="H999" s="73"/>
      <c r="M999" s="7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000"/>
  <sheetViews>
    <sheetView workbookViewId="0"/>
  </sheetViews>
  <sheetFormatPr defaultColWidth="10.109375" defaultRowHeight="15" customHeight="1" x14ac:dyDescent="0.2"/>
  <cols>
    <col min="1" max="1" width="16.33203125" customWidth="1"/>
    <col min="2" max="2" width="8.44140625" customWidth="1"/>
    <col min="3" max="3" width="15.33203125" customWidth="1"/>
    <col min="4" max="4" width="14" customWidth="1"/>
    <col min="5" max="16" width="8.44140625" customWidth="1"/>
    <col min="17" max="17" width="10.6640625" customWidth="1"/>
    <col min="18" max="22" width="8.44140625" customWidth="1"/>
    <col min="23" max="23" width="16.5546875" customWidth="1"/>
    <col min="24" max="24" width="11.6640625" customWidth="1"/>
    <col min="25" max="30" width="8.44140625" customWidth="1"/>
    <col min="31" max="31" width="17.33203125" customWidth="1"/>
    <col min="32" max="32" width="15.6640625" customWidth="1"/>
    <col min="33" max="37" width="8.44140625" customWidth="1"/>
  </cols>
  <sheetData>
    <row r="1" spans="1:35" ht="63" x14ac:dyDescent="0.25">
      <c r="A1" s="282" t="s">
        <v>230</v>
      </c>
      <c r="B1" s="283" t="s">
        <v>501</v>
      </c>
      <c r="C1" s="284" t="s">
        <v>231</v>
      </c>
      <c r="D1" s="285" t="s">
        <v>232</v>
      </c>
      <c r="E1" s="285" t="s">
        <v>233</v>
      </c>
      <c r="F1" s="284" t="s">
        <v>234</v>
      </c>
      <c r="G1" s="284" t="s">
        <v>235</v>
      </c>
      <c r="H1" s="284" t="s">
        <v>236</v>
      </c>
      <c r="I1" s="284" t="s">
        <v>237</v>
      </c>
      <c r="J1" s="283" t="s">
        <v>501</v>
      </c>
      <c r="K1" s="285" t="s">
        <v>238</v>
      </c>
      <c r="L1" s="284" t="s">
        <v>234</v>
      </c>
      <c r="M1" s="284" t="s">
        <v>235</v>
      </c>
      <c r="N1" s="284" t="s">
        <v>236</v>
      </c>
      <c r="O1" s="284" t="s">
        <v>239</v>
      </c>
      <c r="P1" s="286" t="s">
        <v>240</v>
      </c>
      <c r="Q1" s="287" t="s">
        <v>502</v>
      </c>
      <c r="R1" s="71"/>
      <c r="U1" s="282" t="s">
        <v>230</v>
      </c>
      <c r="V1" s="283" t="s">
        <v>501</v>
      </c>
      <c r="W1" s="284" t="s">
        <v>231</v>
      </c>
      <c r="X1" s="284" t="s">
        <v>232</v>
      </c>
      <c r="Y1" s="285" t="s">
        <v>233</v>
      </c>
      <c r="Z1" s="284" t="s">
        <v>234</v>
      </c>
      <c r="AA1" s="284" t="s">
        <v>235</v>
      </c>
      <c r="AB1" s="284" t="s">
        <v>236</v>
      </c>
      <c r="AC1" s="284" t="s">
        <v>501</v>
      </c>
      <c r="AD1" s="285" t="s">
        <v>238</v>
      </c>
      <c r="AE1" s="284" t="s">
        <v>234</v>
      </c>
      <c r="AF1" s="284" t="s">
        <v>235</v>
      </c>
      <c r="AG1" s="284" t="s">
        <v>236</v>
      </c>
      <c r="AH1" s="285" t="s">
        <v>239</v>
      </c>
      <c r="AI1" s="288" t="s">
        <v>240</v>
      </c>
    </row>
    <row r="2" spans="1:35" ht="15.75" x14ac:dyDescent="0.25">
      <c r="A2" s="156" t="s">
        <v>241</v>
      </c>
      <c r="B2" s="157">
        <v>76</v>
      </c>
      <c r="C2" s="29" t="s">
        <v>242</v>
      </c>
      <c r="D2" s="98">
        <v>45006</v>
      </c>
      <c r="E2" s="71">
        <v>96.8</v>
      </c>
      <c r="F2" s="71">
        <v>1.82</v>
      </c>
      <c r="G2" s="29">
        <v>0.32</v>
      </c>
      <c r="H2" s="158">
        <v>6.1</v>
      </c>
      <c r="I2" s="159"/>
      <c r="J2" s="29"/>
      <c r="K2" s="29"/>
      <c r="L2" s="29"/>
      <c r="M2" s="29"/>
      <c r="N2" s="73"/>
      <c r="O2" s="147">
        <f t="shared" ref="O2:O4" si="0">E2*25</f>
        <v>2420</v>
      </c>
      <c r="P2" s="208"/>
      <c r="Q2" s="289">
        <f t="shared" ref="Q2:Q38" si="1">O2+P2</f>
        <v>2420</v>
      </c>
      <c r="T2" s="156" t="s">
        <v>241</v>
      </c>
      <c r="U2" s="157">
        <v>76</v>
      </c>
      <c r="V2" s="29" t="s">
        <v>242</v>
      </c>
      <c r="W2" s="98">
        <v>45006</v>
      </c>
      <c r="X2" s="71">
        <v>96.8</v>
      </c>
      <c r="Y2" s="71">
        <v>1.82</v>
      </c>
      <c r="Z2" s="29">
        <v>0.32</v>
      </c>
      <c r="AA2" s="158">
        <v>6.1</v>
      </c>
      <c r="AB2" s="29"/>
      <c r="AC2" s="29"/>
      <c r="AD2" s="29"/>
      <c r="AE2" s="29"/>
      <c r="AF2" s="161"/>
      <c r="AG2" s="155">
        <f t="shared" ref="AG2:AG11" si="2">X2*25</f>
        <v>2420</v>
      </c>
      <c r="AH2" s="212"/>
    </row>
    <row r="3" spans="1:35" ht="15.75" x14ac:dyDescent="0.25">
      <c r="A3" s="156" t="s">
        <v>243</v>
      </c>
      <c r="B3" s="157">
        <v>11</v>
      </c>
      <c r="C3" s="29" t="s">
        <v>244</v>
      </c>
      <c r="D3" s="98">
        <v>45224</v>
      </c>
      <c r="E3" s="71">
        <v>41.3</v>
      </c>
      <c r="F3" s="71">
        <v>2.0099999999999998</v>
      </c>
      <c r="G3" s="29">
        <v>0.52</v>
      </c>
      <c r="H3" s="158">
        <v>6.8</v>
      </c>
      <c r="I3" s="159"/>
      <c r="J3" s="29"/>
      <c r="K3" s="29"/>
      <c r="L3" s="29"/>
      <c r="M3" s="29"/>
      <c r="N3" s="73"/>
      <c r="O3" s="156">
        <f t="shared" si="0"/>
        <v>1032.5</v>
      </c>
      <c r="P3" s="212"/>
      <c r="Q3" s="289">
        <f t="shared" si="1"/>
        <v>1032.5</v>
      </c>
      <c r="T3" s="156" t="s">
        <v>243</v>
      </c>
      <c r="U3" s="157">
        <v>11</v>
      </c>
      <c r="V3" s="29" t="s">
        <v>244</v>
      </c>
      <c r="W3" s="98">
        <v>45224</v>
      </c>
      <c r="X3" s="71">
        <v>41.3</v>
      </c>
      <c r="Y3" s="71">
        <v>2.0099999999999998</v>
      </c>
      <c r="Z3" s="29">
        <v>0.52</v>
      </c>
      <c r="AA3" s="158">
        <v>6.8</v>
      </c>
      <c r="AB3" s="29"/>
      <c r="AC3" s="29"/>
      <c r="AD3" s="29"/>
      <c r="AE3" s="29"/>
      <c r="AF3" s="161"/>
      <c r="AG3" s="155">
        <f t="shared" si="2"/>
        <v>1032.5</v>
      </c>
      <c r="AH3" s="212"/>
    </row>
    <row r="4" spans="1:35" ht="15.75" x14ac:dyDescent="0.25">
      <c r="A4" s="156" t="s">
        <v>246</v>
      </c>
      <c r="B4" s="162">
        <v>10</v>
      </c>
      <c r="C4" s="29" t="s">
        <v>247</v>
      </c>
      <c r="D4" s="98">
        <v>45224</v>
      </c>
      <c r="E4" s="71">
        <v>63.9</v>
      </c>
      <c r="F4" s="71">
        <v>1.86</v>
      </c>
      <c r="G4" s="29">
        <v>0.62</v>
      </c>
      <c r="H4" s="158">
        <v>6.6</v>
      </c>
      <c r="I4" s="159"/>
      <c r="J4" s="29"/>
      <c r="K4" s="29"/>
      <c r="L4" s="29"/>
      <c r="M4" s="29"/>
      <c r="N4" s="73"/>
      <c r="O4" s="156">
        <f t="shared" si="0"/>
        <v>1597.5</v>
      </c>
      <c r="P4" s="212"/>
      <c r="Q4" s="289">
        <f t="shared" si="1"/>
        <v>1597.5</v>
      </c>
      <c r="T4" s="163" t="s">
        <v>246</v>
      </c>
      <c r="U4" s="290">
        <v>10</v>
      </c>
      <c r="V4" s="165" t="s">
        <v>247</v>
      </c>
      <c r="W4" s="166">
        <v>45224</v>
      </c>
      <c r="X4" s="193">
        <v>63.9</v>
      </c>
      <c r="Y4" s="193">
        <v>1.86</v>
      </c>
      <c r="Z4" s="165">
        <v>0.62</v>
      </c>
      <c r="AA4" s="194">
        <v>6.6</v>
      </c>
      <c r="AB4" s="165"/>
      <c r="AC4" s="165"/>
      <c r="AD4" s="165"/>
      <c r="AE4" s="165"/>
      <c r="AF4" s="167"/>
      <c r="AG4" s="291">
        <f t="shared" si="2"/>
        <v>1597.5</v>
      </c>
      <c r="AH4" s="236"/>
    </row>
    <row r="5" spans="1:35" ht="15.75" x14ac:dyDescent="0.25">
      <c r="A5" s="156" t="s">
        <v>249</v>
      </c>
      <c r="B5" s="157"/>
      <c r="C5" s="29"/>
      <c r="D5" s="98"/>
      <c r="E5" s="29"/>
      <c r="F5" s="29"/>
      <c r="G5" s="29"/>
      <c r="H5" s="161"/>
      <c r="I5" s="159"/>
      <c r="J5" s="29"/>
      <c r="K5" s="29"/>
      <c r="L5" s="29"/>
      <c r="M5" s="29"/>
      <c r="N5" s="73"/>
      <c r="O5" s="172"/>
      <c r="P5" s="212"/>
      <c r="Q5" s="289">
        <f t="shared" si="1"/>
        <v>0</v>
      </c>
      <c r="T5" s="169" t="s">
        <v>265</v>
      </c>
      <c r="U5" s="157">
        <v>12</v>
      </c>
      <c r="V5" s="29" t="s">
        <v>266</v>
      </c>
      <c r="W5" s="98">
        <v>45224</v>
      </c>
      <c r="X5" s="71">
        <v>42.3</v>
      </c>
      <c r="Y5" s="71">
        <v>1.58</v>
      </c>
      <c r="Z5" s="29">
        <v>0.61</v>
      </c>
      <c r="AA5" s="158">
        <v>7</v>
      </c>
      <c r="AB5" s="172"/>
      <c r="AC5" s="29"/>
      <c r="AD5" s="29"/>
      <c r="AE5" s="29"/>
      <c r="AF5" s="161"/>
      <c r="AG5" s="171">
        <f t="shared" si="2"/>
        <v>1057.5</v>
      </c>
      <c r="AH5" s="212"/>
    </row>
    <row r="6" spans="1:35" ht="15.75" x14ac:dyDescent="0.25">
      <c r="A6" s="156" t="s">
        <v>251</v>
      </c>
      <c r="B6" s="157"/>
      <c r="C6" s="29"/>
      <c r="D6" s="98"/>
      <c r="E6" s="29"/>
      <c r="F6" s="29"/>
      <c r="G6" s="29"/>
      <c r="H6" s="161"/>
      <c r="I6" s="159"/>
      <c r="J6" s="29"/>
      <c r="K6" s="29"/>
      <c r="L6" s="29"/>
      <c r="M6" s="29"/>
      <c r="N6" s="73"/>
      <c r="O6" s="172"/>
      <c r="P6" s="212"/>
      <c r="Q6" s="289">
        <f t="shared" si="1"/>
        <v>0</v>
      </c>
      <c r="T6" s="169" t="s">
        <v>268</v>
      </c>
      <c r="U6" s="157">
        <v>3</v>
      </c>
      <c r="V6" s="29" t="s">
        <v>269</v>
      </c>
      <c r="W6" s="98">
        <v>45223</v>
      </c>
      <c r="X6" s="71">
        <v>23.5</v>
      </c>
      <c r="Y6" s="71">
        <v>2.08</v>
      </c>
      <c r="Z6" s="29">
        <v>1.34</v>
      </c>
      <c r="AA6" s="158">
        <v>7.6</v>
      </c>
      <c r="AB6" s="172"/>
      <c r="AC6" s="29"/>
      <c r="AD6" s="29"/>
      <c r="AE6" s="29"/>
      <c r="AF6" s="161"/>
      <c r="AG6" s="171">
        <f t="shared" si="2"/>
        <v>587.5</v>
      </c>
      <c r="AH6" s="212"/>
    </row>
    <row r="7" spans="1:35" ht="15.75" x14ac:dyDescent="0.25">
      <c r="A7" s="156" t="s">
        <v>253</v>
      </c>
      <c r="B7" s="157"/>
      <c r="C7" s="29"/>
      <c r="D7" s="98"/>
      <c r="E7" s="29"/>
      <c r="F7" s="29"/>
      <c r="G7" s="29"/>
      <c r="H7" s="161"/>
      <c r="I7" s="159"/>
      <c r="J7" s="29"/>
      <c r="K7" s="29"/>
      <c r="L7" s="29"/>
      <c r="M7" s="29"/>
      <c r="N7" s="73"/>
      <c r="O7" s="172"/>
      <c r="P7" s="212"/>
      <c r="Q7" s="289">
        <f t="shared" si="1"/>
        <v>0</v>
      </c>
      <c r="T7" s="169" t="s">
        <v>270</v>
      </c>
      <c r="U7" s="157">
        <v>21</v>
      </c>
      <c r="V7" s="29" t="s">
        <v>271</v>
      </c>
      <c r="W7" s="98">
        <v>45229</v>
      </c>
      <c r="X7" s="71">
        <v>39.299999999999997</v>
      </c>
      <c r="Y7" s="71">
        <v>1.87</v>
      </c>
      <c r="Z7" s="29">
        <v>0.51</v>
      </c>
      <c r="AA7" s="158">
        <v>6.8</v>
      </c>
      <c r="AB7" s="172"/>
      <c r="AC7" s="29"/>
      <c r="AD7" s="29"/>
      <c r="AE7" s="29"/>
      <c r="AF7" s="161"/>
      <c r="AG7" s="171">
        <f t="shared" si="2"/>
        <v>982.49999999999989</v>
      </c>
      <c r="AH7" s="212"/>
    </row>
    <row r="8" spans="1:35" ht="15.75" x14ac:dyDescent="0.25">
      <c r="A8" s="156" t="s">
        <v>255</v>
      </c>
      <c r="B8" s="157"/>
      <c r="C8" s="29"/>
      <c r="D8" s="98"/>
      <c r="E8" s="29"/>
      <c r="F8" s="29"/>
      <c r="G8" s="29"/>
      <c r="H8" s="161"/>
      <c r="I8" s="159"/>
      <c r="J8" s="29"/>
      <c r="K8" s="29"/>
      <c r="L8" s="29"/>
      <c r="M8" s="29"/>
      <c r="N8" s="73"/>
      <c r="O8" s="172"/>
      <c r="P8" s="212"/>
      <c r="Q8" s="289">
        <f t="shared" si="1"/>
        <v>0</v>
      </c>
      <c r="T8" s="292" t="s">
        <v>286</v>
      </c>
      <c r="U8" s="164">
        <v>20</v>
      </c>
      <c r="V8" s="165" t="s">
        <v>287</v>
      </c>
      <c r="W8" s="166">
        <v>45229</v>
      </c>
      <c r="X8" s="193">
        <v>78.400000000000006</v>
      </c>
      <c r="Y8" s="193">
        <v>1.9</v>
      </c>
      <c r="Z8" s="165">
        <v>0.62</v>
      </c>
      <c r="AA8" s="194">
        <v>7.5</v>
      </c>
      <c r="AB8" s="173"/>
      <c r="AC8" s="165"/>
      <c r="AD8" s="165"/>
      <c r="AE8" s="165"/>
      <c r="AF8" s="167"/>
      <c r="AG8" s="293">
        <f t="shared" si="2"/>
        <v>1960.0000000000002</v>
      </c>
      <c r="AH8" s="236"/>
    </row>
    <row r="9" spans="1:35" ht="15.75" x14ac:dyDescent="0.25">
      <c r="A9" s="156" t="s">
        <v>257</v>
      </c>
      <c r="B9" s="157"/>
      <c r="C9" s="29"/>
      <c r="D9" s="98"/>
      <c r="E9" s="29"/>
      <c r="F9" s="29"/>
      <c r="G9" s="29"/>
      <c r="H9" s="161"/>
      <c r="I9" s="159"/>
      <c r="J9" s="29"/>
      <c r="K9" s="29"/>
      <c r="L9" s="29"/>
      <c r="M9" s="29"/>
      <c r="N9" s="73"/>
      <c r="O9" s="172"/>
      <c r="P9" s="212"/>
      <c r="Q9" s="289">
        <f t="shared" si="1"/>
        <v>0</v>
      </c>
      <c r="T9" s="276" t="s">
        <v>289</v>
      </c>
      <c r="U9" s="148">
        <v>23</v>
      </c>
      <c r="V9" s="149" t="s">
        <v>290</v>
      </c>
      <c r="W9" s="150">
        <v>45229</v>
      </c>
      <c r="X9" s="151">
        <v>15.6</v>
      </c>
      <c r="Y9" s="151">
        <v>1.91</v>
      </c>
      <c r="Z9" s="149">
        <v>1.17</v>
      </c>
      <c r="AA9" s="294">
        <v>7</v>
      </c>
      <c r="AB9" s="170" t="s">
        <v>291</v>
      </c>
      <c r="AC9" s="151">
        <v>66.7</v>
      </c>
      <c r="AD9" s="151">
        <v>1.43</v>
      </c>
      <c r="AE9" s="149">
        <v>0.69</v>
      </c>
      <c r="AF9" s="295">
        <v>8</v>
      </c>
      <c r="AG9" s="170">
        <f t="shared" si="2"/>
        <v>390</v>
      </c>
      <c r="AH9" s="296">
        <f t="shared" ref="AH9:AH10" si="3">AC9*25</f>
        <v>1667.5</v>
      </c>
    </row>
    <row r="10" spans="1:35" ht="15.75" x14ac:dyDescent="0.25">
      <c r="A10" s="156" t="s">
        <v>260</v>
      </c>
      <c r="B10" s="157">
        <v>68</v>
      </c>
      <c r="C10" s="29" t="s">
        <v>261</v>
      </c>
      <c r="D10" s="98">
        <v>45188</v>
      </c>
      <c r="E10" s="29">
        <v>175</v>
      </c>
      <c r="F10" s="29">
        <v>1.96</v>
      </c>
      <c r="G10" s="29">
        <v>0.85</v>
      </c>
      <c r="H10" s="161">
        <v>5.4</v>
      </c>
      <c r="I10" s="159"/>
      <c r="J10" s="29"/>
      <c r="K10" s="29"/>
      <c r="L10" s="29"/>
      <c r="M10" s="29"/>
      <c r="N10" s="73"/>
      <c r="O10" s="172"/>
      <c r="P10" s="212"/>
      <c r="Q10" s="289">
        <f t="shared" si="1"/>
        <v>0</v>
      </c>
      <c r="T10" s="274" t="s">
        <v>292</v>
      </c>
      <c r="U10" s="157">
        <v>15</v>
      </c>
      <c r="V10" s="29" t="s">
        <v>293</v>
      </c>
      <c r="W10" s="98">
        <v>45224</v>
      </c>
      <c r="X10" s="71">
        <v>21.9</v>
      </c>
      <c r="Y10" s="71">
        <v>2.0099999999999998</v>
      </c>
      <c r="Z10" s="29">
        <v>0.68</v>
      </c>
      <c r="AA10" s="182">
        <v>8.4</v>
      </c>
      <c r="AB10" s="172" t="s">
        <v>294</v>
      </c>
      <c r="AC10" s="29">
        <v>65.8</v>
      </c>
      <c r="AD10" s="29">
        <v>1.46</v>
      </c>
      <c r="AE10" s="29">
        <v>0.61</v>
      </c>
      <c r="AF10" s="297">
        <v>8.3000000000000007</v>
      </c>
      <c r="AG10" s="298">
        <f t="shared" si="2"/>
        <v>547.5</v>
      </c>
      <c r="AH10" s="299">
        <f t="shared" si="3"/>
        <v>1645</v>
      </c>
    </row>
    <row r="11" spans="1:35" ht="15.75" x14ac:dyDescent="0.25">
      <c r="A11" s="163" t="s">
        <v>262</v>
      </c>
      <c r="B11" s="164"/>
      <c r="C11" s="165"/>
      <c r="D11" s="166"/>
      <c r="E11" s="165"/>
      <c r="F11" s="165"/>
      <c r="G11" s="165"/>
      <c r="H11" s="167"/>
      <c r="I11" s="168"/>
      <c r="J11" s="29"/>
      <c r="K11" s="29"/>
      <c r="L11" s="29"/>
      <c r="M11" s="29"/>
      <c r="N11" s="73"/>
      <c r="O11" s="173"/>
      <c r="P11" s="236"/>
      <c r="Q11" s="300">
        <f t="shared" si="1"/>
        <v>0</v>
      </c>
      <c r="T11" s="274" t="s">
        <v>297</v>
      </c>
      <c r="U11" s="157">
        <v>4</v>
      </c>
      <c r="V11" s="29" t="s">
        <v>298</v>
      </c>
      <c r="W11" s="98">
        <v>45223</v>
      </c>
      <c r="X11" s="71">
        <v>22.3</v>
      </c>
      <c r="Y11" s="71">
        <v>1.91</v>
      </c>
      <c r="Z11" s="29">
        <v>0.86</v>
      </c>
      <c r="AA11" s="182">
        <v>7.5</v>
      </c>
      <c r="AB11" s="172"/>
      <c r="AC11" s="29"/>
      <c r="AD11" s="29"/>
      <c r="AE11" s="29"/>
      <c r="AF11" s="73"/>
      <c r="AG11" s="298">
        <f t="shared" si="2"/>
        <v>557.5</v>
      </c>
      <c r="AH11" s="212"/>
    </row>
    <row r="12" spans="1:35" ht="15.75" x14ac:dyDescent="0.25">
      <c r="A12" s="169" t="s">
        <v>265</v>
      </c>
      <c r="B12" s="157">
        <v>12</v>
      </c>
      <c r="C12" s="29" t="s">
        <v>266</v>
      </c>
      <c r="D12" s="98">
        <v>45224</v>
      </c>
      <c r="E12" s="71">
        <v>42.3</v>
      </c>
      <c r="F12" s="71">
        <v>1.58</v>
      </c>
      <c r="G12" s="29">
        <v>0.61</v>
      </c>
      <c r="H12" s="158">
        <v>7</v>
      </c>
      <c r="I12" s="170"/>
      <c r="J12" s="170"/>
      <c r="K12" s="149"/>
      <c r="L12" s="149"/>
      <c r="M12" s="149"/>
      <c r="N12" s="154"/>
      <c r="O12" s="301">
        <f t="shared" ref="O12:O14" si="4">E12*25</f>
        <v>1057.5</v>
      </c>
      <c r="P12" s="208"/>
      <c r="Q12" s="302">
        <f t="shared" si="1"/>
        <v>1057.5</v>
      </c>
      <c r="T12" s="281" t="s">
        <v>299</v>
      </c>
      <c r="U12" s="290">
        <v>10</v>
      </c>
      <c r="V12" s="165" t="s">
        <v>300</v>
      </c>
      <c r="W12" s="166">
        <v>45189</v>
      </c>
      <c r="X12" s="193">
        <v>15.6</v>
      </c>
      <c r="Y12" s="193">
        <v>1.99</v>
      </c>
      <c r="Z12" s="165">
        <v>0.66</v>
      </c>
      <c r="AA12" s="303">
        <v>7.9</v>
      </c>
      <c r="AB12" s="165"/>
      <c r="AC12" s="165"/>
      <c r="AD12" s="165"/>
      <c r="AE12" s="165"/>
      <c r="AF12" s="165"/>
      <c r="AG12" s="304"/>
      <c r="AH12" s="236">
        <f>X12*25</f>
        <v>390</v>
      </c>
    </row>
    <row r="13" spans="1:35" ht="15.75" x14ac:dyDescent="0.25">
      <c r="A13" s="169" t="s">
        <v>268</v>
      </c>
      <c r="B13" s="157">
        <v>3</v>
      </c>
      <c r="C13" s="29" t="s">
        <v>269</v>
      </c>
      <c r="D13" s="98">
        <v>45223</v>
      </c>
      <c r="E13" s="71">
        <v>23.5</v>
      </c>
      <c r="F13" s="71">
        <v>2.08</v>
      </c>
      <c r="G13" s="29">
        <v>1.34</v>
      </c>
      <c r="H13" s="158">
        <v>7.6</v>
      </c>
      <c r="I13" s="172">
        <v>5.7</v>
      </c>
      <c r="J13" s="172"/>
      <c r="K13" s="29"/>
      <c r="L13" s="29"/>
      <c r="M13" s="29"/>
      <c r="N13" s="161"/>
      <c r="O13" s="305">
        <f t="shared" si="4"/>
        <v>587.5</v>
      </c>
      <c r="P13" s="212"/>
      <c r="Q13" s="306">
        <f t="shared" si="1"/>
        <v>587.5</v>
      </c>
      <c r="T13" s="190" t="s">
        <v>313</v>
      </c>
      <c r="U13" s="157">
        <v>85</v>
      </c>
      <c r="V13" s="29" t="s">
        <v>314</v>
      </c>
      <c r="W13" s="98">
        <v>45056</v>
      </c>
      <c r="X13" s="71">
        <v>13.8</v>
      </c>
      <c r="Y13" s="71">
        <v>1.9</v>
      </c>
      <c r="Z13" s="29">
        <v>0.7</v>
      </c>
      <c r="AA13" s="158">
        <v>8.8000000000000007</v>
      </c>
      <c r="AB13" s="29"/>
      <c r="AC13" s="29"/>
      <c r="AD13" s="29"/>
      <c r="AE13" s="29"/>
      <c r="AF13" s="73"/>
      <c r="AG13" s="170">
        <f t="shared" ref="AG13:AG15" si="5">X13*25</f>
        <v>345</v>
      </c>
      <c r="AH13" s="208"/>
    </row>
    <row r="14" spans="1:35" ht="15.75" x14ac:dyDescent="0.25">
      <c r="A14" s="169" t="s">
        <v>270</v>
      </c>
      <c r="B14" s="157">
        <v>21</v>
      </c>
      <c r="C14" s="29" t="s">
        <v>271</v>
      </c>
      <c r="D14" s="98">
        <v>45229</v>
      </c>
      <c r="E14" s="71">
        <v>39.299999999999997</v>
      </c>
      <c r="F14" s="71">
        <v>1.87</v>
      </c>
      <c r="G14" s="29">
        <v>0.51</v>
      </c>
      <c r="H14" s="158">
        <v>6.8</v>
      </c>
      <c r="I14" s="172"/>
      <c r="J14" s="172"/>
      <c r="K14" s="29"/>
      <c r="L14" s="29"/>
      <c r="M14" s="29"/>
      <c r="N14" s="161"/>
      <c r="O14" s="305">
        <f t="shared" si="4"/>
        <v>982.49999999999989</v>
      </c>
      <c r="P14" s="212"/>
      <c r="Q14" s="306">
        <f t="shared" si="1"/>
        <v>982.49999999999989</v>
      </c>
      <c r="T14" s="190" t="s">
        <v>317</v>
      </c>
      <c r="U14" s="157">
        <v>16</v>
      </c>
      <c r="V14" s="29" t="s">
        <v>318</v>
      </c>
      <c r="W14" s="98">
        <v>45224</v>
      </c>
      <c r="X14" s="71">
        <v>11.3</v>
      </c>
      <c r="Y14" s="71">
        <v>1.78</v>
      </c>
      <c r="Z14" s="29">
        <v>0.62</v>
      </c>
      <c r="AA14" s="158">
        <v>6.9</v>
      </c>
      <c r="AB14" s="29"/>
      <c r="AC14" s="29"/>
      <c r="AD14" s="29"/>
      <c r="AE14" s="29"/>
      <c r="AF14" s="73"/>
      <c r="AG14" s="172">
        <f t="shared" si="5"/>
        <v>282.5</v>
      </c>
      <c r="AH14" s="212"/>
    </row>
    <row r="15" spans="1:35" ht="15.75" x14ac:dyDescent="0.25">
      <c r="A15" s="169" t="s">
        <v>273</v>
      </c>
      <c r="B15" s="157">
        <v>77</v>
      </c>
      <c r="C15" s="29" t="s">
        <v>274</v>
      </c>
      <c r="D15" s="98">
        <v>45061</v>
      </c>
      <c r="E15" s="29">
        <v>9.9</v>
      </c>
      <c r="F15" s="29">
        <v>1.75</v>
      </c>
      <c r="G15" s="29">
        <v>0.42</v>
      </c>
      <c r="H15" s="161">
        <v>5.8</v>
      </c>
      <c r="I15" s="172"/>
      <c r="J15" s="172"/>
      <c r="K15" s="29"/>
      <c r="L15" s="29"/>
      <c r="M15" s="29"/>
      <c r="N15" s="161"/>
      <c r="O15" s="172"/>
      <c r="P15" s="212"/>
      <c r="Q15" s="306">
        <f t="shared" si="1"/>
        <v>0</v>
      </c>
      <c r="T15" s="190" t="s">
        <v>320</v>
      </c>
      <c r="U15" s="157">
        <v>6</v>
      </c>
      <c r="V15" s="29" t="s">
        <v>321</v>
      </c>
      <c r="W15" s="98">
        <v>45223</v>
      </c>
      <c r="X15" s="71">
        <v>25.7</v>
      </c>
      <c r="Y15" s="71">
        <v>2.0099999999999998</v>
      </c>
      <c r="Z15" s="29">
        <v>0.63</v>
      </c>
      <c r="AA15" s="158">
        <v>7</v>
      </c>
      <c r="AB15" s="29"/>
      <c r="AC15" s="29"/>
      <c r="AD15" s="29"/>
      <c r="AE15" s="29"/>
      <c r="AF15" s="73"/>
      <c r="AG15" s="190">
        <f t="shared" si="5"/>
        <v>642.5</v>
      </c>
      <c r="AH15" s="212"/>
    </row>
    <row r="16" spans="1:35" ht="15.75" x14ac:dyDescent="0.25">
      <c r="A16" s="169" t="s">
        <v>275</v>
      </c>
      <c r="B16" s="157">
        <v>2</v>
      </c>
      <c r="C16" s="29" t="s">
        <v>276</v>
      </c>
      <c r="D16" s="98">
        <v>45223</v>
      </c>
      <c r="E16" s="29">
        <v>19.100000000000001</v>
      </c>
      <c r="F16" s="29">
        <v>1.99</v>
      </c>
      <c r="G16" s="29">
        <v>0.67</v>
      </c>
      <c r="H16" s="161">
        <v>5.6</v>
      </c>
      <c r="I16" s="172"/>
      <c r="J16" s="172"/>
      <c r="K16" s="29"/>
      <c r="L16" s="29"/>
      <c r="M16" s="29"/>
      <c r="N16" s="161"/>
      <c r="O16" s="172"/>
      <c r="P16" s="212"/>
      <c r="Q16" s="306">
        <f t="shared" si="1"/>
        <v>0</v>
      </c>
      <c r="T16" s="192" t="s">
        <v>326</v>
      </c>
      <c r="U16" s="164">
        <v>17</v>
      </c>
      <c r="V16" s="165" t="s">
        <v>327</v>
      </c>
      <c r="W16" s="166">
        <v>45224</v>
      </c>
      <c r="X16" s="165"/>
      <c r="Y16" s="165"/>
      <c r="Z16" s="165"/>
      <c r="AA16" s="167"/>
      <c r="AB16" s="165" t="s">
        <v>328</v>
      </c>
      <c r="AC16" s="193">
        <v>21.7</v>
      </c>
      <c r="AD16" s="193">
        <v>1.7</v>
      </c>
      <c r="AE16" s="165">
        <v>0.64</v>
      </c>
      <c r="AF16" s="303">
        <v>6.4</v>
      </c>
      <c r="AG16" s="173"/>
      <c r="AH16" s="307">
        <f>AC16*25</f>
        <v>542.5</v>
      </c>
    </row>
    <row r="17" spans="1:20" x14ac:dyDescent="0.2">
      <c r="A17" s="169" t="s">
        <v>277</v>
      </c>
      <c r="B17" s="157"/>
      <c r="C17" s="29"/>
      <c r="D17" s="98"/>
      <c r="E17" s="29"/>
      <c r="F17" s="29"/>
      <c r="G17" s="29"/>
      <c r="H17" s="161"/>
      <c r="I17" s="172"/>
      <c r="J17" s="172"/>
      <c r="K17" s="29"/>
      <c r="L17" s="29"/>
      <c r="M17" s="29"/>
      <c r="N17" s="161"/>
      <c r="O17" s="172"/>
      <c r="P17" s="212"/>
      <c r="Q17" s="306">
        <f t="shared" si="1"/>
        <v>0</v>
      </c>
    </row>
    <row r="18" spans="1:20" x14ac:dyDescent="0.2">
      <c r="A18" s="169" t="s">
        <v>280</v>
      </c>
      <c r="B18" s="157"/>
      <c r="C18" s="29"/>
      <c r="D18" s="98"/>
      <c r="E18" s="29"/>
      <c r="F18" s="29"/>
      <c r="G18" s="29"/>
      <c r="H18" s="161"/>
      <c r="I18" s="172"/>
      <c r="J18" s="172"/>
      <c r="K18" s="29"/>
      <c r="L18" s="29"/>
      <c r="M18" s="29"/>
      <c r="N18" s="161"/>
      <c r="O18" s="172"/>
      <c r="P18" s="212"/>
      <c r="Q18" s="306">
        <f t="shared" si="1"/>
        <v>0</v>
      </c>
      <c r="T18" s="29" t="s">
        <v>503</v>
      </c>
    </row>
    <row r="19" spans="1:20" x14ac:dyDescent="0.2">
      <c r="A19" s="169" t="s">
        <v>282</v>
      </c>
      <c r="B19" s="157"/>
      <c r="C19" s="29"/>
      <c r="D19" s="98"/>
      <c r="E19" s="29"/>
      <c r="F19" s="29"/>
      <c r="G19" s="29"/>
      <c r="H19" s="161"/>
      <c r="I19" s="172"/>
      <c r="J19" s="172"/>
      <c r="K19" s="29"/>
      <c r="L19" s="29"/>
      <c r="M19" s="29"/>
      <c r="N19" s="161"/>
      <c r="O19" s="172"/>
      <c r="P19" s="212"/>
      <c r="Q19" s="306">
        <f t="shared" si="1"/>
        <v>0</v>
      </c>
    </row>
    <row r="20" spans="1:20" x14ac:dyDescent="0.2">
      <c r="A20" s="169" t="s">
        <v>284</v>
      </c>
      <c r="B20" s="157"/>
      <c r="C20" s="29"/>
      <c r="D20" s="98"/>
      <c r="E20" s="29"/>
      <c r="F20" s="29"/>
      <c r="G20" s="29"/>
      <c r="H20" s="161"/>
      <c r="I20" s="172"/>
      <c r="J20" s="172"/>
      <c r="K20" s="29"/>
      <c r="L20" s="29"/>
      <c r="M20" s="29"/>
      <c r="N20" s="161"/>
      <c r="O20" s="172"/>
      <c r="P20" s="212"/>
      <c r="Q20" s="306">
        <f t="shared" si="1"/>
        <v>0</v>
      </c>
    </row>
    <row r="21" spans="1:20" ht="15.75" customHeight="1" x14ac:dyDescent="0.25">
      <c r="A21" s="169" t="s">
        <v>286</v>
      </c>
      <c r="B21" s="157">
        <v>20</v>
      </c>
      <c r="C21" s="29" t="s">
        <v>287</v>
      </c>
      <c r="D21" s="98">
        <v>45229</v>
      </c>
      <c r="E21" s="71">
        <v>78.400000000000006</v>
      </c>
      <c r="F21" s="71">
        <v>1.9</v>
      </c>
      <c r="G21" s="29">
        <v>0.62</v>
      </c>
      <c r="H21" s="158">
        <v>7.5</v>
      </c>
      <c r="I21" s="173"/>
      <c r="J21" s="173" t="s">
        <v>288</v>
      </c>
      <c r="K21" s="165">
        <v>15.8</v>
      </c>
      <c r="L21" s="165">
        <v>1.78</v>
      </c>
      <c r="M21" s="165">
        <v>0.67</v>
      </c>
      <c r="N21" s="167">
        <v>5.2</v>
      </c>
      <c r="O21" s="308">
        <f t="shared" ref="O21:O23" si="6">E21*25</f>
        <v>1960.0000000000002</v>
      </c>
      <c r="P21" s="236"/>
      <c r="Q21" s="309">
        <f t="shared" si="1"/>
        <v>1960.0000000000002</v>
      </c>
    </row>
    <row r="22" spans="1:20" ht="15.75" customHeight="1" x14ac:dyDescent="0.25">
      <c r="A22" s="276" t="s">
        <v>289</v>
      </c>
      <c r="B22" s="148">
        <v>23</v>
      </c>
      <c r="C22" s="149" t="s">
        <v>290</v>
      </c>
      <c r="D22" s="150">
        <v>45229</v>
      </c>
      <c r="E22" s="151">
        <v>15.6</v>
      </c>
      <c r="F22" s="151">
        <v>1.91</v>
      </c>
      <c r="G22" s="149">
        <v>1.17</v>
      </c>
      <c r="H22" s="152">
        <v>7</v>
      </c>
      <c r="I22" s="149"/>
      <c r="J22" s="170" t="s">
        <v>291</v>
      </c>
      <c r="K22" s="151">
        <v>66.7</v>
      </c>
      <c r="L22" s="151">
        <v>1.43</v>
      </c>
      <c r="M22" s="149">
        <v>0.69</v>
      </c>
      <c r="N22" s="152">
        <v>8</v>
      </c>
      <c r="O22" s="170">
        <f t="shared" si="6"/>
        <v>390</v>
      </c>
      <c r="P22" s="296">
        <f t="shared" ref="P22:P23" si="7">K22*25</f>
        <v>1667.5</v>
      </c>
      <c r="Q22" s="310">
        <f t="shared" si="1"/>
        <v>2057.5</v>
      </c>
    </row>
    <row r="23" spans="1:20" ht="15.75" customHeight="1" x14ac:dyDescent="0.25">
      <c r="A23" s="274" t="s">
        <v>292</v>
      </c>
      <c r="B23" s="157">
        <v>15</v>
      </c>
      <c r="C23" s="29" t="s">
        <v>293</v>
      </c>
      <c r="D23" s="98">
        <v>45224</v>
      </c>
      <c r="E23" s="71">
        <v>21.9</v>
      </c>
      <c r="F23" s="71">
        <v>2.0099999999999998</v>
      </c>
      <c r="G23" s="29">
        <v>0.68</v>
      </c>
      <c r="H23" s="158">
        <v>8.4</v>
      </c>
      <c r="I23" s="29"/>
      <c r="J23" s="172" t="s">
        <v>294</v>
      </c>
      <c r="K23" s="29">
        <v>65.8</v>
      </c>
      <c r="L23" s="29">
        <v>1.46</v>
      </c>
      <c r="M23" s="29">
        <v>0.61</v>
      </c>
      <c r="N23" s="158">
        <v>8.3000000000000007</v>
      </c>
      <c r="O23" s="298">
        <f t="shared" si="6"/>
        <v>547.5</v>
      </c>
      <c r="P23" s="299">
        <f t="shared" si="7"/>
        <v>1645</v>
      </c>
      <c r="Q23" s="311">
        <f t="shared" si="1"/>
        <v>2192.5</v>
      </c>
    </row>
    <row r="24" spans="1:20" ht="15.75" customHeight="1" x14ac:dyDescent="0.2">
      <c r="A24" s="274" t="s">
        <v>295</v>
      </c>
      <c r="B24" s="157">
        <v>84</v>
      </c>
      <c r="C24" s="29" t="s">
        <v>296</v>
      </c>
      <c r="D24" s="98">
        <v>45056</v>
      </c>
      <c r="E24" s="29">
        <v>14.4</v>
      </c>
      <c r="F24" s="29">
        <v>1.78</v>
      </c>
      <c r="G24" s="29">
        <v>0.52</v>
      </c>
      <c r="H24" s="161">
        <v>5.3</v>
      </c>
      <c r="I24" s="29"/>
      <c r="J24" s="172"/>
      <c r="K24" s="29"/>
      <c r="L24" s="29"/>
      <c r="M24" s="29"/>
      <c r="N24" s="161"/>
      <c r="O24" s="172"/>
      <c r="P24" s="212"/>
      <c r="Q24" s="311">
        <f t="shared" si="1"/>
        <v>0</v>
      </c>
    </row>
    <row r="25" spans="1:20" ht="15.75" customHeight="1" x14ac:dyDescent="0.25">
      <c r="A25" s="274" t="s">
        <v>297</v>
      </c>
      <c r="B25" s="157">
        <v>4</v>
      </c>
      <c r="C25" s="29" t="s">
        <v>298</v>
      </c>
      <c r="D25" s="98">
        <v>45223</v>
      </c>
      <c r="E25" s="71">
        <v>22.3</v>
      </c>
      <c r="F25" s="71">
        <v>1.91</v>
      </c>
      <c r="G25" s="29">
        <v>0.86</v>
      </c>
      <c r="H25" s="158">
        <v>7.5</v>
      </c>
      <c r="I25" s="29">
        <v>5.8</v>
      </c>
      <c r="J25" s="172"/>
      <c r="K25" s="29"/>
      <c r="L25" s="29"/>
      <c r="M25" s="29"/>
      <c r="N25" s="161"/>
      <c r="O25" s="298">
        <f t="shared" ref="O25:O26" si="8">E25*25</f>
        <v>557.5</v>
      </c>
      <c r="P25" s="212"/>
      <c r="Q25" s="311">
        <f t="shared" si="1"/>
        <v>557.5</v>
      </c>
    </row>
    <row r="26" spans="1:20" ht="15.75" customHeight="1" x14ac:dyDescent="0.25">
      <c r="A26" s="274" t="s">
        <v>299</v>
      </c>
      <c r="B26" s="162">
        <v>10</v>
      </c>
      <c r="C26" s="29" t="s">
        <v>300</v>
      </c>
      <c r="D26" s="98">
        <v>45189</v>
      </c>
      <c r="E26" s="71">
        <v>15.6</v>
      </c>
      <c r="F26" s="71">
        <v>1.99</v>
      </c>
      <c r="G26" s="29">
        <v>0.66</v>
      </c>
      <c r="H26" s="158">
        <v>7.9</v>
      </c>
      <c r="I26" s="29"/>
      <c r="J26" s="172"/>
      <c r="K26" s="29"/>
      <c r="L26" s="29"/>
      <c r="M26" s="29"/>
      <c r="N26" s="161"/>
      <c r="O26" s="172">
        <f t="shared" si="8"/>
        <v>390</v>
      </c>
      <c r="P26" s="212"/>
      <c r="Q26" s="311">
        <f t="shared" si="1"/>
        <v>390</v>
      </c>
    </row>
    <row r="27" spans="1:20" ht="15.75" customHeight="1" x14ac:dyDescent="0.2">
      <c r="A27" s="274" t="s">
        <v>301</v>
      </c>
      <c r="B27" s="157"/>
      <c r="C27" s="29"/>
      <c r="D27" s="98"/>
      <c r="E27" s="29"/>
      <c r="F27" s="29"/>
      <c r="G27" s="29"/>
      <c r="H27" s="161"/>
      <c r="I27" s="29"/>
      <c r="J27" s="172"/>
      <c r="K27" s="29"/>
      <c r="L27" s="29"/>
      <c r="M27" s="29"/>
      <c r="N27" s="161"/>
      <c r="O27" s="172"/>
      <c r="P27" s="212"/>
      <c r="Q27" s="311">
        <f t="shared" si="1"/>
        <v>0</v>
      </c>
    </row>
    <row r="28" spans="1:20" ht="15.75" customHeight="1" x14ac:dyDescent="0.2">
      <c r="A28" s="274" t="s">
        <v>303</v>
      </c>
      <c r="B28" s="157"/>
      <c r="C28" s="29"/>
      <c r="D28" s="98"/>
      <c r="E28" s="29"/>
      <c r="F28" s="29"/>
      <c r="G28" s="29"/>
      <c r="H28" s="161"/>
      <c r="I28" s="29"/>
      <c r="J28" s="184"/>
      <c r="K28" s="29"/>
      <c r="L28" s="29"/>
      <c r="M28" s="29"/>
      <c r="N28" s="161"/>
      <c r="O28" s="172"/>
      <c r="P28" s="212"/>
      <c r="Q28" s="311">
        <f t="shared" si="1"/>
        <v>0</v>
      </c>
    </row>
    <row r="29" spans="1:20" ht="15.75" customHeight="1" x14ac:dyDescent="0.2">
      <c r="A29" s="274" t="s">
        <v>305</v>
      </c>
      <c r="B29" s="157"/>
      <c r="C29" s="29"/>
      <c r="D29" s="98"/>
      <c r="E29" s="29"/>
      <c r="F29" s="29"/>
      <c r="G29" s="29"/>
      <c r="H29" s="161"/>
      <c r="I29" s="29"/>
      <c r="J29" s="172"/>
      <c r="K29" s="29"/>
      <c r="L29" s="29"/>
      <c r="M29" s="29"/>
      <c r="N29" s="161"/>
      <c r="O29" s="172"/>
      <c r="P29" s="212"/>
      <c r="Q29" s="311">
        <f t="shared" si="1"/>
        <v>0</v>
      </c>
    </row>
    <row r="30" spans="1:20" ht="15.75" customHeight="1" x14ac:dyDescent="0.2">
      <c r="A30" s="274" t="s">
        <v>308</v>
      </c>
      <c r="B30" s="157">
        <v>14</v>
      </c>
      <c r="C30" s="29" t="s">
        <v>309</v>
      </c>
      <c r="D30" s="98">
        <v>45224</v>
      </c>
      <c r="E30" s="29">
        <v>29.7</v>
      </c>
      <c r="F30" s="29">
        <v>1.9</v>
      </c>
      <c r="G30" s="29">
        <v>0.47</v>
      </c>
      <c r="H30" s="161">
        <v>5.7</v>
      </c>
      <c r="I30" s="29"/>
      <c r="J30" s="172"/>
      <c r="K30" s="29"/>
      <c r="L30" s="29"/>
      <c r="M30" s="29"/>
      <c r="N30" s="161"/>
      <c r="O30" s="172">
        <f>E30*25</f>
        <v>742.5</v>
      </c>
      <c r="P30" s="212"/>
      <c r="Q30" s="311">
        <f t="shared" si="1"/>
        <v>742.5</v>
      </c>
    </row>
    <row r="31" spans="1:20" ht="15.75" customHeight="1" x14ac:dyDescent="0.2">
      <c r="A31" s="281" t="s">
        <v>311</v>
      </c>
      <c r="B31" s="164"/>
      <c r="C31" s="165"/>
      <c r="D31" s="166"/>
      <c r="E31" s="165"/>
      <c r="F31" s="165"/>
      <c r="G31" s="165"/>
      <c r="H31" s="167"/>
      <c r="I31" s="165"/>
      <c r="J31" s="173"/>
      <c r="K31" s="165"/>
      <c r="L31" s="165"/>
      <c r="M31" s="165"/>
      <c r="N31" s="167"/>
      <c r="O31" s="173"/>
      <c r="P31" s="236"/>
      <c r="Q31" s="312">
        <f t="shared" si="1"/>
        <v>0</v>
      </c>
    </row>
    <row r="32" spans="1:20" ht="15.75" customHeight="1" x14ac:dyDescent="0.25">
      <c r="A32" s="190" t="s">
        <v>313</v>
      </c>
      <c r="B32" s="157">
        <v>85</v>
      </c>
      <c r="C32" s="29" t="s">
        <v>314</v>
      </c>
      <c r="D32" s="98">
        <v>45056</v>
      </c>
      <c r="E32" s="71">
        <v>13.8</v>
      </c>
      <c r="F32" s="71">
        <v>1.9</v>
      </c>
      <c r="G32" s="29">
        <v>0.7</v>
      </c>
      <c r="H32" s="158">
        <v>8.8000000000000007</v>
      </c>
      <c r="I32" s="153"/>
      <c r="J32" s="29"/>
      <c r="K32" s="29"/>
      <c r="L32" s="29"/>
      <c r="M32" s="29"/>
      <c r="N32" s="73"/>
      <c r="O32" s="170">
        <f>E32*25</f>
        <v>345</v>
      </c>
      <c r="P32" s="208"/>
      <c r="Q32" s="313">
        <f t="shared" si="1"/>
        <v>345</v>
      </c>
    </row>
    <row r="33" spans="1:17" ht="15.75" customHeight="1" x14ac:dyDescent="0.2">
      <c r="A33" s="190" t="s">
        <v>315</v>
      </c>
      <c r="B33" s="157"/>
      <c r="C33" s="29"/>
      <c r="D33" s="98"/>
      <c r="E33" s="29"/>
      <c r="F33" s="29"/>
      <c r="G33" s="29"/>
      <c r="H33" s="161"/>
      <c r="I33" s="159"/>
      <c r="J33" s="29"/>
      <c r="K33" s="29"/>
      <c r="L33" s="29"/>
      <c r="M33" s="29"/>
      <c r="N33" s="73"/>
      <c r="O33" s="172"/>
      <c r="P33" s="212"/>
      <c r="Q33" s="314">
        <f t="shared" si="1"/>
        <v>0</v>
      </c>
    </row>
    <row r="34" spans="1:17" ht="15.75" customHeight="1" x14ac:dyDescent="0.25">
      <c r="A34" s="190" t="s">
        <v>317</v>
      </c>
      <c r="B34" s="157">
        <v>16</v>
      </c>
      <c r="C34" s="29" t="s">
        <v>318</v>
      </c>
      <c r="D34" s="98">
        <v>45224</v>
      </c>
      <c r="E34" s="71">
        <v>11.3</v>
      </c>
      <c r="F34" s="71">
        <v>1.78</v>
      </c>
      <c r="G34" s="29">
        <v>0.62</v>
      </c>
      <c r="H34" s="158">
        <v>6.9</v>
      </c>
      <c r="I34" s="159"/>
      <c r="J34" s="29"/>
      <c r="K34" s="29"/>
      <c r="L34" s="29"/>
      <c r="M34" s="29"/>
      <c r="N34" s="73"/>
      <c r="O34" s="172">
        <f t="shared" ref="O34:O35" si="9">E34*25</f>
        <v>282.5</v>
      </c>
      <c r="P34" s="212"/>
      <c r="Q34" s="314">
        <f t="shared" si="1"/>
        <v>282.5</v>
      </c>
    </row>
    <row r="35" spans="1:17" ht="15.75" customHeight="1" x14ac:dyDescent="0.25">
      <c r="A35" s="190" t="s">
        <v>320</v>
      </c>
      <c r="B35" s="157">
        <v>6</v>
      </c>
      <c r="C35" s="29" t="s">
        <v>321</v>
      </c>
      <c r="D35" s="98">
        <v>45223</v>
      </c>
      <c r="E35" s="71">
        <v>25.7</v>
      </c>
      <c r="F35" s="71">
        <v>2.0099999999999998</v>
      </c>
      <c r="G35" s="29">
        <v>0.63</v>
      </c>
      <c r="H35" s="158">
        <v>7</v>
      </c>
      <c r="I35" s="159"/>
      <c r="J35" s="29"/>
      <c r="K35" s="29"/>
      <c r="L35" s="29"/>
      <c r="M35" s="29"/>
      <c r="N35" s="73"/>
      <c r="O35" s="190">
        <f t="shared" si="9"/>
        <v>642.5</v>
      </c>
      <c r="P35" s="212"/>
      <c r="Q35" s="314">
        <f t="shared" si="1"/>
        <v>642.5</v>
      </c>
    </row>
    <row r="36" spans="1:17" ht="15.75" customHeight="1" x14ac:dyDescent="0.2">
      <c r="A36" s="190" t="s">
        <v>322</v>
      </c>
      <c r="B36" s="157"/>
      <c r="C36" s="29"/>
      <c r="D36" s="98"/>
      <c r="E36" s="29"/>
      <c r="F36" s="29"/>
      <c r="G36" s="29"/>
      <c r="H36" s="161"/>
      <c r="I36" s="159"/>
      <c r="J36" s="29"/>
      <c r="K36" s="29"/>
      <c r="L36" s="29"/>
      <c r="M36" s="29"/>
      <c r="N36" s="73"/>
      <c r="O36" s="172"/>
      <c r="P36" s="212"/>
      <c r="Q36" s="314">
        <f t="shared" si="1"/>
        <v>0</v>
      </c>
    </row>
    <row r="37" spans="1:17" ht="15.75" customHeight="1" x14ac:dyDescent="0.2">
      <c r="A37" s="190" t="s">
        <v>324</v>
      </c>
      <c r="B37" s="157"/>
      <c r="C37" s="29"/>
      <c r="D37" s="98"/>
      <c r="E37" s="29"/>
      <c r="F37" s="29"/>
      <c r="G37" s="29"/>
      <c r="H37" s="161"/>
      <c r="I37" s="159"/>
      <c r="J37" s="29"/>
      <c r="K37" s="29"/>
      <c r="L37" s="29"/>
      <c r="M37" s="29"/>
      <c r="N37" s="73"/>
      <c r="O37" s="172"/>
      <c r="P37" s="212"/>
      <c r="Q37" s="314">
        <f t="shared" si="1"/>
        <v>0</v>
      </c>
    </row>
    <row r="38" spans="1:17" ht="15.75" customHeight="1" x14ac:dyDescent="0.25">
      <c r="A38" s="192" t="s">
        <v>326</v>
      </c>
      <c r="B38" s="164"/>
      <c r="C38" s="165"/>
      <c r="D38" s="166"/>
      <c r="E38" s="165"/>
      <c r="F38" s="165"/>
      <c r="G38" s="165"/>
      <c r="H38" s="167"/>
      <c r="I38" s="168"/>
      <c r="J38" s="165" t="s">
        <v>328</v>
      </c>
      <c r="K38" s="193">
        <v>21.7</v>
      </c>
      <c r="L38" s="193">
        <v>1.7</v>
      </c>
      <c r="M38" s="165">
        <v>0.64</v>
      </c>
      <c r="N38" s="303">
        <v>6.4</v>
      </c>
      <c r="O38" s="173"/>
      <c r="P38" s="307">
        <f>K38*25</f>
        <v>542.5</v>
      </c>
      <c r="Q38" s="315">
        <f t="shared" si="1"/>
        <v>542.5</v>
      </c>
    </row>
    <row r="39" spans="1:17" ht="15.75" customHeight="1" x14ac:dyDescent="0.2"/>
    <row r="40" spans="1:17" ht="15.75" customHeight="1" x14ac:dyDescent="0.2"/>
    <row r="41" spans="1:17" ht="15.75" customHeight="1" x14ac:dyDescent="0.2"/>
    <row r="42" spans="1:17" ht="15.75" customHeight="1" x14ac:dyDescent="0.25">
      <c r="A42" s="282" t="s">
        <v>230</v>
      </c>
      <c r="B42" s="283" t="s">
        <v>501</v>
      </c>
      <c r="C42" s="284" t="s">
        <v>231</v>
      </c>
      <c r="D42" s="284" t="s">
        <v>232</v>
      </c>
      <c r="E42" s="285" t="s">
        <v>233</v>
      </c>
      <c r="F42" s="284" t="s">
        <v>234</v>
      </c>
      <c r="G42" s="284" t="s">
        <v>235</v>
      </c>
      <c r="H42" s="284" t="s">
        <v>236</v>
      </c>
      <c r="I42" s="284" t="s">
        <v>237</v>
      </c>
      <c r="J42" s="283" t="s">
        <v>501</v>
      </c>
      <c r="K42" s="285" t="s">
        <v>238</v>
      </c>
      <c r="L42" s="284" t="s">
        <v>234</v>
      </c>
      <c r="M42" s="284" t="s">
        <v>235</v>
      </c>
      <c r="N42" s="284" t="s">
        <v>236</v>
      </c>
      <c r="O42" s="284" t="s">
        <v>239</v>
      </c>
      <c r="P42" s="286" t="s">
        <v>240</v>
      </c>
      <c r="Q42" s="287" t="s">
        <v>502</v>
      </c>
    </row>
    <row r="43" spans="1:17" ht="15.75" customHeight="1" x14ac:dyDescent="0.25">
      <c r="A43" s="156" t="s">
        <v>241</v>
      </c>
      <c r="B43" s="157">
        <v>32</v>
      </c>
      <c r="C43" s="29" t="s">
        <v>329</v>
      </c>
      <c r="D43" s="98">
        <v>45238</v>
      </c>
      <c r="E43" s="71">
        <v>35.299999999999997</v>
      </c>
      <c r="F43" s="71">
        <v>1.89</v>
      </c>
      <c r="G43" s="29">
        <v>0.65</v>
      </c>
      <c r="H43" s="297">
        <v>7.8</v>
      </c>
      <c r="I43" s="316"/>
      <c r="J43" s="170"/>
      <c r="K43" s="149"/>
      <c r="L43" s="149"/>
      <c r="M43" s="149"/>
      <c r="N43" s="154"/>
      <c r="O43" s="156">
        <f>E43*25</f>
        <v>882.49999999999989</v>
      </c>
      <c r="P43" s="212"/>
      <c r="Q43" s="289">
        <f t="shared" ref="Q43:Q79" si="10">O43+P43</f>
        <v>882.49999999999989</v>
      </c>
    </row>
    <row r="44" spans="1:17" ht="15.75" customHeight="1" x14ac:dyDescent="0.25">
      <c r="A44" s="156" t="s">
        <v>243</v>
      </c>
      <c r="B44" s="157">
        <v>40</v>
      </c>
      <c r="C44" s="29" t="s">
        <v>332</v>
      </c>
      <c r="D44" s="98">
        <v>45243</v>
      </c>
      <c r="E44" s="29">
        <v>26.2</v>
      </c>
      <c r="F44" s="29">
        <v>1.75</v>
      </c>
      <c r="G44" s="29">
        <v>0.52</v>
      </c>
      <c r="H44" s="73">
        <v>5.8</v>
      </c>
      <c r="I44" s="317"/>
      <c r="J44" s="172"/>
      <c r="K44" s="29"/>
      <c r="L44" s="71"/>
      <c r="M44" s="29"/>
      <c r="N44" s="161"/>
      <c r="O44" s="172"/>
      <c r="P44" s="212"/>
      <c r="Q44" s="289">
        <f t="shared" si="10"/>
        <v>0</v>
      </c>
    </row>
    <row r="45" spans="1:17" ht="15.75" customHeight="1" x14ac:dyDescent="0.2">
      <c r="A45" s="156" t="s">
        <v>246</v>
      </c>
      <c r="B45" s="157"/>
      <c r="C45" s="29"/>
      <c r="D45" s="98"/>
      <c r="E45" s="29"/>
      <c r="F45" s="29"/>
      <c r="G45" s="29"/>
      <c r="H45" s="73"/>
      <c r="I45" s="317"/>
      <c r="J45" s="172" t="s">
        <v>335</v>
      </c>
      <c r="K45" s="29">
        <v>7.1</v>
      </c>
      <c r="L45" s="29">
        <v>1.68</v>
      </c>
      <c r="M45" s="29">
        <v>0.99</v>
      </c>
      <c r="N45" s="161">
        <v>5.4</v>
      </c>
      <c r="O45" s="172"/>
      <c r="P45" s="212"/>
      <c r="Q45" s="289">
        <f t="shared" si="10"/>
        <v>0</v>
      </c>
    </row>
    <row r="46" spans="1:17" ht="15.75" customHeight="1" x14ac:dyDescent="0.25">
      <c r="A46" s="156" t="s">
        <v>249</v>
      </c>
      <c r="B46" s="157">
        <v>56</v>
      </c>
      <c r="C46" s="29" t="s">
        <v>336</v>
      </c>
      <c r="D46" s="98">
        <v>45245</v>
      </c>
      <c r="E46" s="71">
        <v>29.2</v>
      </c>
      <c r="F46" s="71">
        <v>1.68</v>
      </c>
      <c r="G46" s="29">
        <v>0.68</v>
      </c>
      <c r="H46" s="297">
        <v>6</v>
      </c>
      <c r="I46" s="318"/>
      <c r="J46" s="172" t="s">
        <v>337</v>
      </c>
      <c r="K46" s="71">
        <v>43.5</v>
      </c>
      <c r="L46" s="71">
        <v>1.45</v>
      </c>
      <c r="M46" s="29">
        <v>0.63</v>
      </c>
      <c r="N46" s="158">
        <v>6</v>
      </c>
      <c r="O46" s="156">
        <f>E46*25</f>
        <v>730</v>
      </c>
      <c r="P46" s="319">
        <f>K46*25</f>
        <v>1087.5</v>
      </c>
      <c r="Q46" s="289">
        <f t="shared" si="10"/>
        <v>1817.5</v>
      </c>
    </row>
    <row r="47" spans="1:17" ht="15.75" customHeight="1" x14ac:dyDescent="0.2">
      <c r="A47" s="156" t="s">
        <v>251</v>
      </c>
      <c r="B47" s="157"/>
      <c r="C47" s="29"/>
      <c r="D47" s="98"/>
      <c r="E47" s="29"/>
      <c r="F47" s="29"/>
      <c r="G47" s="29"/>
      <c r="H47" s="73"/>
      <c r="I47" s="317"/>
      <c r="J47" s="172"/>
      <c r="K47" s="29"/>
      <c r="L47" s="29"/>
      <c r="M47" s="29"/>
      <c r="N47" s="161"/>
      <c r="O47" s="172"/>
      <c r="P47" s="212"/>
      <c r="Q47" s="289">
        <f t="shared" si="10"/>
        <v>0</v>
      </c>
    </row>
    <row r="48" spans="1:17" ht="15.75" customHeight="1" x14ac:dyDescent="0.25">
      <c r="A48" s="156" t="s">
        <v>253</v>
      </c>
      <c r="B48" s="157">
        <v>48</v>
      </c>
      <c r="C48" s="29" t="s">
        <v>340</v>
      </c>
      <c r="D48" s="98">
        <v>45244</v>
      </c>
      <c r="E48" s="71">
        <v>26</v>
      </c>
      <c r="F48" s="71">
        <v>1.94</v>
      </c>
      <c r="G48" s="29">
        <v>0.66</v>
      </c>
      <c r="H48" s="297">
        <v>7</v>
      </c>
      <c r="I48" s="318"/>
      <c r="J48" s="172"/>
      <c r="K48" s="29"/>
      <c r="L48" s="29"/>
      <c r="M48" s="29"/>
      <c r="N48" s="161"/>
      <c r="O48" s="156">
        <f>E48*25</f>
        <v>650</v>
      </c>
      <c r="P48" s="212"/>
      <c r="Q48" s="289">
        <f t="shared" si="10"/>
        <v>650</v>
      </c>
    </row>
    <row r="49" spans="1:17" ht="15.75" customHeight="1" x14ac:dyDescent="0.2">
      <c r="A49" s="156" t="s">
        <v>255</v>
      </c>
      <c r="B49" s="157">
        <v>57</v>
      </c>
      <c r="C49" s="29" t="s">
        <v>342</v>
      </c>
      <c r="D49" s="98">
        <v>45245</v>
      </c>
      <c r="E49" s="29">
        <v>31.9</v>
      </c>
      <c r="F49" s="29">
        <v>1.82</v>
      </c>
      <c r="G49" s="29">
        <v>0.89</v>
      </c>
      <c r="H49" s="73">
        <v>5.2</v>
      </c>
      <c r="I49" s="317"/>
      <c r="J49" s="172"/>
      <c r="K49" s="29"/>
      <c r="L49" s="29"/>
      <c r="M49" s="29"/>
      <c r="N49" s="161"/>
      <c r="O49" s="172"/>
      <c r="P49" s="212"/>
      <c r="Q49" s="289">
        <f t="shared" si="10"/>
        <v>0</v>
      </c>
    </row>
    <row r="50" spans="1:17" ht="15.75" customHeight="1" x14ac:dyDescent="0.25">
      <c r="A50" s="156" t="s">
        <v>257</v>
      </c>
      <c r="B50" s="157">
        <v>52</v>
      </c>
      <c r="C50" s="29" t="s">
        <v>344</v>
      </c>
      <c r="D50" s="98">
        <v>45244</v>
      </c>
      <c r="E50" s="71">
        <v>40.700000000000003</v>
      </c>
      <c r="F50" s="71">
        <v>1.56</v>
      </c>
      <c r="G50" s="29">
        <v>0.63</v>
      </c>
      <c r="H50" s="297">
        <v>7.6</v>
      </c>
      <c r="I50" s="318"/>
      <c r="J50" s="172" t="s">
        <v>345</v>
      </c>
      <c r="K50" s="29">
        <v>3.6</v>
      </c>
      <c r="L50" s="29">
        <v>1.82</v>
      </c>
      <c r="M50" s="29">
        <v>0.66</v>
      </c>
      <c r="N50" s="161">
        <v>5.4</v>
      </c>
      <c r="O50" s="156">
        <f t="shared" ref="O50:O55" si="11">E50*25</f>
        <v>1017.5000000000001</v>
      </c>
      <c r="P50" s="212"/>
      <c r="Q50" s="289">
        <f t="shared" si="10"/>
        <v>1017.5000000000001</v>
      </c>
    </row>
    <row r="51" spans="1:17" ht="15.75" customHeight="1" x14ac:dyDescent="0.25">
      <c r="A51" s="156" t="s">
        <v>260</v>
      </c>
      <c r="B51" s="157">
        <v>28</v>
      </c>
      <c r="C51" s="29" t="s">
        <v>346</v>
      </c>
      <c r="D51" s="98">
        <v>45236</v>
      </c>
      <c r="E51" s="71">
        <v>31.8</v>
      </c>
      <c r="F51" s="71">
        <v>2.11</v>
      </c>
      <c r="G51" s="29">
        <v>1.22</v>
      </c>
      <c r="H51" s="297">
        <v>8.3000000000000007</v>
      </c>
      <c r="I51" s="318"/>
      <c r="J51" s="172"/>
      <c r="K51" s="29"/>
      <c r="L51" s="29"/>
      <c r="M51" s="29"/>
      <c r="N51" s="161"/>
      <c r="O51" s="156">
        <f t="shared" si="11"/>
        <v>795</v>
      </c>
      <c r="P51" s="212"/>
      <c r="Q51" s="289">
        <f t="shared" si="10"/>
        <v>795</v>
      </c>
    </row>
    <row r="52" spans="1:17" ht="15.75" customHeight="1" x14ac:dyDescent="0.25">
      <c r="A52" s="156" t="s">
        <v>262</v>
      </c>
      <c r="B52" s="157">
        <v>36</v>
      </c>
      <c r="C52" s="29" t="s">
        <v>348</v>
      </c>
      <c r="D52" s="98">
        <v>45238</v>
      </c>
      <c r="E52" s="71">
        <v>50.4</v>
      </c>
      <c r="F52" s="71">
        <v>1.83</v>
      </c>
      <c r="G52" s="29">
        <v>0.65</v>
      </c>
      <c r="H52" s="297">
        <v>6.1</v>
      </c>
      <c r="I52" s="320"/>
      <c r="J52" s="173"/>
      <c r="K52" s="165"/>
      <c r="L52" s="165"/>
      <c r="M52" s="165"/>
      <c r="N52" s="167"/>
      <c r="O52" s="163">
        <f t="shared" si="11"/>
        <v>1260</v>
      </c>
      <c r="P52" s="236"/>
      <c r="Q52" s="300">
        <f t="shared" si="10"/>
        <v>1260</v>
      </c>
    </row>
    <row r="53" spans="1:17" ht="15.75" customHeight="1" x14ac:dyDescent="0.25">
      <c r="A53" s="321" t="s">
        <v>265</v>
      </c>
      <c r="B53" s="148">
        <v>49</v>
      </c>
      <c r="C53" s="149" t="s">
        <v>350</v>
      </c>
      <c r="D53" s="150">
        <v>45244</v>
      </c>
      <c r="E53" s="151">
        <v>25</v>
      </c>
      <c r="F53" s="151">
        <v>2</v>
      </c>
      <c r="G53" s="149">
        <v>0.86</v>
      </c>
      <c r="H53" s="152">
        <v>8.3000000000000007</v>
      </c>
      <c r="I53" s="316"/>
      <c r="J53" s="170" t="s">
        <v>351</v>
      </c>
      <c r="K53" s="151">
        <v>3.8</v>
      </c>
      <c r="L53" s="151">
        <v>2.0699999999999998</v>
      </c>
      <c r="M53" s="149">
        <v>0.51</v>
      </c>
      <c r="N53" s="154">
        <v>5.9</v>
      </c>
      <c r="O53" s="301">
        <f t="shared" si="11"/>
        <v>625</v>
      </c>
      <c r="P53" s="322">
        <f>K53*25</f>
        <v>95</v>
      </c>
      <c r="Q53" s="302">
        <f t="shared" si="10"/>
        <v>720</v>
      </c>
    </row>
    <row r="54" spans="1:17" ht="15.75" customHeight="1" x14ac:dyDescent="0.25">
      <c r="A54" s="169" t="s">
        <v>268</v>
      </c>
      <c r="B54" s="157">
        <v>25</v>
      </c>
      <c r="C54" s="29" t="s">
        <v>352</v>
      </c>
      <c r="D54" s="98">
        <v>45236</v>
      </c>
      <c r="E54" s="71">
        <v>51.8</v>
      </c>
      <c r="F54" s="71">
        <v>2.14</v>
      </c>
      <c r="G54" s="29">
        <v>1.58</v>
      </c>
      <c r="H54" s="158">
        <v>8.1999999999999993</v>
      </c>
      <c r="I54" s="318"/>
      <c r="J54" s="172"/>
      <c r="K54" s="29"/>
      <c r="L54" s="29"/>
      <c r="M54" s="29"/>
      <c r="N54" s="161"/>
      <c r="O54" s="305">
        <f t="shared" si="11"/>
        <v>1295</v>
      </c>
      <c r="P54" s="212"/>
      <c r="Q54" s="306">
        <f t="shared" si="10"/>
        <v>1295</v>
      </c>
    </row>
    <row r="55" spans="1:17" ht="15.75" customHeight="1" x14ac:dyDescent="0.25">
      <c r="A55" s="169" t="s">
        <v>270</v>
      </c>
      <c r="B55" s="157">
        <v>59</v>
      </c>
      <c r="C55" s="29" t="s">
        <v>354</v>
      </c>
      <c r="D55" s="98">
        <v>45245</v>
      </c>
      <c r="E55" s="71">
        <v>23.4</v>
      </c>
      <c r="F55" s="71">
        <v>1.92</v>
      </c>
      <c r="G55" s="29">
        <v>0.86</v>
      </c>
      <c r="H55" s="158">
        <v>7.4</v>
      </c>
      <c r="I55" s="318"/>
      <c r="J55" s="172" t="s">
        <v>355</v>
      </c>
      <c r="K55" s="29">
        <v>19.399999999999999</v>
      </c>
      <c r="L55" s="29">
        <v>1.59</v>
      </c>
      <c r="M55" s="29">
        <v>0.73</v>
      </c>
      <c r="N55" s="161">
        <v>5.5</v>
      </c>
      <c r="O55" s="305">
        <f t="shared" si="11"/>
        <v>585</v>
      </c>
      <c r="P55" s="212"/>
      <c r="Q55" s="306">
        <f t="shared" si="10"/>
        <v>585</v>
      </c>
    </row>
    <row r="56" spans="1:17" ht="15.75" customHeight="1" x14ac:dyDescent="0.25">
      <c r="A56" s="169" t="s">
        <v>273</v>
      </c>
      <c r="B56" s="157"/>
      <c r="C56" s="29"/>
      <c r="D56" s="98"/>
      <c r="E56" s="29"/>
      <c r="F56" s="29"/>
      <c r="G56" s="29"/>
      <c r="H56" s="161"/>
      <c r="I56" s="317"/>
      <c r="J56" s="172" t="s">
        <v>357</v>
      </c>
      <c r="K56" s="71">
        <v>21</v>
      </c>
      <c r="L56" s="71">
        <v>1.56</v>
      </c>
      <c r="M56" s="29">
        <v>0.68</v>
      </c>
      <c r="N56" s="158">
        <v>7.1</v>
      </c>
      <c r="O56" s="172"/>
      <c r="P56" s="323">
        <f t="shared" ref="P56:P57" si="12">K56*25</f>
        <v>525</v>
      </c>
      <c r="Q56" s="306">
        <f t="shared" si="10"/>
        <v>525</v>
      </c>
    </row>
    <row r="57" spans="1:17" ht="15.75" customHeight="1" x14ac:dyDescent="0.25">
      <c r="A57" s="169" t="s">
        <v>275</v>
      </c>
      <c r="B57" s="157">
        <v>45</v>
      </c>
      <c r="C57" s="29" t="s">
        <v>358</v>
      </c>
      <c r="D57" s="98">
        <v>45243</v>
      </c>
      <c r="E57" s="71">
        <v>18.5</v>
      </c>
      <c r="F57" s="71">
        <v>1.76</v>
      </c>
      <c r="G57" s="29">
        <v>0.51</v>
      </c>
      <c r="H57" s="158">
        <v>6.3</v>
      </c>
      <c r="I57" s="318"/>
      <c r="J57" s="172" t="s">
        <v>359</v>
      </c>
      <c r="K57" s="71">
        <v>5.4</v>
      </c>
      <c r="L57" s="71">
        <v>1.67</v>
      </c>
      <c r="M57" s="29">
        <v>0.96</v>
      </c>
      <c r="N57" s="158">
        <v>6.3</v>
      </c>
      <c r="O57" s="305">
        <f>E57*25</f>
        <v>462.5</v>
      </c>
      <c r="P57" s="323">
        <f t="shared" si="12"/>
        <v>135</v>
      </c>
      <c r="Q57" s="306">
        <f t="shared" si="10"/>
        <v>597.5</v>
      </c>
    </row>
    <row r="58" spans="1:17" ht="15.75" customHeight="1" x14ac:dyDescent="0.2">
      <c r="A58" s="169" t="s">
        <v>277</v>
      </c>
      <c r="B58" s="157"/>
      <c r="C58" s="29"/>
      <c r="D58" s="98"/>
      <c r="E58" s="29"/>
      <c r="F58" s="29"/>
      <c r="G58" s="29"/>
      <c r="H58" s="161"/>
      <c r="I58" s="317"/>
      <c r="J58" s="172"/>
      <c r="K58" s="29"/>
      <c r="L58" s="29"/>
      <c r="M58" s="29"/>
      <c r="N58" s="161"/>
      <c r="O58" s="172"/>
      <c r="P58" s="212"/>
      <c r="Q58" s="306">
        <f t="shared" si="10"/>
        <v>0</v>
      </c>
    </row>
    <row r="59" spans="1:17" ht="15.75" customHeight="1" x14ac:dyDescent="0.2">
      <c r="A59" s="169" t="s">
        <v>280</v>
      </c>
      <c r="B59" s="157">
        <v>53</v>
      </c>
      <c r="C59" s="29" t="s">
        <v>362</v>
      </c>
      <c r="D59" s="195">
        <v>45244</v>
      </c>
      <c r="E59" s="29">
        <v>14.3</v>
      </c>
      <c r="F59" s="29">
        <v>0.81</v>
      </c>
      <c r="G59" s="29"/>
      <c r="H59" s="161"/>
      <c r="I59" s="317"/>
      <c r="J59" s="172"/>
      <c r="K59" s="29"/>
      <c r="L59" s="29"/>
      <c r="M59" s="29"/>
      <c r="N59" s="161"/>
      <c r="O59" s="172"/>
      <c r="P59" s="212"/>
      <c r="Q59" s="306">
        <f t="shared" si="10"/>
        <v>0</v>
      </c>
    </row>
    <row r="60" spans="1:17" ht="15.75" customHeight="1" x14ac:dyDescent="0.25">
      <c r="A60" s="169" t="s">
        <v>282</v>
      </c>
      <c r="B60" s="157">
        <v>37</v>
      </c>
      <c r="C60" s="29" t="s">
        <v>364</v>
      </c>
      <c r="D60" s="98">
        <v>45238</v>
      </c>
      <c r="E60" s="71">
        <v>24</v>
      </c>
      <c r="F60" s="71">
        <v>1.98</v>
      </c>
      <c r="G60" s="29">
        <v>1.04</v>
      </c>
      <c r="H60" s="158">
        <v>8.3000000000000007</v>
      </c>
      <c r="I60" s="318"/>
      <c r="J60" s="172" t="s">
        <v>365</v>
      </c>
      <c r="K60" s="71">
        <v>8.9</v>
      </c>
      <c r="L60" s="71">
        <v>1.88</v>
      </c>
      <c r="M60" s="29">
        <v>1.08</v>
      </c>
      <c r="N60" s="158">
        <v>6.1</v>
      </c>
      <c r="O60" s="305">
        <f>E60*25</f>
        <v>600</v>
      </c>
      <c r="P60" s="323">
        <f>K60*25</f>
        <v>222.5</v>
      </c>
      <c r="Q60" s="306">
        <f t="shared" si="10"/>
        <v>822.5</v>
      </c>
    </row>
    <row r="61" spans="1:17" ht="15.75" customHeight="1" x14ac:dyDescent="0.2">
      <c r="A61" s="169" t="s">
        <v>284</v>
      </c>
      <c r="B61" s="157"/>
      <c r="C61" s="29"/>
      <c r="D61" s="98"/>
      <c r="E61" s="29"/>
      <c r="F61" s="29"/>
      <c r="G61" s="29"/>
      <c r="H61" s="161"/>
      <c r="I61" s="317"/>
      <c r="J61" s="172"/>
      <c r="K61" s="29"/>
      <c r="L61" s="29"/>
      <c r="M61" s="29"/>
      <c r="N61" s="161"/>
      <c r="O61" s="172"/>
      <c r="P61" s="212"/>
      <c r="Q61" s="306">
        <f t="shared" si="10"/>
        <v>0</v>
      </c>
    </row>
    <row r="62" spans="1:17" ht="15.75" customHeight="1" x14ac:dyDescent="0.25">
      <c r="A62" s="292" t="s">
        <v>286</v>
      </c>
      <c r="B62" s="164">
        <v>33</v>
      </c>
      <c r="C62" s="165" t="s">
        <v>368</v>
      </c>
      <c r="D62" s="166">
        <v>45238</v>
      </c>
      <c r="E62" s="193">
        <v>83.2</v>
      </c>
      <c r="F62" s="193">
        <v>1.71</v>
      </c>
      <c r="G62" s="165">
        <v>0.87</v>
      </c>
      <c r="H62" s="194">
        <v>6.5</v>
      </c>
      <c r="I62" s="320"/>
      <c r="J62" s="173"/>
      <c r="K62" s="29"/>
      <c r="L62" s="29"/>
      <c r="M62" s="29"/>
      <c r="N62" s="167"/>
      <c r="O62" s="308">
        <f>E62*25</f>
        <v>2080</v>
      </c>
      <c r="P62" s="236"/>
      <c r="Q62" s="309">
        <f t="shared" si="10"/>
        <v>2080</v>
      </c>
    </row>
    <row r="63" spans="1:17" ht="15.75" customHeight="1" x14ac:dyDescent="0.25">
      <c r="A63" s="276" t="s">
        <v>289</v>
      </c>
      <c r="B63" s="148"/>
      <c r="C63" s="149"/>
      <c r="D63" s="150"/>
      <c r="E63" s="149"/>
      <c r="F63" s="149"/>
      <c r="G63" s="149"/>
      <c r="H63" s="152"/>
      <c r="I63" s="316"/>
      <c r="J63" s="170"/>
      <c r="K63" s="151"/>
      <c r="L63" s="151"/>
      <c r="M63" s="149"/>
      <c r="N63" s="152"/>
      <c r="O63" s="170"/>
      <c r="P63" s="208"/>
      <c r="Q63" s="310">
        <f t="shared" si="10"/>
        <v>0</v>
      </c>
    </row>
    <row r="64" spans="1:17" ht="15.75" customHeight="1" x14ac:dyDescent="0.25">
      <c r="A64" s="274" t="s">
        <v>292</v>
      </c>
      <c r="B64" s="157">
        <v>30</v>
      </c>
      <c r="C64" s="29" t="s">
        <v>372</v>
      </c>
      <c r="D64" s="98">
        <v>45236</v>
      </c>
      <c r="E64" s="71">
        <v>9.4</v>
      </c>
      <c r="F64" s="71">
        <v>2.08</v>
      </c>
      <c r="G64" s="29">
        <v>0.82</v>
      </c>
      <c r="H64" s="158">
        <v>6.2</v>
      </c>
      <c r="I64" s="318"/>
      <c r="J64" s="172" t="s">
        <v>373</v>
      </c>
      <c r="K64" s="29">
        <v>6.4</v>
      </c>
      <c r="L64" s="29">
        <v>2.02</v>
      </c>
      <c r="M64" s="29">
        <v>0.77</v>
      </c>
      <c r="N64" s="161">
        <v>5.2</v>
      </c>
      <c r="O64" s="172">
        <f t="shared" ref="O64:O67" si="13">E64*25</f>
        <v>235</v>
      </c>
      <c r="P64" s="212">
        <f>K64*25</f>
        <v>160</v>
      </c>
      <c r="Q64" s="311">
        <f t="shared" si="10"/>
        <v>395</v>
      </c>
    </row>
    <row r="65" spans="1:17" ht="15.75" customHeight="1" x14ac:dyDescent="0.25">
      <c r="A65" s="274" t="s">
        <v>295</v>
      </c>
      <c r="B65" s="157">
        <v>26</v>
      </c>
      <c r="C65" s="29" t="s">
        <v>374</v>
      </c>
      <c r="D65" s="98">
        <v>45236</v>
      </c>
      <c r="E65" s="71">
        <v>65.2</v>
      </c>
      <c r="F65" s="71">
        <v>1.65</v>
      </c>
      <c r="G65" s="29">
        <v>0.65</v>
      </c>
      <c r="H65" s="158">
        <v>6.1</v>
      </c>
      <c r="I65" s="318"/>
      <c r="J65" s="172"/>
      <c r="K65" s="29"/>
      <c r="L65" s="29"/>
      <c r="M65" s="29"/>
      <c r="N65" s="161"/>
      <c r="O65" s="298">
        <f t="shared" si="13"/>
        <v>1630</v>
      </c>
      <c r="P65" s="212"/>
      <c r="Q65" s="311">
        <f t="shared" si="10"/>
        <v>1630</v>
      </c>
    </row>
    <row r="66" spans="1:17" ht="15.75" customHeight="1" x14ac:dyDescent="0.25">
      <c r="A66" s="274" t="s">
        <v>297</v>
      </c>
      <c r="B66" s="157">
        <v>55</v>
      </c>
      <c r="C66" s="29" t="s">
        <v>376</v>
      </c>
      <c r="D66" s="98">
        <v>45244</v>
      </c>
      <c r="E66" s="71">
        <v>28.8</v>
      </c>
      <c r="F66" s="71">
        <v>2.16</v>
      </c>
      <c r="G66" s="29">
        <v>1.24</v>
      </c>
      <c r="H66" s="158">
        <v>7.8</v>
      </c>
      <c r="I66" s="318"/>
      <c r="J66" s="172" t="s">
        <v>377</v>
      </c>
      <c r="K66" s="71">
        <v>8.4</v>
      </c>
      <c r="L66" s="71">
        <v>2.04</v>
      </c>
      <c r="M66" s="29">
        <v>0.64</v>
      </c>
      <c r="N66" s="158">
        <v>6.7</v>
      </c>
      <c r="O66" s="298">
        <f t="shared" si="13"/>
        <v>720</v>
      </c>
      <c r="P66" s="299">
        <f t="shared" ref="P66:P67" si="14">K66*25</f>
        <v>210</v>
      </c>
      <c r="Q66" s="311">
        <f t="shared" si="10"/>
        <v>930</v>
      </c>
    </row>
    <row r="67" spans="1:17" ht="15.75" customHeight="1" x14ac:dyDescent="0.25">
      <c r="A67" s="274" t="s">
        <v>299</v>
      </c>
      <c r="B67" s="157">
        <v>46</v>
      </c>
      <c r="C67" s="29" t="s">
        <v>378</v>
      </c>
      <c r="D67" s="98">
        <v>45243</v>
      </c>
      <c r="E67" s="71">
        <v>26</v>
      </c>
      <c r="F67" s="71">
        <v>1.87</v>
      </c>
      <c r="G67" s="29">
        <v>0.53</v>
      </c>
      <c r="H67" s="158">
        <v>7.6</v>
      </c>
      <c r="I67" s="318"/>
      <c r="J67" s="172" t="s">
        <v>379</v>
      </c>
      <c r="K67" s="71">
        <v>4.5999999999999996</v>
      </c>
      <c r="L67" s="71">
        <v>1.99</v>
      </c>
      <c r="M67" s="29">
        <v>1.34</v>
      </c>
      <c r="N67" s="158">
        <v>6.1</v>
      </c>
      <c r="O67" s="298">
        <f t="shared" si="13"/>
        <v>650</v>
      </c>
      <c r="P67" s="299">
        <f t="shared" si="14"/>
        <v>114.99999999999999</v>
      </c>
      <c r="Q67" s="311">
        <f t="shared" si="10"/>
        <v>765</v>
      </c>
    </row>
    <row r="68" spans="1:17" ht="15.75" customHeight="1" x14ac:dyDescent="0.2">
      <c r="A68" s="274" t="s">
        <v>301</v>
      </c>
      <c r="B68" s="157"/>
      <c r="C68" s="29"/>
      <c r="D68" s="98"/>
      <c r="E68" s="29"/>
      <c r="F68" s="29"/>
      <c r="G68" s="29"/>
      <c r="H68" s="161"/>
      <c r="I68" s="317"/>
      <c r="J68" s="172"/>
      <c r="K68" s="29"/>
      <c r="L68" s="29"/>
      <c r="M68" s="29"/>
      <c r="N68" s="161"/>
      <c r="O68" s="172"/>
      <c r="P68" s="212"/>
      <c r="Q68" s="311">
        <f t="shared" si="10"/>
        <v>0</v>
      </c>
    </row>
    <row r="69" spans="1:17" ht="15.75" customHeight="1" x14ac:dyDescent="0.2">
      <c r="A69" s="274" t="s">
        <v>303</v>
      </c>
      <c r="B69" s="157"/>
      <c r="C69" s="29"/>
      <c r="D69" s="98"/>
      <c r="E69" s="29"/>
      <c r="F69" s="29"/>
      <c r="G69" s="29"/>
      <c r="H69" s="161"/>
      <c r="I69" s="317"/>
      <c r="J69" s="184"/>
      <c r="K69" s="29"/>
      <c r="L69" s="29"/>
      <c r="M69" s="29"/>
      <c r="N69" s="161"/>
      <c r="O69" s="172"/>
      <c r="P69" s="212"/>
      <c r="Q69" s="311">
        <f t="shared" si="10"/>
        <v>0</v>
      </c>
    </row>
    <row r="70" spans="1:17" ht="15.75" customHeight="1" x14ac:dyDescent="0.25">
      <c r="A70" s="274" t="s">
        <v>305</v>
      </c>
      <c r="B70" s="157">
        <v>34</v>
      </c>
      <c r="C70" s="29" t="s">
        <v>384</v>
      </c>
      <c r="D70" s="98">
        <v>45238</v>
      </c>
      <c r="E70" s="71">
        <v>36.9</v>
      </c>
      <c r="F70" s="71">
        <v>1.54</v>
      </c>
      <c r="G70" s="29">
        <v>0.61</v>
      </c>
      <c r="H70" s="158">
        <v>6.4</v>
      </c>
      <c r="I70" s="318"/>
      <c r="J70" s="172"/>
      <c r="K70" s="29"/>
      <c r="L70" s="29"/>
      <c r="M70" s="29"/>
      <c r="N70" s="161"/>
      <c r="O70" s="298">
        <f>E70*25</f>
        <v>922.5</v>
      </c>
      <c r="P70" s="212"/>
      <c r="Q70" s="311">
        <f t="shared" si="10"/>
        <v>922.5</v>
      </c>
    </row>
    <row r="71" spans="1:17" ht="15.75" customHeight="1" x14ac:dyDescent="0.2">
      <c r="A71" s="274" t="s">
        <v>308</v>
      </c>
      <c r="B71" s="157">
        <v>50</v>
      </c>
      <c r="C71" s="29" t="s">
        <v>386</v>
      </c>
      <c r="D71" s="98">
        <v>45244</v>
      </c>
      <c r="E71" s="29">
        <v>14.1</v>
      </c>
      <c r="F71" s="29">
        <v>2.02</v>
      </c>
      <c r="G71" s="29">
        <v>0.33</v>
      </c>
      <c r="H71" s="161"/>
      <c r="I71" s="317"/>
      <c r="J71" s="172"/>
      <c r="K71" s="29"/>
      <c r="L71" s="29"/>
      <c r="M71" s="29"/>
      <c r="N71" s="161"/>
      <c r="O71" s="172"/>
      <c r="P71" s="212"/>
      <c r="Q71" s="311">
        <f t="shared" si="10"/>
        <v>0</v>
      </c>
    </row>
    <row r="72" spans="1:17" ht="15.75" customHeight="1" x14ac:dyDescent="0.25">
      <c r="A72" s="281" t="s">
        <v>311</v>
      </c>
      <c r="B72" s="164">
        <v>42</v>
      </c>
      <c r="C72" s="165" t="s">
        <v>312</v>
      </c>
      <c r="D72" s="166">
        <v>45243</v>
      </c>
      <c r="E72" s="193">
        <v>26.8</v>
      </c>
      <c r="F72" s="193">
        <v>1.96</v>
      </c>
      <c r="G72" s="165">
        <v>0.78</v>
      </c>
      <c r="H72" s="194">
        <v>8.5</v>
      </c>
      <c r="I72" s="320"/>
      <c r="J72" s="173" t="s">
        <v>388</v>
      </c>
      <c r="K72" s="193">
        <v>6.5</v>
      </c>
      <c r="L72" s="193">
        <v>1.89</v>
      </c>
      <c r="M72" s="165">
        <v>1.02</v>
      </c>
      <c r="N72" s="194">
        <v>7.5</v>
      </c>
      <c r="O72" s="324">
        <f t="shared" ref="O72:O74" si="15">E72*25</f>
        <v>670</v>
      </c>
      <c r="P72" s="325">
        <f>K72*25</f>
        <v>162.5</v>
      </c>
      <c r="Q72" s="312">
        <f t="shared" si="10"/>
        <v>832.5</v>
      </c>
    </row>
    <row r="73" spans="1:17" ht="15.75" customHeight="1" x14ac:dyDescent="0.25">
      <c r="A73" s="190" t="s">
        <v>313</v>
      </c>
      <c r="B73" s="157">
        <v>35</v>
      </c>
      <c r="C73" s="29" t="s">
        <v>389</v>
      </c>
      <c r="D73" s="98">
        <v>45238</v>
      </c>
      <c r="E73" s="71">
        <v>86.1</v>
      </c>
      <c r="F73" s="71">
        <v>1.78</v>
      </c>
      <c r="G73" s="29">
        <v>0.9</v>
      </c>
      <c r="H73" s="297">
        <v>8.6999999999999993</v>
      </c>
      <c r="I73" s="316"/>
      <c r="J73" s="29"/>
      <c r="K73" s="29"/>
      <c r="L73" s="29"/>
      <c r="M73" s="29"/>
      <c r="N73" s="73"/>
      <c r="O73" s="326">
        <f t="shared" si="15"/>
        <v>2152.5</v>
      </c>
      <c r="P73" s="208"/>
      <c r="Q73" s="313">
        <f t="shared" si="10"/>
        <v>2152.5</v>
      </c>
    </row>
    <row r="74" spans="1:17" ht="15.75" customHeight="1" x14ac:dyDescent="0.25">
      <c r="A74" s="190" t="s">
        <v>315</v>
      </c>
      <c r="B74" s="157">
        <v>27</v>
      </c>
      <c r="C74" s="29" t="s">
        <v>391</v>
      </c>
      <c r="D74" s="98">
        <v>45236</v>
      </c>
      <c r="E74" s="71">
        <v>54.6</v>
      </c>
      <c r="F74" s="71">
        <v>2.08</v>
      </c>
      <c r="G74" s="29">
        <v>1.3</v>
      </c>
      <c r="H74" s="297">
        <v>6.6</v>
      </c>
      <c r="I74" s="318"/>
      <c r="J74" s="29"/>
      <c r="K74" s="29"/>
      <c r="L74" s="29"/>
      <c r="M74" s="29"/>
      <c r="N74" s="73"/>
      <c r="O74" s="190">
        <f t="shared" si="15"/>
        <v>1365</v>
      </c>
      <c r="P74" s="212"/>
      <c r="Q74" s="314">
        <f t="shared" si="10"/>
        <v>1365</v>
      </c>
    </row>
    <row r="75" spans="1:17" ht="15.75" customHeight="1" x14ac:dyDescent="0.2">
      <c r="A75" s="190" t="s">
        <v>317</v>
      </c>
      <c r="B75" s="157">
        <v>47</v>
      </c>
      <c r="C75" s="29" t="s">
        <v>393</v>
      </c>
      <c r="D75" s="98">
        <v>45243</v>
      </c>
      <c r="E75" s="29">
        <v>20.7</v>
      </c>
      <c r="F75" s="29">
        <v>1.84</v>
      </c>
      <c r="G75" s="29">
        <v>0.54</v>
      </c>
      <c r="H75" s="73">
        <v>5.7</v>
      </c>
      <c r="I75" s="317"/>
      <c r="J75" s="29" t="s">
        <v>394</v>
      </c>
      <c r="K75" s="29">
        <v>5.2</v>
      </c>
      <c r="L75" s="29">
        <v>1.66</v>
      </c>
      <c r="M75" s="29">
        <v>1.53</v>
      </c>
      <c r="N75" s="73">
        <v>5.5</v>
      </c>
      <c r="O75" s="172"/>
      <c r="P75" s="212"/>
      <c r="Q75" s="314">
        <f t="shared" si="10"/>
        <v>0</v>
      </c>
    </row>
    <row r="76" spans="1:17" ht="15.75" customHeight="1" x14ac:dyDescent="0.2">
      <c r="A76" s="190" t="s">
        <v>320</v>
      </c>
      <c r="B76" s="157"/>
      <c r="C76" s="29"/>
      <c r="D76" s="98"/>
      <c r="E76" s="29"/>
      <c r="F76" s="29"/>
      <c r="G76" s="29"/>
      <c r="H76" s="73"/>
      <c r="I76" s="317"/>
      <c r="J76" s="29"/>
      <c r="K76" s="29"/>
      <c r="L76" s="29"/>
      <c r="M76" s="29"/>
      <c r="N76" s="73"/>
      <c r="O76" s="172"/>
      <c r="P76" s="212"/>
      <c r="Q76" s="314">
        <f t="shared" si="10"/>
        <v>0</v>
      </c>
    </row>
    <row r="77" spans="1:17" ht="15.75" customHeight="1" x14ac:dyDescent="0.25">
      <c r="A77" s="190" t="s">
        <v>322</v>
      </c>
      <c r="B77" s="157">
        <v>31</v>
      </c>
      <c r="C77" s="29" t="s">
        <v>397</v>
      </c>
      <c r="D77" s="98">
        <v>45236</v>
      </c>
      <c r="E77" s="71">
        <v>38.9</v>
      </c>
      <c r="F77" s="71">
        <v>2.0699999999999998</v>
      </c>
      <c r="G77" s="29">
        <v>1.19</v>
      </c>
      <c r="H77" s="297">
        <v>7.6</v>
      </c>
      <c r="I77" s="318"/>
      <c r="J77" s="29"/>
      <c r="K77" s="29"/>
      <c r="L77" s="29"/>
      <c r="M77" s="29"/>
      <c r="N77" s="73"/>
      <c r="O77" s="190">
        <f t="shared" ref="O77:O79" si="16">E77*25</f>
        <v>972.5</v>
      </c>
      <c r="P77" s="212"/>
      <c r="Q77" s="314">
        <f t="shared" si="10"/>
        <v>972.5</v>
      </c>
    </row>
    <row r="78" spans="1:17" ht="15.75" customHeight="1" x14ac:dyDescent="0.25">
      <c r="A78" s="190" t="s">
        <v>324</v>
      </c>
      <c r="B78" s="157">
        <v>43</v>
      </c>
      <c r="C78" s="29" t="s">
        <v>399</v>
      </c>
      <c r="D78" s="98">
        <v>45243</v>
      </c>
      <c r="E78" s="71">
        <v>22.5</v>
      </c>
      <c r="F78" s="71">
        <v>1.97</v>
      </c>
      <c r="G78" s="29">
        <v>0.68</v>
      </c>
      <c r="H78" s="297">
        <v>8.4</v>
      </c>
      <c r="I78" s="318"/>
      <c r="J78" s="29" t="s">
        <v>400</v>
      </c>
      <c r="K78" s="71">
        <v>7.1</v>
      </c>
      <c r="L78" s="71">
        <v>1.68</v>
      </c>
      <c r="M78" s="29">
        <v>0.99</v>
      </c>
      <c r="N78" s="297">
        <v>6.5</v>
      </c>
      <c r="O78" s="190">
        <f t="shared" si="16"/>
        <v>562.5</v>
      </c>
      <c r="P78" s="327">
        <f t="shared" ref="P78:P79" si="17">K78*25</f>
        <v>177.5</v>
      </c>
      <c r="Q78" s="314">
        <f t="shared" si="10"/>
        <v>740</v>
      </c>
    </row>
    <row r="79" spans="1:17" ht="15.75" customHeight="1" x14ac:dyDescent="0.25">
      <c r="A79" s="192" t="s">
        <v>326</v>
      </c>
      <c r="B79" s="164">
        <v>39</v>
      </c>
      <c r="C79" s="165" t="s">
        <v>401</v>
      </c>
      <c r="D79" s="166">
        <v>45238</v>
      </c>
      <c r="E79" s="193">
        <v>22.8</v>
      </c>
      <c r="F79" s="193">
        <v>1.65</v>
      </c>
      <c r="G79" s="165">
        <v>0.65</v>
      </c>
      <c r="H79" s="303">
        <v>7.5</v>
      </c>
      <c r="I79" s="320"/>
      <c r="J79" s="165" t="s">
        <v>402</v>
      </c>
      <c r="K79" s="193">
        <v>8</v>
      </c>
      <c r="L79" s="193">
        <v>1.83</v>
      </c>
      <c r="M79" s="165">
        <v>0.82</v>
      </c>
      <c r="N79" s="303">
        <v>5.8</v>
      </c>
      <c r="O79" s="192">
        <f t="shared" si="16"/>
        <v>570</v>
      </c>
      <c r="P79" s="307">
        <f t="shared" si="17"/>
        <v>200</v>
      </c>
      <c r="Q79" s="315">
        <f t="shared" si="10"/>
        <v>770</v>
      </c>
    </row>
    <row r="80" spans="1:1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data key table</vt:lpstr>
      <vt:lpstr> full controls &amp; translocation</vt:lpstr>
      <vt:lpstr>T0&amp;Tend point</vt:lpstr>
      <vt:lpstr>T0</vt:lpstr>
      <vt:lpstr>End point after translocation</vt:lpstr>
      <vt:lpstr>November 2022</vt:lpstr>
      <vt:lpstr>July 2023</vt:lpstr>
      <vt:lpstr>Good samples Nov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רחלי בובר</cp:lastModifiedBy>
  <dcterms:created xsi:type="dcterms:W3CDTF">2023-03-14T22:15:42Z</dcterms:created>
  <dcterms:modified xsi:type="dcterms:W3CDTF">2024-09-04T11:57:08Z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0x010100008B3E566363D743A6B08FD6C2497A50</vt:lpwstr>
  </property>
  <property fmtid="{D5CDD505-2E9C-101B-9397-08002B2CF9AE}" pid="3" name="MediaServiceImageTags">
    <vt:lpwstr/>
  </property>
</Properties>
</file>