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sleyjohanson/Documents/College Classes_UC Santa Barbara/ChemE 180A Chemical Engineering Lab/Friction Factors Lab/"/>
    </mc:Choice>
  </mc:AlternateContent>
  <xr:revisionPtr revIDLastSave="0" documentId="13_ncr:1_{682D0763-D09C-5A4B-9012-20E97698BE3C}" xr6:coauthVersionLast="47" xr6:coauthVersionMax="47" xr10:uidLastSave="{00000000-0000-0000-0000-000000000000}"/>
  <bookViews>
    <workbookView xWindow="0" yWindow="500" windowWidth="33600" windowHeight="20500" xr2:uid="{EB6E2F67-B03D-BD47-BBF4-081A1D3BA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E14" i="1"/>
  <c r="E15" i="1"/>
  <c r="E16" i="1"/>
  <c r="E13" i="1"/>
  <c r="J13" i="1"/>
  <c r="K13" i="1" s="1"/>
  <c r="X13" i="1"/>
  <c r="J14" i="1"/>
  <c r="N14" i="1" s="1"/>
  <c r="X14" i="1"/>
  <c r="J15" i="1"/>
  <c r="Z15" i="1" s="1"/>
  <c r="L15" i="1"/>
  <c r="M15" i="1" s="1"/>
  <c r="Y15" i="1" s="1"/>
  <c r="X15" i="1"/>
  <c r="J16" i="1"/>
  <c r="K16" i="1" s="1"/>
  <c r="X16" i="1"/>
  <c r="J7" i="1"/>
  <c r="Z7" i="1" s="1"/>
  <c r="K7" i="1"/>
  <c r="X7" i="1"/>
  <c r="J8" i="1"/>
  <c r="N8" i="1" s="1"/>
  <c r="X8" i="1"/>
  <c r="X9" i="1"/>
  <c r="J10" i="1"/>
  <c r="K10" i="1" s="1"/>
  <c r="X10" i="1"/>
  <c r="J11" i="1"/>
  <c r="Z11" i="1" s="1"/>
  <c r="X11" i="1"/>
  <c r="J12" i="1"/>
  <c r="K12" i="1" s="1"/>
  <c r="X12" i="1"/>
  <c r="G9" i="1"/>
  <c r="J9" i="1" s="1"/>
  <c r="B27" i="1"/>
  <c r="E9" i="1" s="1"/>
  <c r="F9" i="1"/>
  <c r="F8" i="1"/>
  <c r="F10" i="1"/>
  <c r="F11" i="1"/>
  <c r="F12" i="1"/>
  <c r="X3" i="1"/>
  <c r="X4" i="1"/>
  <c r="X5" i="1"/>
  <c r="X6" i="1"/>
  <c r="X2" i="1"/>
  <c r="F7" i="1"/>
  <c r="N7" i="1" s="1"/>
  <c r="F4" i="1"/>
  <c r="F5" i="1"/>
  <c r="F6" i="1"/>
  <c r="F3" i="1"/>
  <c r="B22" i="1"/>
  <c r="L3" i="1" s="1"/>
  <c r="M3" i="1" s="1"/>
  <c r="Y3" i="1" s="1"/>
  <c r="K2" i="1"/>
  <c r="J4" i="1"/>
  <c r="K4" i="1" s="1"/>
  <c r="J5" i="1"/>
  <c r="K5" i="1" s="1"/>
  <c r="J6" i="1"/>
  <c r="K6" i="1" s="1"/>
  <c r="J3" i="1"/>
  <c r="K3" i="1" s="1"/>
  <c r="B19" i="1"/>
  <c r="E12" i="1" l="1"/>
  <c r="O14" i="1"/>
  <c r="O7" i="1"/>
  <c r="L16" i="1"/>
  <c r="M16" i="1" s="1"/>
  <c r="P16" i="1" s="1"/>
  <c r="U16" i="1" s="1"/>
  <c r="L13" i="1"/>
  <c r="M13" i="1" s="1"/>
  <c r="P13" i="1" s="1"/>
  <c r="U13" i="1" s="1"/>
  <c r="Z10" i="1"/>
  <c r="N9" i="1"/>
  <c r="O9" i="1" s="1"/>
  <c r="R9" i="1" s="1"/>
  <c r="W9" i="1" s="1"/>
  <c r="Z9" i="1"/>
  <c r="N11" i="1"/>
  <c r="E11" i="1"/>
  <c r="E10" i="1"/>
  <c r="Z5" i="1"/>
  <c r="Z3" i="1"/>
  <c r="Z16" i="1"/>
  <c r="Z8" i="1"/>
  <c r="N15" i="1"/>
  <c r="O15" i="1" s="1"/>
  <c r="T15" i="1" s="1"/>
  <c r="Z14" i="1"/>
  <c r="Z6" i="1"/>
  <c r="Z13" i="1"/>
  <c r="L14" i="1"/>
  <c r="M14" i="1" s="1"/>
  <c r="Y14" i="1" s="1"/>
  <c r="Z12" i="1"/>
  <c r="Z4" i="1"/>
  <c r="N16" i="1"/>
  <c r="O16" i="1" s="1"/>
  <c r="K15" i="1"/>
  <c r="K14" i="1"/>
  <c r="N13" i="1"/>
  <c r="O13" i="1" s="1"/>
  <c r="R13" i="1" s="1"/>
  <c r="W13" i="1" s="1"/>
  <c r="P15" i="1"/>
  <c r="U15" i="1" s="1"/>
  <c r="T14" i="1"/>
  <c r="Q14" i="1"/>
  <c r="V14" i="1" s="1"/>
  <c r="R14" i="1"/>
  <c r="W14" i="1" s="1"/>
  <c r="K11" i="1"/>
  <c r="O11" i="1"/>
  <c r="R11" i="1" s="1"/>
  <c r="W11" i="1" s="1"/>
  <c r="N10" i="1"/>
  <c r="O10" i="1" s="1"/>
  <c r="Q10" i="1" s="1"/>
  <c r="V10" i="1" s="1"/>
  <c r="R7" i="1"/>
  <c r="W7" i="1" s="1"/>
  <c r="Q7" i="1"/>
  <c r="V7" i="1" s="1"/>
  <c r="O8" i="1"/>
  <c r="T8" i="1" s="1"/>
  <c r="P3" i="1"/>
  <c r="U3" i="1" s="1"/>
  <c r="L9" i="1"/>
  <c r="M9" i="1" s="1"/>
  <c r="N12" i="1"/>
  <c r="O12" i="1" s="1"/>
  <c r="T12" i="1" s="1"/>
  <c r="K9" i="1"/>
  <c r="L12" i="1"/>
  <c r="M12" i="1" s="1"/>
  <c r="L10" i="1"/>
  <c r="M10" i="1" s="1"/>
  <c r="L7" i="1"/>
  <c r="M7" i="1" s="1"/>
  <c r="L8" i="1"/>
  <c r="M8" i="1" s="1"/>
  <c r="Y8" i="1" s="1"/>
  <c r="L11" i="1"/>
  <c r="M11" i="1" s="1"/>
  <c r="K8" i="1"/>
  <c r="T7" i="1"/>
  <c r="N6" i="1"/>
  <c r="N5" i="1"/>
  <c r="O5" i="1" s="1"/>
  <c r="R5" i="1" s="1"/>
  <c r="W5" i="1" s="1"/>
  <c r="O6" i="1"/>
  <c r="R6" i="1" s="1"/>
  <c r="W6" i="1" s="1"/>
  <c r="T5" i="1"/>
  <c r="N4" i="1"/>
  <c r="O4" i="1" s="1"/>
  <c r="N3" i="1"/>
  <c r="O3" i="1" s="1"/>
  <c r="O2" i="1"/>
  <c r="L6" i="1"/>
  <c r="M6" i="1" s="1"/>
  <c r="L5" i="1"/>
  <c r="M5" i="1" s="1"/>
  <c r="L2" i="1"/>
  <c r="M2" i="1" s="1"/>
  <c r="P2" i="1" s="1"/>
  <c r="U2" i="1" s="1"/>
  <c r="L4" i="1"/>
  <c r="M4" i="1" s="1"/>
  <c r="Y13" i="1" l="1"/>
  <c r="Q8" i="1"/>
  <c r="V8" i="1" s="1"/>
  <c r="Y16" i="1"/>
  <c r="Q13" i="1"/>
  <c r="V13" i="1" s="1"/>
  <c r="R10" i="1"/>
  <c r="W10" i="1" s="1"/>
  <c r="R15" i="1"/>
  <c r="W15" i="1" s="1"/>
  <c r="Q5" i="1"/>
  <c r="V5" i="1" s="1"/>
  <c r="T10" i="1"/>
  <c r="P8" i="1"/>
  <c r="U8" i="1" s="1"/>
  <c r="Q11" i="1"/>
  <c r="V11" i="1" s="1"/>
  <c r="Q15" i="1"/>
  <c r="V15" i="1" s="1"/>
  <c r="Q16" i="1"/>
  <c r="V16" i="1" s="1"/>
  <c r="R16" i="1"/>
  <c r="W16" i="1" s="1"/>
  <c r="T16" i="1"/>
  <c r="P7" i="1"/>
  <c r="U7" i="1" s="1"/>
  <c r="Y7" i="1"/>
  <c r="P6" i="1"/>
  <c r="U6" i="1" s="1"/>
  <c r="Y6" i="1"/>
  <c r="P11" i="1"/>
  <c r="U11" i="1" s="1"/>
  <c r="Y11" i="1"/>
  <c r="P9" i="1"/>
  <c r="U9" i="1" s="1"/>
  <c r="Y9" i="1"/>
  <c r="P10" i="1"/>
  <c r="U10" i="1" s="1"/>
  <c r="Y10" i="1"/>
  <c r="P14" i="1"/>
  <c r="U14" i="1" s="1"/>
  <c r="P5" i="1"/>
  <c r="U5" i="1" s="1"/>
  <c r="Y5" i="1"/>
  <c r="T13" i="1"/>
  <c r="P4" i="1"/>
  <c r="U4" i="1" s="1"/>
  <c r="Y4" i="1"/>
  <c r="P12" i="1"/>
  <c r="U12" i="1" s="1"/>
  <c r="Y12" i="1"/>
  <c r="T11" i="1"/>
  <c r="Q9" i="1"/>
  <c r="V9" i="1" s="1"/>
  <c r="R12" i="1"/>
  <c r="W12" i="1" s="1"/>
  <c r="T9" i="1"/>
  <c r="Q12" i="1"/>
  <c r="V12" i="1" s="1"/>
  <c r="R8" i="1"/>
  <c r="W8" i="1" s="1"/>
  <c r="Q6" i="1"/>
  <c r="V6" i="1" s="1"/>
  <c r="T6" i="1"/>
  <c r="T3" i="1"/>
  <c r="Q3" i="1"/>
  <c r="V3" i="1" s="1"/>
  <c r="R3" i="1"/>
  <c r="W3" i="1" s="1"/>
  <c r="T4" i="1"/>
  <c r="R4" i="1"/>
  <c r="W4" i="1" s="1"/>
  <c r="Q4" i="1"/>
  <c r="V4" i="1" s="1"/>
  <c r="R2" i="1"/>
  <c r="W2" i="1" s="1"/>
  <c r="Q2" i="1"/>
  <c r="V2" i="1" s="1"/>
  <c r="T2" i="1"/>
</calcChain>
</file>

<file path=xl/sharedStrings.xml><?xml version="1.0" encoding="utf-8"?>
<sst xmlns="http://schemas.openxmlformats.org/spreadsheetml/2006/main" count="80" uniqueCount="53">
  <si>
    <t>density [kg/m^3]</t>
  </si>
  <si>
    <t>viscosity [Pa*s]</t>
  </si>
  <si>
    <t>Bucket Mass [kg]</t>
  </si>
  <si>
    <t>Pipe diameter [mm]</t>
  </si>
  <si>
    <t>Length_Pipe [m]</t>
  </si>
  <si>
    <t>Pump Speed [%]</t>
  </si>
  <si>
    <t>Transducer [mA]</t>
  </si>
  <si>
    <t>Calibration</t>
  </si>
  <si>
    <t>Q [m^3/s]</t>
  </si>
  <si>
    <t>Q [L/s]</t>
  </si>
  <si>
    <t>zero flow current [mA]</t>
  </si>
  <si>
    <t>mA -&gt; PSI slope (transducer)</t>
  </si>
  <si>
    <t>Measurements in Bold</t>
  </si>
  <si>
    <t>Constants &amp; Measurements</t>
  </si>
  <si>
    <t>Diameter of Pipe [m]</t>
  </si>
  <si>
    <t xml:space="preserve">PSI -&gt; Pa </t>
  </si>
  <si>
    <t>Pi</t>
  </si>
  <si>
    <t>Re (eqn 9)</t>
  </si>
  <si>
    <t>f (eqn 15)</t>
  </si>
  <si>
    <t>&lt;Vz&gt; [m/s] (eqn 5)</t>
  </si>
  <si>
    <t>f (eqn 16)</t>
  </si>
  <si>
    <t>f (eqn 17)</t>
  </si>
  <si>
    <t>LOG(Re)</t>
  </si>
  <si>
    <t>Log(f) (eq 15)</t>
  </si>
  <si>
    <t>Log(f) (eqn16)</t>
  </si>
  <si>
    <t>Log(f) (eqn 17)</t>
  </si>
  <si>
    <t>f (eqn 6/ fanning fact)</t>
  </si>
  <si>
    <t>ΔP [Pa] (transducer)</t>
  </si>
  <si>
    <t>ΔP [psi] (transducer)</t>
  </si>
  <si>
    <t>Log(f) (eq6)</t>
  </si>
  <si>
    <t>Mass Water [kg]</t>
  </si>
  <si>
    <t>Time [s]</t>
  </si>
  <si>
    <t>Length of T adapter [in]</t>
  </si>
  <si>
    <t>Length of T adapter [m]</t>
  </si>
  <si>
    <t>Bend</t>
  </si>
  <si>
    <t>0°</t>
  </si>
  <si>
    <t>90°</t>
  </si>
  <si>
    <t>180°</t>
  </si>
  <si>
    <t>18"</t>
  </si>
  <si>
    <t>~Length</t>
  </si>
  <si>
    <t>Test</t>
  </si>
  <si>
    <t>6"</t>
  </si>
  <si>
    <t>11"</t>
  </si>
  <si>
    <t>Calculations in Std Text</t>
  </si>
  <si>
    <t>~17"</t>
  </si>
  <si>
    <t>12.337" = 6" 90° bend + 2*Tee joint</t>
  </si>
  <si>
    <t>17.337" = 180° 16" Pipe + 2*Tee Joints</t>
  </si>
  <si>
    <t>Direct Measurements of Bent Pipes were done in Inches, straight pipes in cm</t>
  </si>
  <si>
    <t>Notes</t>
  </si>
  <si>
    <t>10% power was not done because there is no flow rate</t>
  </si>
  <si>
    <t>only two data points were used for 6" straight, because … only 2 are needed?</t>
  </si>
  <si>
    <t>Tau_0 (shear stress) [Pa] (eqn23)</t>
  </si>
  <si>
    <t>Mass flow rate [kg/s]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</si>
</sst>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EB83-C15A-2849-BEA5-4EC532173B6F}">
  <dimension ref="A1:Z30"/>
  <sheetViews>
    <sheetView tabSelected="1" zoomScale="116" workbookViewId="0">
      <selection activeCell="I27" sqref="I27"/>
    </sheetView>
  </sheetViews>
  <sheetFormatPr baseColWidth="10" defaultRowHeight="16" x14ac:dyDescent="0.2"/>
  <cols>
    <col min="1" max="1" width="25" bestFit="1" customWidth="1"/>
    <col min="2" max="2" width="7.6640625" bestFit="1" customWidth="1"/>
    <col min="3" max="3" width="24.83203125" bestFit="1" customWidth="1"/>
    <col min="4" max="4" width="14.6640625" bestFit="1" customWidth="1"/>
    <col min="5" max="5" width="19.83203125" bestFit="1" customWidth="1"/>
    <col min="6" max="6" width="19.33203125" customWidth="1"/>
    <col min="7" max="7" width="15" bestFit="1" customWidth="1"/>
    <col min="8" max="8" width="8" bestFit="1" customWidth="1"/>
    <col min="9" max="9" width="14.83203125" bestFit="1" customWidth="1"/>
    <col min="10" max="11" width="12.33203125" bestFit="1" customWidth="1"/>
    <col min="12" max="12" width="18" bestFit="1" customWidth="1"/>
    <col min="13" max="13" width="17.6640625" bestFit="1" customWidth="1"/>
    <col min="14" max="14" width="16.83203125" bestFit="1" customWidth="1"/>
    <col min="15" max="15" width="12.33203125" bestFit="1" customWidth="1"/>
    <col min="16" max="16" width="19.5" bestFit="1" customWidth="1"/>
    <col min="17" max="18" width="12.33203125" bestFit="1" customWidth="1"/>
    <col min="19" max="19" width="9.1640625" bestFit="1" customWidth="1"/>
    <col min="20" max="20" width="12.33203125" bestFit="1" customWidth="1"/>
    <col min="21" max="21" width="12.83203125" customWidth="1"/>
    <col min="22" max="23" width="12.83203125" bestFit="1" customWidth="1"/>
    <col min="24" max="24" width="13.33203125" bestFit="1" customWidth="1"/>
    <col min="25" max="25" width="29" bestFit="1" customWidth="1"/>
    <col min="26" max="26" width="19" bestFit="1" customWidth="1"/>
  </cols>
  <sheetData>
    <row r="1" spans="1:26" s="4" customFormat="1" ht="17" thickBot="1" x14ac:dyDescent="0.25">
      <c r="A1" s="4" t="s">
        <v>40</v>
      </c>
      <c r="B1" s="4" t="s">
        <v>39</v>
      </c>
      <c r="C1" s="4" t="s">
        <v>34</v>
      </c>
      <c r="D1" s="5" t="s">
        <v>5</v>
      </c>
      <c r="E1" s="5" t="s">
        <v>4</v>
      </c>
      <c r="F1" s="5" t="s">
        <v>14</v>
      </c>
      <c r="G1" s="5" t="s">
        <v>30</v>
      </c>
      <c r="H1" s="5" t="s">
        <v>31</v>
      </c>
      <c r="I1" s="5" t="s">
        <v>6</v>
      </c>
      <c r="J1" s="6" t="s">
        <v>8</v>
      </c>
      <c r="K1" s="6" t="s">
        <v>9</v>
      </c>
      <c r="L1" s="6" t="s">
        <v>28</v>
      </c>
      <c r="M1" s="6" t="s">
        <v>27</v>
      </c>
      <c r="N1" s="6" t="s">
        <v>19</v>
      </c>
      <c r="O1" s="6" t="s">
        <v>17</v>
      </c>
      <c r="P1" s="6" t="s">
        <v>26</v>
      </c>
      <c r="Q1" s="6" t="s">
        <v>18</v>
      </c>
      <c r="R1" s="6" t="s">
        <v>20</v>
      </c>
      <c r="S1" s="6" t="s">
        <v>21</v>
      </c>
      <c r="T1" s="6" t="s">
        <v>22</v>
      </c>
      <c r="U1" s="6" t="s">
        <v>29</v>
      </c>
      <c r="V1" s="6" t="s">
        <v>23</v>
      </c>
      <c r="W1" s="6" t="s">
        <v>24</v>
      </c>
      <c r="X1" s="6" t="s">
        <v>25</v>
      </c>
      <c r="Y1" s="4" t="s">
        <v>51</v>
      </c>
      <c r="Z1" s="4" t="s">
        <v>52</v>
      </c>
    </row>
    <row r="2" spans="1:26" x14ac:dyDescent="0.2">
      <c r="A2" t="s">
        <v>7</v>
      </c>
      <c r="B2" t="s">
        <v>38</v>
      </c>
      <c r="C2" t="s">
        <v>35</v>
      </c>
      <c r="I2">
        <v>3.92</v>
      </c>
      <c r="J2" s="7">
        <v>0</v>
      </c>
      <c r="K2">
        <f>J2*1000</f>
        <v>0</v>
      </c>
      <c r="L2">
        <f>(I2 - $B$23) * $B$22</f>
        <v>0</v>
      </c>
      <c r="M2">
        <f>L2*$B$24</f>
        <v>0</v>
      </c>
      <c r="N2">
        <v>0</v>
      </c>
      <c r="O2" s="7">
        <f>F2 * N2 * $B$18 / $B$19</f>
        <v>0</v>
      </c>
      <c r="P2" s="8" t="e">
        <f>(($B$25)^2 * (F2/2)^5 * M2) / ($B$18 * J2^2 * E2)</f>
        <v>#DIV/0!</v>
      </c>
      <c r="Q2" s="8" t="e">
        <f>16 / O2</f>
        <v>#DIV/0!</v>
      </c>
      <c r="R2" s="8" t="e">
        <f xml:space="preserve"> 0.0791 / (O2^0.25)</f>
        <v>#DIV/0!</v>
      </c>
      <c r="S2" s="11"/>
      <c r="T2" s="7" t="e">
        <f>LOG10(O2)</f>
        <v>#NUM!</v>
      </c>
      <c r="U2" s="8" t="e">
        <f>LOG10(P2)</f>
        <v>#DIV/0!</v>
      </c>
      <c r="V2" s="8" t="e">
        <f>LOG10(Q2)</f>
        <v>#DIV/0!</v>
      </c>
      <c r="W2" s="8" t="e">
        <f t="shared" ref="W2:X2" si="0">LOG10(R2)</f>
        <v>#DIV/0!</v>
      </c>
      <c r="X2" s="11" t="e">
        <f t="shared" si="0"/>
        <v>#NUM!</v>
      </c>
    </row>
    <row r="3" spans="1:26" x14ac:dyDescent="0.2">
      <c r="A3" t="s">
        <v>7</v>
      </c>
      <c r="B3" t="s">
        <v>38</v>
      </c>
      <c r="C3" t="s">
        <v>35</v>
      </c>
      <c r="D3">
        <v>40</v>
      </c>
      <c r="E3">
        <v>0.495</v>
      </c>
      <c r="F3">
        <f>0.00851</f>
        <v>8.5100000000000002E-3</v>
      </c>
      <c r="G3">
        <v>4.45</v>
      </c>
      <c r="H3">
        <v>17</v>
      </c>
      <c r="I3">
        <v>5.31</v>
      </c>
      <c r="J3" s="9">
        <f>(G3/$B$18)/H3</f>
        <v>2.6176470588235295E-4</v>
      </c>
      <c r="K3">
        <f>J3*1000</f>
        <v>0.26176470588235295</v>
      </c>
      <c r="L3">
        <f>(I3 - $B$23) * $B$22</f>
        <v>2.1610696517412933</v>
      </c>
      <c r="M3">
        <f>L3*$B$24</f>
        <v>14900.0565920398</v>
      </c>
      <c r="N3">
        <f>J3/ ($B$25 * (F3/2)^2)</f>
        <v>4.6021678575829261</v>
      </c>
      <c r="O3" s="9">
        <f>F3 * N3 * $B$18 / $B$19</f>
        <v>39101.885451308604</v>
      </c>
      <c r="P3" s="10">
        <f>(($B$25)^2 * (F3/2)^5 * M3) / ($B$18 * J3^2 * E3)</f>
        <v>6.0472423473244075E-3</v>
      </c>
      <c r="Q3" s="10">
        <f t="shared" ref="Q3:Q16" si="1">16 / O3</f>
        <v>4.0918742959144275E-4</v>
      </c>
      <c r="R3" s="10">
        <f t="shared" ref="R3:R6" si="2" xml:space="preserve"> 0.0791 / (O3^0.25)</f>
        <v>5.6250586981101717E-3</v>
      </c>
      <c r="S3" s="12"/>
      <c r="T3" s="9">
        <f t="shared" ref="T3:T6" si="3">LOG10(O3)</f>
        <v>4.5921976991185547</v>
      </c>
      <c r="U3" s="10">
        <f t="shared" ref="U3:U6" si="4">LOG10(P3)</f>
        <v>-2.2184426264003951</v>
      </c>
      <c r="V3" s="10">
        <f t="shared" ref="V3:V6" si="5">LOG10(Q3)</f>
        <v>-3.3880777164626297</v>
      </c>
      <c r="W3" s="10">
        <f t="shared" ref="W3:W6" si="6">LOG10(R3)</f>
        <v>-2.249872941281962</v>
      </c>
      <c r="X3" s="12" t="e">
        <f t="shared" ref="X3:X6" si="7">LOG10(S3)</f>
        <v>#NUM!</v>
      </c>
      <c r="Y3" s="13">
        <f>M3*(F3/2)/(2*E3)</f>
        <v>64.040142221342776</v>
      </c>
      <c r="Z3" s="13">
        <f>J3*1000</f>
        <v>0.26176470588235295</v>
      </c>
    </row>
    <row r="4" spans="1:26" x14ac:dyDescent="0.2">
      <c r="A4" t="s">
        <v>7</v>
      </c>
      <c r="B4" t="s">
        <v>38</v>
      </c>
      <c r="C4" t="s">
        <v>35</v>
      </c>
      <c r="D4">
        <v>60</v>
      </c>
      <c r="E4">
        <v>0.495</v>
      </c>
      <c r="F4">
        <f t="shared" ref="F4:F16" si="8">0.00851</f>
        <v>8.5100000000000002E-3</v>
      </c>
      <c r="G4">
        <v>4.4000000000000004</v>
      </c>
      <c r="H4">
        <v>10.7</v>
      </c>
      <c r="I4">
        <v>7.07</v>
      </c>
      <c r="J4" s="9">
        <f>(G4/$B$18)/H4</f>
        <v>4.1121495327102811E-4</v>
      </c>
      <c r="K4">
        <f t="shared" ref="K4:K16" si="9">J4*1000</f>
        <v>0.41121495327102808</v>
      </c>
      <c r="L4">
        <f>(I4 - $B$23) * $B$22</f>
        <v>4.8973880597014929</v>
      </c>
      <c r="M4">
        <f>L4*$B$24</f>
        <v>33766.315298507463</v>
      </c>
      <c r="N4">
        <f>J4/ ($B$25 * (F4/2)^2)</f>
        <v>7.2296997951738513</v>
      </c>
      <c r="O4" s="9">
        <f>F4 * N4 * $B$18 / $B$19</f>
        <v>61426.462916263452</v>
      </c>
      <c r="P4" s="10">
        <f>(($B$25)^2 * (F4/2)^5 * M4) / ($B$18 * J4^2 * E4)</f>
        <v>5.5531257576420271E-3</v>
      </c>
      <c r="Q4" s="10">
        <f t="shared" si="1"/>
        <v>2.6047405695182543E-4</v>
      </c>
      <c r="R4" s="10">
        <f t="shared" si="2"/>
        <v>5.0244393291024314E-3</v>
      </c>
      <c r="S4" s="12"/>
      <c r="T4" s="9">
        <f t="shared" si="3"/>
        <v>4.788355508316875</v>
      </c>
      <c r="U4" s="10">
        <f t="shared" si="4"/>
        <v>-2.2554624912615298</v>
      </c>
      <c r="V4" s="10">
        <f t="shared" si="5"/>
        <v>-3.5842355256609499</v>
      </c>
      <c r="W4" s="10">
        <f t="shared" si="6"/>
        <v>-2.2989123935815421</v>
      </c>
      <c r="X4" s="12" t="e">
        <f t="shared" si="7"/>
        <v>#NUM!</v>
      </c>
      <c r="Y4" s="13">
        <f t="shared" ref="Y4:Y16" si="10">M4*(F4/2)/(2*E4)</f>
        <v>145.12694100520127</v>
      </c>
      <c r="Z4" s="13">
        <f t="shared" ref="Z4:Z16" si="11">J4*1000</f>
        <v>0.41121495327102808</v>
      </c>
    </row>
    <row r="5" spans="1:26" x14ac:dyDescent="0.2">
      <c r="A5" t="s">
        <v>7</v>
      </c>
      <c r="B5" t="s">
        <v>38</v>
      </c>
      <c r="C5" t="s">
        <v>35</v>
      </c>
      <c r="D5">
        <v>80</v>
      </c>
      <c r="E5">
        <v>0.495</v>
      </c>
      <c r="F5">
        <f t="shared" si="8"/>
        <v>8.5100000000000002E-3</v>
      </c>
      <c r="G5">
        <v>5.9</v>
      </c>
      <c r="H5">
        <v>10.5</v>
      </c>
      <c r="I5">
        <v>9.49</v>
      </c>
      <c r="J5" s="9">
        <f>(G5/$B$18)/H5</f>
        <v>5.6190476190476194E-4</v>
      </c>
      <c r="K5">
        <f t="shared" si="9"/>
        <v>0.56190476190476191</v>
      </c>
      <c r="L5">
        <f>(I5 - $B$23) * $B$22</f>
        <v>8.6598258706467668</v>
      </c>
      <c r="M5">
        <f>L5*$B$24</f>
        <v>59707.421019900503</v>
      </c>
      <c r="N5">
        <f>J5/ ($B$25 * (F5/2)^2)</f>
        <v>9.8790248499853934</v>
      </c>
      <c r="O5" s="9">
        <f>F5 * N5 * $B$18 / $B$19</f>
        <v>83936.203547699377</v>
      </c>
      <c r="P5" s="10">
        <f>(($B$25)^2 * (F5/2)^5 * M5) / ($B$18 * J5^2 * E5)</f>
        <v>5.2588952770342128E-3</v>
      </c>
      <c r="Q5" s="10">
        <f t="shared" si="1"/>
        <v>1.9062096358584408E-4</v>
      </c>
      <c r="R5" s="10">
        <f t="shared" si="2"/>
        <v>4.6471763465226225E-3</v>
      </c>
      <c r="S5" s="12"/>
      <c r="T5" s="9">
        <f t="shared" si="3"/>
        <v>4.9239493220881032</v>
      </c>
      <c r="U5" s="10">
        <f t="shared" si="4"/>
        <v>-2.2791054774198582</v>
      </c>
      <c r="V5" s="10">
        <f t="shared" si="5"/>
        <v>-3.7198293394321782</v>
      </c>
      <c r="W5" s="10">
        <f t="shared" si="6"/>
        <v>-2.3328108470243492</v>
      </c>
      <c r="X5" s="12" t="e">
        <f t="shared" si="7"/>
        <v>#NUM!</v>
      </c>
      <c r="Y5" s="13">
        <f t="shared" si="10"/>
        <v>256.6212893330067</v>
      </c>
      <c r="Z5" s="13">
        <f t="shared" si="11"/>
        <v>0.56190476190476191</v>
      </c>
    </row>
    <row r="6" spans="1:26" x14ac:dyDescent="0.2">
      <c r="A6" t="s">
        <v>7</v>
      </c>
      <c r="B6" t="s">
        <v>38</v>
      </c>
      <c r="C6" t="s">
        <v>35</v>
      </c>
      <c r="D6">
        <v>97.2</v>
      </c>
      <c r="E6">
        <v>0.495</v>
      </c>
      <c r="F6">
        <f t="shared" si="8"/>
        <v>8.5100000000000002E-3</v>
      </c>
      <c r="G6">
        <v>7.25</v>
      </c>
      <c r="H6">
        <v>10.66</v>
      </c>
      <c r="I6">
        <v>11.9</v>
      </c>
      <c r="J6" s="9">
        <f>(G6/$B$18)/H6</f>
        <v>6.8011257035647285E-4</v>
      </c>
      <c r="K6">
        <f t="shared" si="9"/>
        <v>0.68011257035647288</v>
      </c>
      <c r="L6">
        <f>(I6 - $B$23) * $B$22</f>
        <v>12.406716417910449</v>
      </c>
      <c r="M6">
        <f>L6*$B$24</f>
        <v>85541.332089552248</v>
      </c>
      <c r="N6">
        <f>J6/ ($B$25 * (F6/2)^2)</f>
        <v>11.957273614416925</v>
      </c>
      <c r="O6" s="9">
        <f>F6 * N6 * $B$18 / $B$19</f>
        <v>101593.84830140577</v>
      </c>
      <c r="P6" s="10">
        <f>(($B$25)^2 * (F6/2)^5 * M6) / ($B$18 * J6^2 * E6)</f>
        <v>5.1428758457882943E-3</v>
      </c>
      <c r="Q6" s="10">
        <f t="shared" si="1"/>
        <v>1.5748985068989266E-4</v>
      </c>
      <c r="R6" s="10">
        <f t="shared" si="2"/>
        <v>4.4305702871112376E-3</v>
      </c>
      <c r="S6" s="12"/>
      <c r="T6" s="9">
        <f t="shared" si="3"/>
        <v>5.0068674113963372</v>
      </c>
      <c r="U6" s="10">
        <f t="shared" si="4"/>
        <v>-2.2887939598593259</v>
      </c>
      <c r="V6" s="10">
        <f t="shared" si="5"/>
        <v>-3.8027474287404122</v>
      </c>
      <c r="W6" s="10">
        <f t="shared" si="6"/>
        <v>-2.3535403693514074</v>
      </c>
      <c r="X6" s="12" t="e">
        <f t="shared" si="7"/>
        <v>#NUM!</v>
      </c>
      <c r="Y6" s="13">
        <f t="shared" si="10"/>
        <v>367.65491721317659</v>
      </c>
      <c r="Z6" s="13">
        <f t="shared" si="11"/>
        <v>0.68011257035647288</v>
      </c>
    </row>
    <row r="7" spans="1:26" x14ac:dyDescent="0.2">
      <c r="B7" t="s">
        <v>41</v>
      </c>
      <c r="C7" t="s">
        <v>35</v>
      </c>
      <c r="D7">
        <v>60</v>
      </c>
      <c r="E7">
        <v>0.188</v>
      </c>
      <c r="F7">
        <f t="shared" si="8"/>
        <v>8.5100000000000002E-3</v>
      </c>
      <c r="G7">
        <v>4.55</v>
      </c>
      <c r="H7">
        <v>10.9</v>
      </c>
      <c r="I7">
        <v>5.24</v>
      </c>
      <c r="J7" s="9">
        <f>(G7/$B$18)/H7</f>
        <v>4.1743119266055045E-4</v>
      </c>
      <c r="K7">
        <f t="shared" si="9"/>
        <v>0.41743119266055045</v>
      </c>
      <c r="L7">
        <f>(I7 - $B$23) * $B$22</f>
        <v>2.0522388059701497</v>
      </c>
      <c r="M7">
        <f>L7*$B$24</f>
        <v>14149.694029850751</v>
      </c>
      <c r="N7">
        <f>J7/ ($B$25 * (F7/2)^2)</f>
        <v>7.3389894605512698</v>
      </c>
      <c r="O7" s="9">
        <f>F7 * N7 * $B$18 / $B$19</f>
        <v>62355.03225767902</v>
      </c>
      <c r="P7" s="10">
        <f>(($B$25)^2 * (F7/2)^5 * M7) / ($B$18 * J7^2 * E7)</f>
        <v>5.9458813141303043E-3</v>
      </c>
      <c r="Q7" s="10">
        <f t="shared" si="1"/>
        <v>2.5659516835595253E-4</v>
      </c>
      <c r="R7" s="10">
        <f t="shared" ref="R7:R12" si="12" xml:space="preserve"> 0.0791 / (O7^0.25)</f>
        <v>5.0056284051193962E-3</v>
      </c>
      <c r="S7" s="12"/>
      <c r="T7" s="9">
        <f t="shared" ref="T7:T12" si="13">LOG10(O7)</f>
        <v>4.7948715082323856</v>
      </c>
      <c r="U7" s="10">
        <f t="shared" ref="U7:U12" si="14">LOG10(P7)</f>
        <v>-2.2257837640064135</v>
      </c>
      <c r="V7" s="10">
        <f t="shared" ref="V7:V12" si="15">LOG10(Q7)</f>
        <v>-3.5907515255764606</v>
      </c>
      <c r="W7" s="10">
        <f t="shared" ref="W7:W12" si="16">LOG10(R7)</f>
        <v>-2.3005413935604198</v>
      </c>
      <c r="X7" s="12" t="e">
        <f t="shared" ref="X7:X12" si="17">LOG10(S7)</f>
        <v>#NUM!</v>
      </c>
      <c r="Y7" s="13">
        <f t="shared" si="10"/>
        <v>160.12486196014612</v>
      </c>
      <c r="Z7" s="13">
        <f t="shared" si="11"/>
        <v>0.41743119266055045</v>
      </c>
    </row>
    <row r="8" spans="1:26" x14ac:dyDescent="0.2">
      <c r="B8" t="s">
        <v>41</v>
      </c>
      <c r="C8" t="s">
        <v>35</v>
      </c>
      <c r="D8">
        <v>97.3</v>
      </c>
      <c r="E8">
        <v>0.188</v>
      </c>
      <c r="F8">
        <f t="shared" si="8"/>
        <v>8.5100000000000002E-3</v>
      </c>
      <c r="G8">
        <v>7.5</v>
      </c>
      <c r="H8">
        <v>11.1</v>
      </c>
      <c r="I8">
        <v>7.37</v>
      </c>
      <c r="J8" s="9">
        <f>(G8/$B$18)/H8</f>
        <v>6.7567567567567571E-4</v>
      </c>
      <c r="K8">
        <f t="shared" si="9"/>
        <v>0.67567567567567566</v>
      </c>
      <c r="L8">
        <f>(I8 - $B$23) * $B$22</f>
        <v>5.3638059701492544</v>
      </c>
      <c r="M8">
        <f>L8*$B$24</f>
        <v>36982.154850746272</v>
      </c>
      <c r="N8">
        <f>J8/ ($B$25 * (F8/2)^2)</f>
        <v>11.879267169588484</v>
      </c>
      <c r="O8" s="9">
        <f>F8 * N8 * $B$18 / $B$19</f>
        <v>100931.07389496604</v>
      </c>
      <c r="P8" s="10">
        <f>(($B$25)^2 * (F8/2)^5 * M8) / ($B$18 * J8^2 * E8)</f>
        <v>5.9313646986087435E-3</v>
      </c>
      <c r="Q8" s="10">
        <f t="shared" si="1"/>
        <v>1.5852402419348481E-4</v>
      </c>
      <c r="R8" s="10">
        <f t="shared" si="12"/>
        <v>4.4378258949932777E-3</v>
      </c>
      <c r="S8" s="12"/>
      <c r="T8" s="9">
        <f t="shared" si="13"/>
        <v>5.0040248941209393</v>
      </c>
      <c r="U8" s="10">
        <f t="shared" si="14"/>
        <v>-2.226845371916097</v>
      </c>
      <c r="V8" s="10">
        <f t="shared" si="15"/>
        <v>-3.7999049114650147</v>
      </c>
      <c r="W8" s="10">
        <f t="shared" si="16"/>
        <v>-2.3528297400325582</v>
      </c>
      <c r="X8" s="12" t="e">
        <f t="shared" si="17"/>
        <v>#NUM!</v>
      </c>
      <c r="Y8" s="13">
        <f t="shared" si="10"/>
        <v>418.50816194129095</v>
      </c>
      <c r="Z8" s="13">
        <f t="shared" si="11"/>
        <v>0.67567567567567566</v>
      </c>
    </row>
    <row r="9" spans="1:26" x14ac:dyDescent="0.2">
      <c r="B9" t="s">
        <v>42</v>
      </c>
      <c r="C9" t="s">
        <v>36</v>
      </c>
      <c r="D9">
        <v>60</v>
      </c>
      <c r="E9">
        <f xml:space="preserve"> 11 * 0.0254 + 2*$B$27</f>
        <v>0.34731959999999995</v>
      </c>
      <c r="F9">
        <f t="shared" si="8"/>
        <v>8.5100000000000002E-3</v>
      </c>
      <c r="G9">
        <f>4.05-0.75</f>
        <v>3.3</v>
      </c>
      <c r="H9">
        <v>10.75</v>
      </c>
      <c r="I9">
        <v>5.22</v>
      </c>
      <c r="J9" s="9">
        <f>(G9/$B$18)/H9</f>
        <v>3.0697674418604654E-4</v>
      </c>
      <c r="K9">
        <f t="shared" si="9"/>
        <v>0.30697674418604654</v>
      </c>
      <c r="L9">
        <f>(I9 - $B$23) * $B$22</f>
        <v>2.0211442786069651</v>
      </c>
      <c r="M9">
        <f>L9*$B$24</f>
        <v>13935.304726368158</v>
      </c>
      <c r="N9">
        <f>J9/ ($B$25 * (F9/2)^2)</f>
        <v>5.397054963373968</v>
      </c>
      <c r="O9" s="9">
        <f>F9 * N9 * $B$18 / $B$19</f>
        <v>45855.568828187366</v>
      </c>
      <c r="P9" s="10">
        <f>(($B$25)^2 * (F9/2)^5 * M9) / ($B$18 * J9^2 * E9)</f>
        <v>5.861018070074402E-3</v>
      </c>
      <c r="Q9" s="10">
        <f t="shared" si="1"/>
        <v>3.4892163392300608E-4</v>
      </c>
      <c r="R9" s="10">
        <f t="shared" si="12"/>
        <v>5.4054077778794589E-3</v>
      </c>
      <c r="S9" s="12"/>
      <c r="T9" s="9">
        <f t="shared" si="13"/>
        <v>4.6613920851421602</v>
      </c>
      <c r="U9" s="10">
        <f t="shared" si="14"/>
        <v>-2.2320269396452534</v>
      </c>
      <c r="V9" s="10">
        <f t="shared" si="15"/>
        <v>-3.4572721024862352</v>
      </c>
      <c r="W9" s="10">
        <f t="shared" si="16"/>
        <v>-2.2671715377878634</v>
      </c>
      <c r="X9" s="12" t="e">
        <f t="shared" si="17"/>
        <v>#NUM!</v>
      </c>
      <c r="Y9" s="13">
        <f t="shared" si="10"/>
        <v>85.360459949131183</v>
      </c>
      <c r="Z9" s="13">
        <f t="shared" si="11"/>
        <v>0.30697674418604654</v>
      </c>
    </row>
    <row r="10" spans="1:26" x14ac:dyDescent="0.2">
      <c r="B10" t="s">
        <v>42</v>
      </c>
      <c r="C10" t="s">
        <v>36</v>
      </c>
      <c r="D10">
        <v>40</v>
      </c>
      <c r="E10">
        <f xml:space="preserve"> 11 * 0.0254 + 2*$B$27</f>
        <v>0.34731959999999995</v>
      </c>
      <c r="F10">
        <f t="shared" si="8"/>
        <v>8.5100000000000002E-3</v>
      </c>
      <c r="G10">
        <v>2.1</v>
      </c>
      <c r="H10">
        <v>10.85</v>
      </c>
      <c r="I10">
        <v>4.49</v>
      </c>
      <c r="J10" s="9">
        <f>(G10/$B$18)/H10</f>
        <v>1.9354838709677422E-4</v>
      </c>
      <c r="K10">
        <f t="shared" si="9"/>
        <v>0.19354838709677422</v>
      </c>
      <c r="L10">
        <f>(I10 - $B$23) * $B$22</f>
        <v>0.8861940298507468</v>
      </c>
      <c r="M10">
        <f>L10*$B$24</f>
        <v>6110.0951492537351</v>
      </c>
      <c r="N10">
        <f>J10/ ($B$25 * (F10/2)^2)</f>
        <v>3.4028352408369593</v>
      </c>
      <c r="O10" s="9">
        <f>F10 * N10 * $B$18 / $B$19</f>
        <v>28911.868909267698</v>
      </c>
      <c r="P10" s="10">
        <f>(($B$25)^2 * (F10/2)^5 * M10) / ($B$18 * J10^2 * E10)</f>
        <v>6.4645217632417267E-3</v>
      </c>
      <c r="Q10" s="10">
        <f t="shared" si="1"/>
        <v>5.5340594031509324E-4</v>
      </c>
      <c r="R10" s="10">
        <f t="shared" si="12"/>
        <v>6.0660703407368127E-3</v>
      </c>
      <c r="S10" s="12"/>
      <c r="T10" s="9">
        <f t="shared" si="13"/>
        <v>4.4610761660652676</v>
      </c>
      <c r="U10" s="10">
        <f t="shared" si="14"/>
        <v>-2.1894635981258137</v>
      </c>
      <c r="V10" s="10">
        <f t="shared" si="15"/>
        <v>-3.256956183409343</v>
      </c>
      <c r="W10" s="10">
        <f t="shared" si="16"/>
        <v>-2.2170925580186402</v>
      </c>
      <c r="X10" s="12" t="e">
        <f t="shared" si="17"/>
        <v>#NUM!</v>
      </c>
      <c r="Y10" s="13">
        <f t="shared" si="10"/>
        <v>37.427278593080622</v>
      </c>
      <c r="Z10" s="13">
        <f t="shared" si="11"/>
        <v>0.19354838709677422</v>
      </c>
    </row>
    <row r="11" spans="1:26" x14ac:dyDescent="0.2">
      <c r="B11" t="s">
        <v>42</v>
      </c>
      <c r="C11" t="s">
        <v>36</v>
      </c>
      <c r="D11">
        <v>80</v>
      </c>
      <c r="E11">
        <f xml:space="preserve"> 11 * 0.0254 + 2*$B$27</f>
        <v>0.34731959999999995</v>
      </c>
      <c r="F11">
        <f t="shared" si="8"/>
        <v>8.5100000000000002E-3</v>
      </c>
      <c r="G11">
        <v>4.25</v>
      </c>
      <c r="H11">
        <v>9.98</v>
      </c>
      <c r="I11">
        <v>6.23</v>
      </c>
      <c r="J11" s="9">
        <f>(G11/$B$18)/H11</f>
        <v>4.2585170340681363E-4</v>
      </c>
      <c r="K11">
        <f t="shared" si="9"/>
        <v>0.42585170340681361</v>
      </c>
      <c r="L11">
        <f>(I11 - $B$23) * $B$22</f>
        <v>3.5914179104477624</v>
      </c>
      <c r="M11">
        <f>L11*$B$24</f>
        <v>24761.964552238816</v>
      </c>
      <c r="N11">
        <f>J11/ ($B$25 * (F11/2)^2)</f>
        <v>7.4870331159029613</v>
      </c>
      <c r="O11" s="9">
        <f>F11 * N11 * $B$18 / $B$19</f>
        <v>63612.871222378395</v>
      </c>
      <c r="P11" s="10">
        <f>(($B$25)^2 * (F11/2)^5 * M11) / ($B$18 * J11^2 * E11)</f>
        <v>5.4117267708373969E-3</v>
      </c>
      <c r="Q11" s="10">
        <f t="shared" si="1"/>
        <v>2.5152142471398706E-4</v>
      </c>
      <c r="R11" s="10">
        <f t="shared" si="12"/>
        <v>4.9806982802903911E-3</v>
      </c>
      <c r="S11" s="12"/>
      <c r="T11" s="9">
        <f t="shared" si="13"/>
        <v>4.803544998278837</v>
      </c>
      <c r="U11" s="10">
        <f t="shared" si="14"/>
        <v>-2.2666641383332995</v>
      </c>
      <c r="V11" s="10">
        <f t="shared" si="15"/>
        <v>-3.5994250156229124</v>
      </c>
      <c r="W11" s="10">
        <f t="shared" si="16"/>
        <v>-2.3027097660720326</v>
      </c>
      <c r="X11" s="12" t="e">
        <f t="shared" si="17"/>
        <v>#NUM!</v>
      </c>
      <c r="Y11" s="13">
        <f t="shared" si="10"/>
        <v>151.67897114037933</v>
      </c>
      <c r="Z11" s="13">
        <f t="shared" si="11"/>
        <v>0.42585170340681361</v>
      </c>
    </row>
    <row r="12" spans="1:26" x14ac:dyDescent="0.2">
      <c r="B12" t="s">
        <v>42</v>
      </c>
      <c r="C12" t="s">
        <v>36</v>
      </c>
      <c r="D12">
        <v>97.3</v>
      </c>
      <c r="E12">
        <f xml:space="preserve"> 11 * 0.0254 + 2*$B$27</f>
        <v>0.34731959999999995</v>
      </c>
      <c r="F12">
        <f t="shared" si="8"/>
        <v>8.5100000000000002E-3</v>
      </c>
      <c r="G12">
        <v>5.3</v>
      </c>
      <c r="H12">
        <v>10.25</v>
      </c>
      <c r="I12">
        <v>7.26</v>
      </c>
      <c r="J12" s="9">
        <f>(G12/$B$18)/H12</f>
        <v>5.1707317073170736E-4</v>
      </c>
      <c r="K12">
        <f t="shared" si="9"/>
        <v>0.51707317073170733</v>
      </c>
      <c r="L12">
        <f>(I12 - $B$23) * $B$22</f>
        <v>5.1927860696517412</v>
      </c>
      <c r="M12">
        <f>L12*$B$24</f>
        <v>35803.013681592041</v>
      </c>
      <c r="N12">
        <f>J12/ ($B$25 * (F12/2)^2)</f>
        <v>9.0908265051953236</v>
      </c>
      <c r="O12" s="9">
        <f>F12 * N12 * $B$18 / $B$19</f>
        <v>77239.350598254983</v>
      </c>
      <c r="P12" s="10">
        <f>(($B$25)^2 * (F12/2)^5 * M12) / ($B$18 * J12^2 * E12)</f>
        <v>5.3074158575252698E-3</v>
      </c>
      <c r="Q12" s="10">
        <f t="shared" si="1"/>
        <v>2.0714829780510191E-4</v>
      </c>
      <c r="R12" s="10">
        <f t="shared" si="12"/>
        <v>4.7447881902089786E-3</v>
      </c>
      <c r="S12" s="12"/>
      <c r="T12" s="9">
        <f t="shared" si="13"/>
        <v>4.887838613724913</v>
      </c>
      <c r="U12" s="10">
        <f t="shared" si="14"/>
        <v>-2.2751168823060306</v>
      </c>
      <c r="V12" s="10">
        <f t="shared" si="15"/>
        <v>-3.683718631068988</v>
      </c>
      <c r="W12" s="10">
        <f t="shared" si="16"/>
        <v>-2.3237831699335514</v>
      </c>
      <c r="X12" s="12" t="e">
        <f t="shared" si="17"/>
        <v>#NUM!</v>
      </c>
      <c r="Y12" s="13">
        <f t="shared" si="10"/>
        <v>219.31072017699861</v>
      </c>
      <c r="Z12" s="13">
        <f t="shared" si="11"/>
        <v>0.51707317073170733</v>
      </c>
    </row>
    <row r="13" spans="1:26" x14ac:dyDescent="0.2">
      <c r="B13" t="s">
        <v>44</v>
      </c>
      <c r="C13" t="s">
        <v>37</v>
      </c>
      <c r="D13">
        <v>40</v>
      </c>
      <c r="E13">
        <f>17.337*0.0254</f>
        <v>0.44035979999999997</v>
      </c>
      <c r="F13">
        <f t="shared" si="8"/>
        <v>8.5100000000000002E-3</v>
      </c>
      <c r="G13">
        <v>2.25</v>
      </c>
      <c r="H13">
        <v>11.66</v>
      </c>
      <c r="I13">
        <v>4.63</v>
      </c>
      <c r="J13" s="9">
        <f>(G13/$B$18)/H13</f>
        <v>1.9296740994854202E-4</v>
      </c>
      <c r="K13">
        <f t="shared" si="9"/>
        <v>0.19296740994854203</v>
      </c>
      <c r="L13">
        <f>(I13 - $B$23) * $B$22</f>
        <v>1.1038557213930349</v>
      </c>
      <c r="M13">
        <f>L13*$B$24</f>
        <v>7610.8202736318417</v>
      </c>
      <c r="N13">
        <f>J13/ ($B$25 * (F13/2)^2)</f>
        <v>3.3926208983473107</v>
      </c>
      <c r="O13" s="9">
        <f>F13 * N13 * $B$18 / $B$19</f>
        <v>28825.083710998017</v>
      </c>
      <c r="P13" s="10">
        <f>(($B$25)^2 * (F13/2)^5 * M13) / ($B$18 * J13^2 * E13)</f>
        <v>6.3892914489120205E-3</v>
      </c>
      <c r="Q13" s="10">
        <f t="shared" si="1"/>
        <v>5.5507210873754749E-4</v>
      </c>
      <c r="R13" s="10">
        <f t="shared" ref="R13:R16" si="18" xml:space="preserve"> 0.0791 / (O13^0.25)</f>
        <v>6.0706310541654143E-3</v>
      </c>
      <c r="S13" s="12"/>
      <c r="T13" s="9">
        <f t="shared" ref="T13:T16" si="19">LOG10(O13)</f>
        <v>4.4597705772042637</v>
      </c>
      <c r="U13" s="10">
        <f t="shared" ref="U13:U16" si="20">LOG10(P13)</f>
        <v>-2.1945473009792487</v>
      </c>
      <c r="V13" s="10">
        <f t="shared" ref="V13:V16" si="21">LOG10(Q13)</f>
        <v>-3.2556505945483392</v>
      </c>
      <c r="W13" s="10">
        <f t="shared" ref="W13:W16" si="22">LOG10(R13)</f>
        <v>-2.2167661608033895</v>
      </c>
      <c r="X13" s="12" t="e">
        <f t="shared" ref="X13:X16" si="23">LOG10(S13)</f>
        <v>#NUM!</v>
      </c>
      <c r="Y13" s="13">
        <f t="shared" si="10"/>
        <v>36.769977941110305</v>
      </c>
      <c r="Z13" s="13">
        <f t="shared" si="11"/>
        <v>0.19296740994854203</v>
      </c>
    </row>
    <row r="14" spans="1:26" x14ac:dyDescent="0.2">
      <c r="B14" t="s">
        <v>44</v>
      </c>
      <c r="C14" t="s">
        <v>37</v>
      </c>
      <c r="D14">
        <v>60</v>
      </c>
      <c r="E14">
        <f t="shared" ref="E14:E16" si="24">17.337*0.0254</f>
        <v>0.44035979999999997</v>
      </c>
      <c r="F14">
        <f t="shared" si="8"/>
        <v>8.5100000000000002E-3</v>
      </c>
      <c r="G14">
        <v>3.4</v>
      </c>
      <c r="H14">
        <v>11.17</v>
      </c>
      <c r="I14">
        <v>5.55</v>
      </c>
      <c r="J14" s="9">
        <f>(G14/$B$18)/H14</f>
        <v>3.0438675022381376E-4</v>
      </c>
      <c r="K14">
        <f t="shared" si="9"/>
        <v>0.30438675022381378</v>
      </c>
      <c r="L14">
        <f>(I14 - $B$23) * $B$22</f>
        <v>2.5342039800995027</v>
      </c>
      <c r="M14">
        <f>L14*$B$24</f>
        <v>17472.728233830847</v>
      </c>
      <c r="N14">
        <f>J14/ ($B$25 * (F14/2)^2)</f>
        <v>5.3515194626113916</v>
      </c>
      <c r="O14" s="9">
        <f>F14 * N14 * $B$18 / $B$19</f>
        <v>45468.68073764271</v>
      </c>
      <c r="P14" s="10">
        <f>(($B$25)^2 * (F14/2)^5 * M14) / ($B$18 * J14^2 * E14)</f>
        <v>5.895198082160576E-3</v>
      </c>
      <c r="Q14" s="10">
        <f t="shared" si="1"/>
        <v>3.5189057039769982E-4</v>
      </c>
      <c r="R14" s="10">
        <f t="shared" si="18"/>
        <v>5.4168697767503719E-3</v>
      </c>
      <c r="S14" s="12"/>
      <c r="T14" s="9">
        <f t="shared" si="19"/>
        <v>4.6577123534425429</v>
      </c>
      <c r="U14" s="10">
        <f t="shared" si="20"/>
        <v>-2.2295015977709238</v>
      </c>
      <c r="V14" s="10">
        <f t="shared" si="21"/>
        <v>-3.4535923707866178</v>
      </c>
      <c r="W14" s="10">
        <f t="shared" si="22"/>
        <v>-2.2662516048629593</v>
      </c>
      <c r="X14" s="12" t="e">
        <f t="shared" si="23"/>
        <v>#NUM!</v>
      </c>
      <c r="Y14" s="13">
        <f t="shared" si="10"/>
        <v>84.415583160577171</v>
      </c>
      <c r="Z14" s="13">
        <f t="shared" si="11"/>
        <v>0.30438675022381378</v>
      </c>
    </row>
    <row r="15" spans="1:26" x14ac:dyDescent="0.2">
      <c r="B15" t="s">
        <v>44</v>
      </c>
      <c r="C15" t="s">
        <v>37</v>
      </c>
      <c r="D15">
        <v>80</v>
      </c>
      <c r="E15">
        <f t="shared" si="24"/>
        <v>0.44035979999999997</v>
      </c>
      <c r="F15">
        <f t="shared" si="8"/>
        <v>8.5100000000000002E-3</v>
      </c>
      <c r="G15">
        <v>4.25</v>
      </c>
      <c r="H15">
        <v>9.9499999999999993</v>
      </c>
      <c r="I15">
        <v>6.83</v>
      </c>
      <c r="J15" s="9">
        <f>(G15/$B$18)/H15</f>
        <v>4.2713567839195989E-4</v>
      </c>
      <c r="K15">
        <f t="shared" si="9"/>
        <v>0.42713567839195987</v>
      </c>
      <c r="L15">
        <f>(I15 - $B$23) * $B$22</f>
        <v>4.5242537313432845</v>
      </c>
      <c r="M15">
        <f>L15*$B$24</f>
        <v>31193.643656716424</v>
      </c>
      <c r="N15">
        <f>J15/ ($B$25 * (F15/2)^2)</f>
        <v>7.5096070850966408</v>
      </c>
      <c r="O15" s="9">
        <f>F15 * N15 * $B$18 / $B$19</f>
        <v>63804.66882405393</v>
      </c>
      <c r="P15" s="10">
        <f>(($B$25)^2 * (F15/2)^5 * M15) / ($B$18 * J15^2 * E15)</f>
        <v>5.3447029897371913E-3</v>
      </c>
      <c r="Q15" s="10">
        <f t="shared" si="1"/>
        <v>2.5076534828699101E-4</v>
      </c>
      <c r="R15" s="10">
        <f t="shared" si="18"/>
        <v>4.9769510438221788E-3</v>
      </c>
      <c r="S15" s="12"/>
      <c r="T15" s="9">
        <f t="shared" si="19"/>
        <v>4.8048524588204833</v>
      </c>
      <c r="U15" s="10">
        <f t="shared" si="20"/>
        <v>-2.2720764239448545</v>
      </c>
      <c r="V15" s="10">
        <f t="shared" si="21"/>
        <v>-3.6007324761645583</v>
      </c>
      <c r="W15" s="10">
        <f t="shared" si="22"/>
        <v>-2.3030366312074442</v>
      </c>
      <c r="X15" s="12" t="e">
        <f t="shared" si="23"/>
        <v>#NUM!</v>
      </c>
      <c r="Y15" s="13">
        <f t="shared" si="10"/>
        <v>150.70512085722675</v>
      </c>
      <c r="Z15" s="13">
        <f t="shared" si="11"/>
        <v>0.42713567839195987</v>
      </c>
    </row>
    <row r="16" spans="1:26" x14ac:dyDescent="0.2">
      <c r="B16" t="s">
        <v>44</v>
      </c>
      <c r="C16" t="s">
        <v>37</v>
      </c>
      <c r="D16">
        <v>97.3</v>
      </c>
      <c r="E16">
        <f t="shared" si="24"/>
        <v>0.44035979999999997</v>
      </c>
      <c r="F16">
        <f t="shared" si="8"/>
        <v>8.5100000000000002E-3</v>
      </c>
      <c r="G16">
        <v>5</v>
      </c>
      <c r="H16">
        <v>9.65</v>
      </c>
      <c r="I16">
        <v>8.14</v>
      </c>
      <c r="J16" s="9">
        <f>(G16/$B$18)/H16</f>
        <v>5.1813471502590671E-4</v>
      </c>
      <c r="K16">
        <f t="shared" si="9"/>
        <v>0.51813471502590669</v>
      </c>
      <c r="L16">
        <f>(I16 - $B$23) * $B$22</f>
        <v>6.5609452736318419</v>
      </c>
      <c r="M16">
        <f>L16*$B$24</f>
        <v>45236.14303482588</v>
      </c>
      <c r="N16">
        <f>J16/ ($B$25 * (F16/2)^2)</f>
        <v>9.1094898502543806</v>
      </c>
      <c r="O16" s="9">
        <f>F16 * N16 * $B$18 / $B$19</f>
        <v>77397.921950543896</v>
      </c>
      <c r="P16" s="10">
        <f>(($B$25)^2 * (F16/2)^5 * M16) / ($B$18 * J16^2 * E16)</f>
        <v>5.2673157702867058E-3</v>
      </c>
      <c r="Q16" s="10">
        <f t="shared" si="1"/>
        <v>2.0672389641447685E-4</v>
      </c>
      <c r="R16" s="10">
        <f t="shared" si="18"/>
        <v>4.7423560634596911E-3</v>
      </c>
      <c r="S16" s="12"/>
      <c r="T16" s="9">
        <f t="shared" si="19"/>
        <v>4.8887293005081229</v>
      </c>
      <c r="U16" s="10">
        <f t="shared" si="20"/>
        <v>-2.2784106453443682</v>
      </c>
      <c r="V16" s="10">
        <f t="shared" si="21"/>
        <v>-3.6846093178521984</v>
      </c>
      <c r="W16" s="10">
        <f t="shared" si="22"/>
        <v>-2.3240058416293543</v>
      </c>
      <c r="X16" s="12" t="e">
        <f t="shared" si="23"/>
        <v>#NUM!</v>
      </c>
      <c r="Y16" s="13">
        <f t="shared" si="10"/>
        <v>218.54831959364154</v>
      </c>
      <c r="Z16" s="13">
        <f t="shared" si="11"/>
        <v>0.51813471502590669</v>
      </c>
    </row>
    <row r="17" spans="1:24" x14ac:dyDescent="0.2">
      <c r="A17" s="1" t="s">
        <v>13</v>
      </c>
      <c r="C17" s="1"/>
      <c r="D17" s="1"/>
      <c r="E17" s="1"/>
      <c r="J17" s="9"/>
      <c r="O17" s="9"/>
      <c r="P17" s="10"/>
      <c r="Q17" s="10"/>
      <c r="R17" s="10"/>
      <c r="S17" s="12"/>
      <c r="T17" s="9"/>
      <c r="U17" s="10"/>
      <c r="V17" s="10"/>
      <c r="W17" s="10"/>
      <c r="X17" s="12"/>
    </row>
    <row r="18" spans="1:24" x14ac:dyDescent="0.2">
      <c r="A18" t="s">
        <v>0</v>
      </c>
      <c r="B18">
        <v>1000</v>
      </c>
      <c r="D18" s="1" t="s">
        <v>47</v>
      </c>
      <c r="J18" s="9"/>
      <c r="O18" s="9"/>
      <c r="P18" s="10"/>
      <c r="Q18" s="10"/>
      <c r="R18" s="10"/>
      <c r="S18" s="12"/>
      <c r="T18" s="9"/>
      <c r="U18" s="10"/>
      <c r="V18" s="10"/>
      <c r="W18" s="10"/>
      <c r="X18" s="12"/>
    </row>
    <row r="19" spans="1:24" x14ac:dyDescent="0.2">
      <c r="A19" t="s">
        <v>1</v>
      </c>
      <c r="B19">
        <f xml:space="preserve"> 1.0016*10^-3</f>
        <v>1.0016000000000001E-3</v>
      </c>
      <c r="D19" t="s">
        <v>45</v>
      </c>
      <c r="J19" s="9"/>
      <c r="O19" s="9"/>
      <c r="P19" s="10"/>
      <c r="Q19" s="10"/>
      <c r="R19" s="10"/>
      <c r="S19" s="12"/>
      <c r="T19" s="9"/>
      <c r="U19" s="10"/>
      <c r="V19" s="10"/>
      <c r="W19" s="10"/>
      <c r="X19" s="12"/>
    </row>
    <row r="20" spans="1:24" x14ac:dyDescent="0.2">
      <c r="A20" t="s">
        <v>3</v>
      </c>
      <c r="B20">
        <v>8.51</v>
      </c>
      <c r="D20" t="s">
        <v>46</v>
      </c>
      <c r="J20" s="9"/>
      <c r="O20" s="9"/>
      <c r="P20" s="10"/>
      <c r="Q20" s="10"/>
      <c r="R20" s="10"/>
      <c r="S20" s="12"/>
      <c r="T20" s="9"/>
      <c r="U20" s="10"/>
      <c r="V20" s="10"/>
      <c r="W20" s="10"/>
      <c r="X20" s="12"/>
    </row>
    <row r="21" spans="1:24" x14ac:dyDescent="0.2">
      <c r="A21" t="s">
        <v>2</v>
      </c>
      <c r="B21">
        <v>0.75</v>
      </c>
      <c r="J21" s="9"/>
      <c r="O21" s="9"/>
      <c r="P21" s="10"/>
      <c r="Q21" s="10"/>
      <c r="R21" s="10"/>
      <c r="S21" s="12"/>
      <c r="T21" s="9"/>
      <c r="U21" s="10"/>
      <c r="V21" s="10"/>
      <c r="W21" s="10"/>
      <c r="X21" s="12"/>
    </row>
    <row r="22" spans="1:24" x14ac:dyDescent="0.2">
      <c r="A22" t="s">
        <v>11</v>
      </c>
      <c r="B22">
        <f>(25 - 0) / (20 - 3.92)</f>
        <v>1.5547263681592041</v>
      </c>
      <c r="D22" s="1" t="s">
        <v>48</v>
      </c>
      <c r="Q22" s="10"/>
      <c r="R22" s="10"/>
      <c r="S22" s="12"/>
      <c r="T22" s="9"/>
      <c r="U22" s="10"/>
      <c r="V22" s="10"/>
      <c r="W22" s="10"/>
      <c r="X22" s="12"/>
    </row>
    <row r="23" spans="1:24" x14ac:dyDescent="0.2">
      <c r="A23" t="s">
        <v>10</v>
      </c>
      <c r="B23">
        <v>3.92</v>
      </c>
      <c r="D23" t="s">
        <v>49</v>
      </c>
      <c r="Q23" s="10"/>
      <c r="R23" s="10"/>
      <c r="S23" s="12"/>
      <c r="T23" s="9"/>
      <c r="U23" s="10"/>
      <c r="V23" s="10"/>
      <c r="W23" s="10"/>
      <c r="X23" s="12"/>
    </row>
    <row r="24" spans="1:24" x14ac:dyDescent="0.2">
      <c r="A24" t="s">
        <v>15</v>
      </c>
      <c r="B24">
        <v>6894.76</v>
      </c>
      <c r="D24" t="s">
        <v>50</v>
      </c>
      <c r="Q24" s="10"/>
      <c r="R24" s="10"/>
      <c r="S24" s="12"/>
      <c r="T24" s="9"/>
      <c r="U24" s="10"/>
      <c r="V24" s="10"/>
      <c r="W24" s="10"/>
      <c r="X24" s="12"/>
    </row>
    <row r="25" spans="1:24" x14ac:dyDescent="0.2">
      <c r="A25" t="s">
        <v>16</v>
      </c>
      <c r="B25">
        <v>3.1415899999999999</v>
      </c>
      <c r="Q25" s="10"/>
      <c r="R25" s="10"/>
      <c r="S25" s="12"/>
      <c r="T25" s="9"/>
      <c r="U25" s="10"/>
      <c r="V25" s="10"/>
      <c r="W25" s="10"/>
      <c r="X25" s="12"/>
    </row>
    <row r="26" spans="1:24" x14ac:dyDescent="0.2">
      <c r="A26" t="s">
        <v>32</v>
      </c>
      <c r="B26">
        <v>1.337</v>
      </c>
      <c r="Q26" s="10"/>
      <c r="R26" s="10"/>
      <c r="S26" s="12"/>
      <c r="T26" s="9"/>
      <c r="U26" s="10"/>
      <c r="V26" s="10"/>
      <c r="W26" s="10"/>
      <c r="X26" s="12"/>
    </row>
    <row r="27" spans="1:24" ht="17" thickBot="1" x14ac:dyDescent="0.25">
      <c r="A27" t="s">
        <v>33</v>
      </c>
      <c r="B27">
        <f>B26*0.0254</f>
        <v>3.3959799999999998E-2</v>
      </c>
      <c r="Q27" s="10"/>
      <c r="R27" s="10"/>
      <c r="S27" s="12"/>
      <c r="T27" s="9"/>
      <c r="U27" s="10"/>
      <c r="V27" s="10"/>
      <c r="W27" s="10"/>
      <c r="X27" s="12"/>
    </row>
    <row r="28" spans="1:24" ht="17" thickBot="1" x14ac:dyDescent="0.25">
      <c r="C28" s="2" t="s">
        <v>12</v>
      </c>
      <c r="D28" s="3" t="s">
        <v>43</v>
      </c>
      <c r="Q28" s="10"/>
      <c r="R28" s="10"/>
      <c r="S28" s="12"/>
      <c r="T28" s="9"/>
      <c r="U28" s="10"/>
      <c r="V28" s="10"/>
      <c r="W28" s="10"/>
      <c r="X28" s="12"/>
    </row>
    <row r="29" spans="1:24" x14ac:dyDescent="0.2">
      <c r="Q29" s="10"/>
      <c r="R29" s="10"/>
      <c r="S29" s="12"/>
      <c r="T29" s="9"/>
      <c r="U29" s="10"/>
      <c r="V29" s="10"/>
      <c r="W29" s="10"/>
      <c r="X29" s="12"/>
    </row>
    <row r="30" spans="1:24" x14ac:dyDescent="0.2">
      <c r="Q30" s="10"/>
      <c r="R30" s="10"/>
      <c r="S30" s="12"/>
      <c r="T30" s="9"/>
      <c r="U30" s="10"/>
      <c r="V30" s="10"/>
      <c r="W30" s="10"/>
      <c r="X3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Johanson</dc:creator>
  <cp:lastModifiedBy>Wesley Johanson</cp:lastModifiedBy>
  <dcterms:created xsi:type="dcterms:W3CDTF">2022-04-06T17:20:38Z</dcterms:created>
  <dcterms:modified xsi:type="dcterms:W3CDTF">2022-04-12T02:20:46Z</dcterms:modified>
</cp:coreProperties>
</file>