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johanson/Documents/College Classes_UC Santa Barbara/ChemE 180A Chemical Engineering Lab/Friction Factors Lab/"/>
    </mc:Choice>
  </mc:AlternateContent>
  <xr:revisionPtr revIDLastSave="0" documentId="8_{6CBE823D-B9FA-BE44-BAAA-D90AED41BB7A}" xr6:coauthVersionLast="47" xr6:coauthVersionMax="47" xr10:uidLastSave="{00000000-0000-0000-0000-000000000000}"/>
  <bookViews>
    <workbookView xWindow="0" yWindow="500" windowWidth="33600" windowHeight="20500" xr2:uid="{EB6E2F67-B03D-BD47-BBF4-081A1D3BA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E27" i="1"/>
  <c r="E28" i="1"/>
  <c r="E29" i="1"/>
  <c r="E26" i="1"/>
  <c r="K26" i="1"/>
  <c r="L26" i="1" s="1"/>
  <c r="Y26" i="1"/>
  <c r="K27" i="1"/>
  <c r="O27" i="1" s="1"/>
  <c r="Y27" i="1"/>
  <c r="K28" i="1"/>
  <c r="O28" i="1" s="1"/>
  <c r="Y28" i="1"/>
  <c r="K29" i="1"/>
  <c r="L29" i="1" s="1"/>
  <c r="Y29" i="1"/>
  <c r="K20" i="1"/>
  <c r="AA20" i="1" s="1"/>
  <c r="L20" i="1"/>
  <c r="Y20" i="1"/>
  <c r="K21" i="1"/>
  <c r="Y21" i="1"/>
  <c r="Y22" i="1"/>
  <c r="K23" i="1"/>
  <c r="L23" i="1" s="1"/>
  <c r="Y23" i="1"/>
  <c r="K24" i="1"/>
  <c r="AA24" i="1" s="1"/>
  <c r="Y24" i="1"/>
  <c r="K25" i="1"/>
  <c r="L25" i="1" s="1"/>
  <c r="Y25" i="1"/>
  <c r="G22" i="1"/>
  <c r="K22" i="1" s="1"/>
  <c r="D11" i="1"/>
  <c r="E22" i="1" s="1"/>
  <c r="F22" i="1"/>
  <c r="F21" i="1"/>
  <c r="F23" i="1"/>
  <c r="F24" i="1"/>
  <c r="F25" i="1"/>
  <c r="Y16" i="1"/>
  <c r="Y17" i="1"/>
  <c r="Y18" i="1"/>
  <c r="Y19" i="1"/>
  <c r="Y15" i="1"/>
  <c r="F20" i="1"/>
  <c r="O20" i="1" s="1"/>
  <c r="F17" i="1"/>
  <c r="F18" i="1"/>
  <c r="F19" i="1"/>
  <c r="F16" i="1"/>
  <c r="D6" i="1"/>
  <c r="M16" i="1" s="1"/>
  <c r="N16" i="1" s="1"/>
  <c r="Z16" i="1" s="1"/>
  <c r="L15" i="1"/>
  <c r="K17" i="1"/>
  <c r="L17" i="1" s="1"/>
  <c r="K18" i="1"/>
  <c r="L18" i="1" s="1"/>
  <c r="K19" i="1"/>
  <c r="L19" i="1" s="1"/>
  <c r="K16" i="1"/>
  <c r="L16" i="1" s="1"/>
  <c r="D3" i="1"/>
  <c r="O22" i="1" l="1"/>
  <c r="AA22" i="1"/>
  <c r="O21" i="1"/>
  <c r="P21" i="1" s="1"/>
  <c r="M29" i="1"/>
  <c r="N29" i="1" s="1"/>
  <c r="P27" i="1"/>
  <c r="U27" i="1" s="1"/>
  <c r="AA23" i="1"/>
  <c r="O24" i="1"/>
  <c r="P24" i="1" s="1"/>
  <c r="S24" i="1" s="1"/>
  <c r="X24" i="1" s="1"/>
  <c r="M26" i="1"/>
  <c r="N26" i="1" s="1"/>
  <c r="AA16" i="1"/>
  <c r="M28" i="1"/>
  <c r="N28" i="1" s="1"/>
  <c r="Z28" i="1" s="1"/>
  <c r="AA29" i="1"/>
  <c r="AA21" i="1"/>
  <c r="P20" i="1"/>
  <c r="U20" i="1" s="1"/>
  <c r="E25" i="1"/>
  <c r="P28" i="1"/>
  <c r="U28" i="1" s="1"/>
  <c r="AA28" i="1"/>
  <c r="AA27" i="1"/>
  <c r="AA19" i="1"/>
  <c r="E24" i="1"/>
  <c r="E23" i="1"/>
  <c r="AA26" i="1"/>
  <c r="AA18" i="1"/>
  <c r="M27" i="1"/>
  <c r="N27" i="1" s="1"/>
  <c r="Z27" i="1" s="1"/>
  <c r="AA25" i="1"/>
  <c r="AA17" i="1"/>
  <c r="O29" i="1"/>
  <c r="P29" i="1"/>
  <c r="R29" i="1" s="1"/>
  <c r="W29" i="1" s="1"/>
  <c r="L28" i="1"/>
  <c r="L27" i="1"/>
  <c r="O26" i="1"/>
  <c r="P26" i="1" s="1"/>
  <c r="S26" i="1" s="1"/>
  <c r="X26" i="1" s="1"/>
  <c r="R26" i="1"/>
  <c r="W26" i="1" s="1"/>
  <c r="Q28" i="1"/>
  <c r="V28" i="1" s="1"/>
  <c r="L24" i="1"/>
  <c r="O23" i="1"/>
  <c r="P23" i="1" s="1"/>
  <c r="R23" i="1" s="1"/>
  <c r="W23" i="1" s="1"/>
  <c r="S20" i="1"/>
  <c r="X20" i="1" s="1"/>
  <c r="R20" i="1"/>
  <c r="W20" i="1" s="1"/>
  <c r="Q16" i="1"/>
  <c r="V16" i="1" s="1"/>
  <c r="M22" i="1"/>
  <c r="N22" i="1" s="1"/>
  <c r="O25" i="1"/>
  <c r="P25" i="1" s="1"/>
  <c r="U25" i="1" s="1"/>
  <c r="L22" i="1"/>
  <c r="M25" i="1"/>
  <c r="N25" i="1" s="1"/>
  <c r="M23" i="1"/>
  <c r="N23" i="1" s="1"/>
  <c r="M20" i="1"/>
  <c r="N20" i="1" s="1"/>
  <c r="P22" i="1"/>
  <c r="S22" i="1" s="1"/>
  <c r="X22" i="1" s="1"/>
  <c r="M21" i="1"/>
  <c r="N21" i="1" s="1"/>
  <c r="Z21" i="1" s="1"/>
  <c r="M24" i="1"/>
  <c r="N24" i="1" s="1"/>
  <c r="L21" i="1"/>
  <c r="Q21" i="1"/>
  <c r="V21" i="1" s="1"/>
  <c r="O19" i="1"/>
  <c r="P19" i="1" s="1"/>
  <c r="S19" i="1" s="1"/>
  <c r="X19" i="1" s="1"/>
  <c r="O18" i="1"/>
  <c r="P18" i="1" s="1"/>
  <c r="U18" i="1" s="1"/>
  <c r="O17" i="1"/>
  <c r="P17" i="1" s="1"/>
  <c r="O16" i="1"/>
  <c r="P16" i="1" s="1"/>
  <c r="P15" i="1"/>
  <c r="M19" i="1"/>
  <c r="N19" i="1" s="1"/>
  <c r="M18" i="1"/>
  <c r="N18" i="1" s="1"/>
  <c r="M15" i="1"/>
  <c r="N15" i="1" s="1"/>
  <c r="Q15" i="1" s="1"/>
  <c r="V15" i="1" s="1"/>
  <c r="M17" i="1"/>
  <c r="N17" i="1" s="1"/>
  <c r="S23" i="1" l="1"/>
  <c r="X23" i="1" s="1"/>
  <c r="U23" i="1"/>
  <c r="R18" i="1"/>
  <c r="W18" i="1" s="1"/>
  <c r="S18" i="1"/>
  <c r="X18" i="1" s="1"/>
  <c r="U29" i="1"/>
  <c r="Q27" i="1"/>
  <c r="V27" i="1" s="1"/>
  <c r="R27" i="1"/>
  <c r="W27" i="1" s="1"/>
  <c r="U21" i="1"/>
  <c r="R21" i="1"/>
  <c r="W21" i="1" s="1"/>
  <c r="Q23" i="1"/>
  <c r="V23" i="1" s="1"/>
  <c r="Z23" i="1"/>
  <c r="Q20" i="1"/>
  <c r="V20" i="1" s="1"/>
  <c r="Z20" i="1"/>
  <c r="Q25" i="1"/>
  <c r="V25" i="1" s="1"/>
  <c r="Z25" i="1"/>
  <c r="R24" i="1"/>
  <c r="W24" i="1" s="1"/>
  <c r="S27" i="1"/>
  <c r="X27" i="1" s="1"/>
  <c r="Q26" i="1"/>
  <c r="V26" i="1" s="1"/>
  <c r="Z26" i="1"/>
  <c r="Q29" i="1"/>
  <c r="V29" i="1" s="1"/>
  <c r="Z29" i="1"/>
  <c r="Q19" i="1"/>
  <c r="V19" i="1" s="1"/>
  <c r="Z19" i="1"/>
  <c r="Q24" i="1"/>
  <c r="V24" i="1" s="1"/>
  <c r="Z24" i="1"/>
  <c r="Q22" i="1"/>
  <c r="V22" i="1" s="1"/>
  <c r="Z22" i="1"/>
  <c r="S28" i="1"/>
  <c r="X28" i="1" s="1"/>
  <c r="Q17" i="1"/>
  <c r="V17" i="1" s="1"/>
  <c r="Z17" i="1"/>
  <c r="U26" i="1"/>
  <c r="R28" i="1"/>
  <c r="W28" i="1" s="1"/>
  <c r="Q18" i="1"/>
  <c r="V18" i="1" s="1"/>
  <c r="Z18" i="1"/>
  <c r="S29" i="1"/>
  <c r="X29" i="1" s="1"/>
  <c r="U24" i="1"/>
  <c r="R22" i="1"/>
  <c r="W22" i="1" s="1"/>
  <c r="S25" i="1"/>
  <c r="X25" i="1" s="1"/>
  <c r="U22" i="1"/>
  <c r="R25" i="1"/>
  <c r="W25" i="1" s="1"/>
  <c r="S21" i="1"/>
  <c r="X21" i="1" s="1"/>
  <c r="R19" i="1"/>
  <c r="W19" i="1" s="1"/>
  <c r="U19" i="1"/>
  <c r="U16" i="1"/>
  <c r="R16" i="1"/>
  <c r="W16" i="1" s="1"/>
  <c r="S16" i="1"/>
  <c r="X16" i="1" s="1"/>
  <c r="U17" i="1"/>
  <c r="S17" i="1"/>
  <c r="X17" i="1" s="1"/>
  <c r="R17" i="1"/>
  <c r="W17" i="1" s="1"/>
  <c r="S15" i="1"/>
  <c r="X15" i="1" s="1"/>
  <c r="R15" i="1"/>
  <c r="W15" i="1" s="1"/>
  <c r="U15" i="1"/>
</calcChain>
</file>

<file path=xl/sharedStrings.xml><?xml version="1.0" encoding="utf-8"?>
<sst xmlns="http://schemas.openxmlformats.org/spreadsheetml/2006/main" count="92" uniqueCount="58">
  <si>
    <t>density [kg/m^3]</t>
  </si>
  <si>
    <t>viscosity [Pa*s]</t>
  </si>
  <si>
    <t>Bucket Mass [kg]</t>
  </si>
  <si>
    <t>Pipe diameter [mm]</t>
  </si>
  <si>
    <t>Pump Speed [%]</t>
  </si>
  <si>
    <t>Transducer [mA]</t>
  </si>
  <si>
    <t>Calibration</t>
  </si>
  <si>
    <t>Q [m^3/s]</t>
  </si>
  <si>
    <t>Q [L/s]</t>
  </si>
  <si>
    <t>zero flow current [mA]</t>
  </si>
  <si>
    <t>mA -&gt; PSI slope (transducer)</t>
  </si>
  <si>
    <t>Measurements in Bold</t>
  </si>
  <si>
    <t>Constants &amp; Measurements</t>
  </si>
  <si>
    <t>Diameter of Pipe [m]</t>
  </si>
  <si>
    <t xml:space="preserve">PSI -&gt; Pa </t>
  </si>
  <si>
    <t>Pi</t>
  </si>
  <si>
    <t>Re (eqn 9)</t>
  </si>
  <si>
    <t>f (eqn 15)</t>
  </si>
  <si>
    <t>&lt;Vz&gt; [m/s] (eqn 5)</t>
  </si>
  <si>
    <t>f (eqn 16)</t>
  </si>
  <si>
    <t>f (eqn 17)</t>
  </si>
  <si>
    <t>LOG(Re)</t>
  </si>
  <si>
    <t>Log(f) (eq 15)</t>
  </si>
  <si>
    <t>Log(f) (eqn16)</t>
  </si>
  <si>
    <t>Log(f) (eqn 17)</t>
  </si>
  <si>
    <t>f (eqn 6/ fanning fact)</t>
  </si>
  <si>
    <t>ΔP [Pa] (transducer)</t>
  </si>
  <si>
    <t>ΔP [psi] (transducer)</t>
  </si>
  <si>
    <t>Log(f) (eq6)</t>
  </si>
  <si>
    <t>Mass Water [kg]</t>
  </si>
  <si>
    <t>Time [s]</t>
  </si>
  <si>
    <t>Length of T adapter [in]</t>
  </si>
  <si>
    <t>Length of T adapter [m]</t>
  </si>
  <si>
    <t>Bend</t>
  </si>
  <si>
    <t>0°</t>
  </si>
  <si>
    <t>90°</t>
  </si>
  <si>
    <t>180°</t>
  </si>
  <si>
    <t>18"</t>
  </si>
  <si>
    <t>Test</t>
  </si>
  <si>
    <t>6"</t>
  </si>
  <si>
    <t>11"</t>
  </si>
  <si>
    <t>Calculations in Std Text</t>
  </si>
  <si>
    <t>Re &lt; 2100</t>
  </si>
  <si>
    <t xml:space="preserve">Re 2100 - 10^5 </t>
  </si>
  <si>
    <t>Re &gt; 10^5</t>
  </si>
  <si>
    <t xml:space="preserve">Laminar </t>
  </si>
  <si>
    <t>Turbulent</t>
  </si>
  <si>
    <t>~17"</t>
  </si>
  <si>
    <t>12.337" = 6" 90° bend + 2*Tee joint</t>
  </si>
  <si>
    <t>17.337" = 180° 16" Pipe + 2*Tee Joints</t>
  </si>
  <si>
    <t>Direct Measurements of Bent Pipes were done in Inches, straight pipes in cm</t>
  </si>
  <si>
    <t>Notes</t>
  </si>
  <si>
    <t>10% power was not done because there is no flow rate</t>
  </si>
  <si>
    <t>only two data points were used for 6" straight, because … only 2 are needed?</t>
  </si>
  <si>
    <t>Tau_0 (shear stress) [Pa] (eqn23)</t>
  </si>
  <si>
    <t>Mass flow rate [kg/s]</t>
  </si>
  <si>
    <t>Pipe Length [m]</t>
  </si>
  <si>
    <t>Approx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</si>
</sst>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vs transducer current (calibration) [m^3 / s * mA]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5616797900262466E-4"/>
                  <c:y val="0.22495122291129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Sheet1!$I$16:$I$43</c:f>
              <c:numCache>
                <c:formatCode>General</c:formatCode>
                <c:ptCount val="28"/>
                <c:pt idx="0">
                  <c:v>5.31</c:v>
                </c:pt>
                <c:pt idx="1">
                  <c:v>7.07</c:v>
                </c:pt>
                <c:pt idx="2">
                  <c:v>9.49</c:v>
                </c:pt>
                <c:pt idx="3">
                  <c:v>11.9</c:v>
                </c:pt>
                <c:pt idx="4">
                  <c:v>5.24</c:v>
                </c:pt>
                <c:pt idx="5">
                  <c:v>7.37</c:v>
                </c:pt>
                <c:pt idx="6">
                  <c:v>5.22</c:v>
                </c:pt>
                <c:pt idx="7">
                  <c:v>4.49</c:v>
                </c:pt>
                <c:pt idx="8">
                  <c:v>6.23</c:v>
                </c:pt>
                <c:pt idx="9">
                  <c:v>7.26</c:v>
                </c:pt>
                <c:pt idx="10">
                  <c:v>4.63</c:v>
                </c:pt>
                <c:pt idx="11">
                  <c:v>5.55</c:v>
                </c:pt>
                <c:pt idx="12">
                  <c:v>6.83</c:v>
                </c:pt>
                <c:pt idx="13">
                  <c:v>8.14</c:v>
                </c:pt>
              </c:numCache>
            </c:numRef>
          </c:xVal>
          <c:yVal>
            <c:numRef>
              <c:f>Sheet1!$K$16:$K$43</c:f>
              <c:numCache>
                <c:formatCode>General</c:formatCode>
                <c:ptCount val="28"/>
                <c:pt idx="0">
                  <c:v>2.6176470588235295E-4</c:v>
                </c:pt>
                <c:pt idx="1">
                  <c:v>4.1121495327102811E-4</c:v>
                </c:pt>
                <c:pt idx="2">
                  <c:v>5.6190476190476194E-4</c:v>
                </c:pt>
                <c:pt idx="3">
                  <c:v>6.8011257035647285E-4</c:v>
                </c:pt>
                <c:pt idx="4">
                  <c:v>4.1743119266055045E-4</c:v>
                </c:pt>
                <c:pt idx="5">
                  <c:v>6.7567567567567571E-4</c:v>
                </c:pt>
                <c:pt idx="6">
                  <c:v>3.0697674418604654E-4</c:v>
                </c:pt>
                <c:pt idx="7">
                  <c:v>1.9354838709677422E-4</c:v>
                </c:pt>
                <c:pt idx="8">
                  <c:v>4.2585170340681363E-4</c:v>
                </c:pt>
                <c:pt idx="9">
                  <c:v>5.1707317073170736E-4</c:v>
                </c:pt>
                <c:pt idx="10">
                  <c:v>1.9296740994854202E-4</c:v>
                </c:pt>
                <c:pt idx="11">
                  <c:v>3.0438675022381376E-4</c:v>
                </c:pt>
                <c:pt idx="12">
                  <c:v>4.2713567839195989E-4</c:v>
                </c:pt>
                <c:pt idx="13">
                  <c:v>5.1813471502590671E-4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C-9E4F-B96D-B032DB4D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21855"/>
        <c:axId val="1302616303"/>
      </c:scatterChart>
      <c:valAx>
        <c:axId val="1302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Transducer</a:t>
                </a:r>
                <a:r>
                  <a:rPr lang="en-US" baseline="0"/>
                  <a:t> 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6303"/>
        <c:crosses val="autoZero"/>
        <c:crossBetween val="midCat"/>
      </c:valAx>
      <c:valAx>
        <c:axId val="13026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[m^3 / 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</a:t>
            </a:r>
            <a:r>
              <a:rPr lang="en-US" baseline="0"/>
              <a:t>(f) vs Log10(Re)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f_fanningFrictionFact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Sheet1!$V$15:$V$43</c:f>
              <c:numCache>
                <c:formatCode>General</c:formatCode>
                <c:ptCount val="29"/>
                <c:pt idx="0">
                  <c:v>0</c:v>
                </c:pt>
                <c:pt idx="1">
                  <c:v>-2.2184426264003951</c:v>
                </c:pt>
                <c:pt idx="2">
                  <c:v>-2.2554624912615298</c:v>
                </c:pt>
                <c:pt idx="3">
                  <c:v>-2.2791054774198582</c:v>
                </c:pt>
                <c:pt idx="4">
                  <c:v>-2.2887939598593259</c:v>
                </c:pt>
                <c:pt idx="5">
                  <c:v>-2.2257837640064135</c:v>
                </c:pt>
                <c:pt idx="6">
                  <c:v>-2.226845371916097</c:v>
                </c:pt>
                <c:pt idx="7">
                  <c:v>-2.2320269396452534</c:v>
                </c:pt>
                <c:pt idx="8">
                  <c:v>-2.1894635981258137</c:v>
                </c:pt>
                <c:pt idx="9">
                  <c:v>-2.2666641383332995</c:v>
                </c:pt>
                <c:pt idx="10">
                  <c:v>-2.2751168823060306</c:v>
                </c:pt>
                <c:pt idx="11">
                  <c:v>-2.1945473009792487</c:v>
                </c:pt>
                <c:pt idx="12">
                  <c:v>-2.2295015977709238</c:v>
                </c:pt>
                <c:pt idx="13">
                  <c:v>-2.2720764239448545</c:v>
                </c:pt>
                <c:pt idx="14">
                  <c:v>-2.2784106453443682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C-4740-9150-3846CCE43579}"/>
            </c:ext>
          </c:extLst>
        </c:ser>
        <c:ser>
          <c:idx val="1"/>
          <c:order val="1"/>
          <c:tx>
            <c:v>f_eqn15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Sheet1!$W$15:$W$43</c:f>
              <c:numCache>
                <c:formatCode>General</c:formatCode>
                <c:ptCount val="29"/>
                <c:pt idx="0">
                  <c:v>0</c:v>
                </c:pt>
                <c:pt idx="1">
                  <c:v>-3.3880777164626297</c:v>
                </c:pt>
                <c:pt idx="2">
                  <c:v>-3.5842355256609499</c:v>
                </c:pt>
                <c:pt idx="3">
                  <c:v>-3.7198293394321782</c:v>
                </c:pt>
                <c:pt idx="4">
                  <c:v>-3.8027474287404122</c:v>
                </c:pt>
                <c:pt idx="5">
                  <c:v>-3.5907515255764606</c:v>
                </c:pt>
                <c:pt idx="6">
                  <c:v>-3.7999049114650147</c:v>
                </c:pt>
                <c:pt idx="7">
                  <c:v>-3.4572721024862352</c:v>
                </c:pt>
                <c:pt idx="8">
                  <c:v>-3.256956183409343</c:v>
                </c:pt>
                <c:pt idx="9">
                  <c:v>-3.5994250156229124</c:v>
                </c:pt>
                <c:pt idx="10">
                  <c:v>-3.683718631068988</c:v>
                </c:pt>
                <c:pt idx="11">
                  <c:v>-3.2556505945483392</c:v>
                </c:pt>
                <c:pt idx="12">
                  <c:v>-3.4535923707866178</c:v>
                </c:pt>
                <c:pt idx="13">
                  <c:v>-3.6007324761645583</c:v>
                </c:pt>
                <c:pt idx="14">
                  <c:v>-3.6846093178521984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C-4740-9150-3846CCE43579}"/>
            </c:ext>
          </c:extLst>
        </c:ser>
        <c:ser>
          <c:idx val="2"/>
          <c:order val="2"/>
          <c:tx>
            <c:v>f_eqn16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Sheet1!$U$15:$U$43</c:f>
              <c:numCache>
                <c:formatCode>General</c:formatCode>
                <c:ptCount val="29"/>
                <c:pt idx="0">
                  <c:v>0</c:v>
                </c:pt>
                <c:pt idx="1">
                  <c:v>4.5921976991185547</c:v>
                </c:pt>
                <c:pt idx="2">
                  <c:v>4.788355508316875</c:v>
                </c:pt>
                <c:pt idx="3">
                  <c:v>4.9239493220881032</c:v>
                </c:pt>
                <c:pt idx="4">
                  <c:v>5.0068674113963372</c:v>
                </c:pt>
                <c:pt idx="5">
                  <c:v>4.7948715082323856</c:v>
                </c:pt>
                <c:pt idx="6">
                  <c:v>5.0040248941209393</c:v>
                </c:pt>
                <c:pt idx="7">
                  <c:v>4.6613920851421602</c:v>
                </c:pt>
                <c:pt idx="8">
                  <c:v>4.4610761660652676</c:v>
                </c:pt>
                <c:pt idx="9">
                  <c:v>4.803544998278837</c:v>
                </c:pt>
                <c:pt idx="10">
                  <c:v>4.887838613724913</c:v>
                </c:pt>
                <c:pt idx="11">
                  <c:v>4.4597705772042637</c:v>
                </c:pt>
                <c:pt idx="12">
                  <c:v>4.6577123534425429</c:v>
                </c:pt>
                <c:pt idx="13">
                  <c:v>4.8048524588204833</c:v>
                </c:pt>
                <c:pt idx="14">
                  <c:v>4.8887293005081229</c:v>
                </c:pt>
              </c:numCache>
            </c:numRef>
          </c:xVal>
          <c:yVal>
            <c:numRef>
              <c:f>Sheet1!$X$15:$X$43</c:f>
              <c:numCache>
                <c:formatCode>General</c:formatCode>
                <c:ptCount val="29"/>
                <c:pt idx="0">
                  <c:v>0</c:v>
                </c:pt>
                <c:pt idx="1">
                  <c:v>-2.249872941281962</c:v>
                </c:pt>
                <c:pt idx="2">
                  <c:v>-2.2989123935815421</c:v>
                </c:pt>
                <c:pt idx="3">
                  <c:v>-2.3328108470243492</c:v>
                </c:pt>
                <c:pt idx="4">
                  <c:v>-2.3535403693514074</c:v>
                </c:pt>
                <c:pt idx="5">
                  <c:v>-2.3005413935604198</c:v>
                </c:pt>
                <c:pt idx="6">
                  <c:v>-2.3528297400325582</c:v>
                </c:pt>
                <c:pt idx="7">
                  <c:v>-2.2671715377878634</c:v>
                </c:pt>
                <c:pt idx="8">
                  <c:v>-2.2170925580186402</c:v>
                </c:pt>
                <c:pt idx="9">
                  <c:v>-2.3027097660720326</c:v>
                </c:pt>
                <c:pt idx="10">
                  <c:v>-2.3237831699335514</c:v>
                </c:pt>
                <c:pt idx="11">
                  <c:v>-2.2167661608033895</c:v>
                </c:pt>
                <c:pt idx="12">
                  <c:v>-2.2662516048629593</c:v>
                </c:pt>
                <c:pt idx="13">
                  <c:v>-2.3030366312074442</c:v>
                </c:pt>
                <c:pt idx="14">
                  <c:v>-2.3240058416293543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C-4740-9150-3846CCE4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02127"/>
        <c:axId val="1303521391"/>
      </c:scatterChart>
      <c:valAx>
        <c:axId val="12355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Log10(Re)</a:t>
                </a:r>
                <a:r>
                  <a:rPr lang="en-US" baseline="0"/>
                  <a:t> [dimensionless]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21391"/>
        <c:crosses val="autoZero"/>
        <c:crossBetween val="midCat"/>
      </c:valAx>
      <c:valAx>
        <c:axId val="13035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479835</xdr:colOff>
      <xdr:row>31</xdr:row>
      <xdr:rowOff>157111</xdr:rowOff>
    </xdr:from>
    <xdr:to>
      <xdr:col>5</xdr:col>
      <xdr:colOff>467904</xdr:colOff>
      <xdr:row>52</xdr:row>
      <xdr:rowOff>103082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CD8F5-6081-944E-B4BF-AF0697EE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90407</xdr:colOff>
      <xdr:row>54</xdr:row>
      <xdr:rowOff>32878</xdr:rowOff>
    </xdr:from>
    <xdr:to>
      <xdr:col>6</xdr:col>
      <xdr:colOff>919655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D4F6E-6B80-D14D-8757-2F0EF918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B83-C15A-2849-BEA5-4EC532173B6F}">
  <dimension ref="A1:AA43"/>
  <sheetViews>
    <sheetView showGridLines="0" tabSelected="1" zoomScale="116" workbookViewId="0">
      <selection activeCell="H31" sqref="H31"/>
    </sheetView>
  </sheetViews>
  <sheetFormatPr baseColWidth="10" defaultRowHeight="16" x14ac:dyDescent="0.2"/>
  <cols>
    <col min="1" max="1" width="10" bestFit="1" customWidth="1"/>
    <col min="2" max="2" width="12.83203125" bestFit="1" customWidth="1"/>
    <col min="3" max="3" width="7.33203125" customWidth="1"/>
    <col min="4" max="4" width="13.5" customWidth="1"/>
    <col min="5" max="5" width="14.6640625" customWidth="1"/>
    <col min="6" max="6" width="19.33203125" customWidth="1"/>
    <col min="7" max="7" width="15" bestFit="1" customWidth="1"/>
    <col min="8" max="8" width="8" bestFit="1" customWidth="1"/>
    <col min="9" max="9" width="14.83203125" bestFit="1" customWidth="1"/>
    <col min="10" max="10" width="14.83203125" customWidth="1"/>
    <col min="11" max="12" width="12.33203125" bestFit="1" customWidth="1"/>
    <col min="13" max="13" width="18" bestFit="1" customWidth="1"/>
    <col min="14" max="14" width="17.6640625" bestFit="1" customWidth="1"/>
    <col min="15" max="15" width="16.83203125" bestFit="1" customWidth="1"/>
    <col min="16" max="16" width="12.33203125" bestFit="1" customWidth="1"/>
    <col min="17" max="17" width="19.5" bestFit="1" customWidth="1"/>
    <col min="18" max="19" width="12.33203125" bestFit="1" customWidth="1"/>
    <col min="20" max="20" width="9.1640625" bestFit="1" customWidth="1"/>
    <col min="21" max="21" width="12.33203125" bestFit="1" customWidth="1"/>
    <col min="22" max="22" width="12.83203125" customWidth="1"/>
    <col min="23" max="24" width="12.83203125" bestFit="1" customWidth="1"/>
    <col min="25" max="25" width="13.33203125" bestFit="1" customWidth="1"/>
    <col min="26" max="26" width="29" bestFit="1" customWidth="1"/>
    <col min="27" max="27" width="19" bestFit="1" customWidth="1"/>
  </cols>
  <sheetData>
    <row r="1" spans="1:27" x14ac:dyDescent="0.2">
      <c r="C1" s="1" t="s">
        <v>12</v>
      </c>
      <c r="E1" s="1"/>
      <c r="F1" s="1"/>
      <c r="G1" s="1"/>
    </row>
    <row r="2" spans="1:27" x14ac:dyDescent="0.2">
      <c r="C2" t="s">
        <v>0</v>
      </c>
      <c r="D2">
        <v>1000</v>
      </c>
      <c r="F2" s="1" t="s">
        <v>50</v>
      </c>
    </row>
    <row r="3" spans="1:27" x14ac:dyDescent="0.2">
      <c r="C3" t="s">
        <v>1</v>
      </c>
      <c r="D3">
        <f xml:space="preserve"> 1.0016*10^-3</f>
        <v>1.0016000000000001E-3</v>
      </c>
      <c r="F3" t="s">
        <v>48</v>
      </c>
    </row>
    <row r="4" spans="1:27" x14ac:dyDescent="0.2">
      <c r="C4" t="s">
        <v>3</v>
      </c>
      <c r="D4">
        <v>8.51</v>
      </c>
      <c r="F4" t="s">
        <v>49</v>
      </c>
    </row>
    <row r="5" spans="1:27" x14ac:dyDescent="0.2">
      <c r="C5" t="s">
        <v>2</v>
      </c>
      <c r="D5">
        <v>0.75</v>
      </c>
    </row>
    <row r="6" spans="1:27" x14ac:dyDescent="0.2">
      <c r="C6" t="s">
        <v>10</v>
      </c>
      <c r="D6">
        <f>(25 - 0) / (20 - 3.92)</f>
        <v>1.5547263681592041</v>
      </c>
      <c r="F6" s="1" t="s">
        <v>51</v>
      </c>
    </row>
    <row r="7" spans="1:27" x14ac:dyDescent="0.2">
      <c r="C7" t="s">
        <v>9</v>
      </c>
      <c r="D7">
        <v>3.92</v>
      </c>
      <c r="F7" t="s">
        <v>52</v>
      </c>
    </row>
    <row r="8" spans="1:27" x14ac:dyDescent="0.2">
      <c r="C8" t="s">
        <v>14</v>
      </c>
      <c r="D8">
        <v>6894.76</v>
      </c>
      <c r="F8" t="s">
        <v>53</v>
      </c>
    </row>
    <row r="9" spans="1:27" x14ac:dyDescent="0.2">
      <c r="C9" t="s">
        <v>15</v>
      </c>
      <c r="D9">
        <v>3.1415899999999999</v>
      </c>
    </row>
    <row r="10" spans="1:27" x14ac:dyDescent="0.2">
      <c r="C10" t="s">
        <v>31</v>
      </c>
      <c r="D10">
        <v>1.337</v>
      </c>
    </row>
    <row r="11" spans="1:27" ht="17" thickBot="1" x14ac:dyDescent="0.25">
      <c r="C11" t="s">
        <v>32</v>
      </c>
      <c r="D11">
        <f>D10*0.0254</f>
        <v>3.3959799999999998E-2</v>
      </c>
      <c r="R11" t="s">
        <v>45</v>
      </c>
      <c r="S11" t="s">
        <v>46</v>
      </c>
      <c r="T11" t="s">
        <v>46</v>
      </c>
      <c r="W11" t="s">
        <v>45</v>
      </c>
      <c r="X11" t="s">
        <v>46</v>
      </c>
      <c r="Y11" t="s">
        <v>46</v>
      </c>
    </row>
    <row r="12" spans="1:27" ht="17" thickBot="1" x14ac:dyDescent="0.25">
      <c r="E12" s="2" t="s">
        <v>11</v>
      </c>
      <c r="F12" s="3" t="s">
        <v>41</v>
      </c>
      <c r="R12" t="s">
        <v>42</v>
      </c>
      <c r="S12" t="s">
        <v>43</v>
      </c>
      <c r="T12" t="s">
        <v>44</v>
      </c>
      <c r="W12" t="s">
        <v>42</v>
      </c>
      <c r="X12" t="s">
        <v>43</v>
      </c>
      <c r="Y12" t="s">
        <v>44</v>
      </c>
    </row>
    <row r="14" spans="1:27" s="4" customFormat="1" ht="17" thickBot="1" x14ac:dyDescent="0.25">
      <c r="A14" s="14" t="s">
        <v>38</v>
      </c>
      <c r="B14" s="14" t="s">
        <v>57</v>
      </c>
      <c r="C14" s="14" t="s">
        <v>33</v>
      </c>
      <c r="D14" s="14" t="s">
        <v>4</v>
      </c>
      <c r="E14" s="14" t="s">
        <v>56</v>
      </c>
      <c r="F14" s="14" t="s">
        <v>13</v>
      </c>
      <c r="G14" s="14" t="s">
        <v>29</v>
      </c>
      <c r="H14" s="14" t="s">
        <v>30</v>
      </c>
      <c r="I14" s="14" t="s">
        <v>5</v>
      </c>
      <c r="J14"/>
      <c r="K14" s="5" t="s">
        <v>7</v>
      </c>
      <c r="L14" s="5" t="s">
        <v>8</v>
      </c>
      <c r="M14" s="5" t="s">
        <v>27</v>
      </c>
      <c r="N14" s="5" t="s">
        <v>26</v>
      </c>
      <c r="O14" s="5" t="s">
        <v>18</v>
      </c>
      <c r="P14" s="5" t="s">
        <v>16</v>
      </c>
      <c r="Q14" s="5" t="s">
        <v>25</v>
      </c>
      <c r="R14" s="5" t="s">
        <v>17</v>
      </c>
      <c r="S14" s="5" t="s">
        <v>19</v>
      </c>
      <c r="T14" s="5" t="s">
        <v>20</v>
      </c>
      <c r="U14" s="5" t="s">
        <v>21</v>
      </c>
      <c r="V14" s="5" t="s">
        <v>28</v>
      </c>
      <c r="W14" s="5" t="s">
        <v>22</v>
      </c>
      <c r="X14" s="5" t="s">
        <v>23</v>
      </c>
      <c r="Y14" s="5" t="s">
        <v>24</v>
      </c>
      <c r="Z14" s="4" t="s">
        <v>54</v>
      </c>
      <c r="AA14" s="4" t="s">
        <v>55</v>
      </c>
    </row>
    <row r="15" spans="1:27" x14ac:dyDescent="0.2">
      <c r="A15" s="15" t="s">
        <v>6</v>
      </c>
      <c r="B15" s="15" t="s">
        <v>37</v>
      </c>
      <c r="C15" s="15" t="s">
        <v>34</v>
      </c>
      <c r="D15" s="15"/>
      <c r="E15" s="15"/>
      <c r="F15" s="18"/>
      <c r="G15" s="15"/>
      <c r="H15" s="15"/>
      <c r="I15" s="15">
        <v>3.92</v>
      </c>
      <c r="K15" s="6">
        <v>0</v>
      </c>
      <c r="L15">
        <f>K15*1000</f>
        <v>0</v>
      </c>
      <c r="M15">
        <f>(I15 - $D$7) * $D$6</f>
        <v>0</v>
      </c>
      <c r="N15">
        <f>M15*$D$8</f>
        <v>0</v>
      </c>
      <c r="O15">
        <v>0</v>
      </c>
      <c r="P15" s="6">
        <f>F15 * O15 * $D$2 / $D$3</f>
        <v>0</v>
      </c>
      <c r="Q15" s="7" t="e">
        <f>(($D$9)^2 * (F15/2)^5 * N15) / ($D$2 * K15^2 * E15)</f>
        <v>#DIV/0!</v>
      </c>
      <c r="R15" s="7" t="e">
        <f>16 / P15</f>
        <v>#DIV/0!</v>
      </c>
      <c r="S15" s="7" t="e">
        <f xml:space="preserve"> 0.0791 / (P15^0.25)</f>
        <v>#DIV/0!</v>
      </c>
      <c r="T15" s="10"/>
      <c r="U15" s="6" t="e">
        <f>LOG10(P15)</f>
        <v>#NUM!</v>
      </c>
      <c r="V15" s="7" t="e">
        <f>LOG10(Q15)</f>
        <v>#DIV/0!</v>
      </c>
      <c r="W15" s="7" t="e">
        <f>LOG10(R15)</f>
        <v>#DIV/0!</v>
      </c>
      <c r="X15" s="7" t="e">
        <f t="shared" ref="X15:Y15" si="0">LOG10(S15)</f>
        <v>#DIV/0!</v>
      </c>
      <c r="Y15" s="10" t="e">
        <f t="shared" si="0"/>
        <v>#NUM!</v>
      </c>
    </row>
    <row r="16" spans="1:27" x14ac:dyDescent="0.2">
      <c r="A16" s="15" t="s">
        <v>6</v>
      </c>
      <c r="B16" s="15" t="s">
        <v>37</v>
      </c>
      <c r="C16" s="15" t="s">
        <v>34</v>
      </c>
      <c r="D16" s="15">
        <v>40</v>
      </c>
      <c r="E16" s="17">
        <v>0.495</v>
      </c>
      <c r="F16" s="18">
        <f>0.00851</f>
        <v>8.5100000000000002E-3</v>
      </c>
      <c r="G16" s="16">
        <v>4.45</v>
      </c>
      <c r="H16" s="16">
        <v>17</v>
      </c>
      <c r="I16" s="15">
        <v>5.31</v>
      </c>
      <c r="K16" s="8">
        <f>(G16/$D$2)/H16</f>
        <v>2.6176470588235295E-4</v>
      </c>
      <c r="L16">
        <f>K16*1000</f>
        <v>0.26176470588235295</v>
      </c>
      <c r="M16">
        <f>(I16 - $D$7) * $D$6</f>
        <v>2.1610696517412933</v>
      </c>
      <c r="N16">
        <f>M16*$D$8</f>
        <v>14900.0565920398</v>
      </c>
      <c r="O16">
        <f>K16/ ($D$9 * (F16/2)^2)</f>
        <v>4.6021678575829261</v>
      </c>
      <c r="P16" s="8">
        <f>F16 * O16 * $D$2 / $D$3</f>
        <v>39101.885451308604</v>
      </c>
      <c r="Q16" s="9">
        <f>(($D$9)^2 * (F16/2)^5 * N16) / ($D$2 * K16^2 * E16)</f>
        <v>6.0472423473244075E-3</v>
      </c>
      <c r="R16" s="9">
        <f t="shared" ref="R16:R29" si="1">16 / P16</f>
        <v>4.0918742959144275E-4</v>
      </c>
      <c r="S16" s="9">
        <f t="shared" ref="S16:S19" si="2" xml:space="preserve"> 0.0791 / (P16^0.25)</f>
        <v>5.6250586981101717E-3</v>
      </c>
      <c r="T16" s="11"/>
      <c r="U16" s="8">
        <f t="shared" ref="U16:U19" si="3">LOG10(P16)</f>
        <v>4.5921976991185547</v>
      </c>
      <c r="V16" s="9">
        <f t="shared" ref="V16:V19" si="4">LOG10(Q16)</f>
        <v>-2.2184426264003951</v>
      </c>
      <c r="W16" s="9">
        <f t="shared" ref="W16:W19" si="5">LOG10(R16)</f>
        <v>-3.3880777164626297</v>
      </c>
      <c r="X16" s="9">
        <f t="shared" ref="X16:X19" si="6">LOG10(S16)</f>
        <v>-2.249872941281962</v>
      </c>
      <c r="Y16" s="11" t="e">
        <f t="shared" ref="Y16:Y19" si="7">LOG10(T16)</f>
        <v>#NUM!</v>
      </c>
      <c r="Z16" s="12">
        <f>N16*(F16/2)/(2*E16)</f>
        <v>64.040142221342776</v>
      </c>
      <c r="AA16" s="12">
        <f>K16*1000</f>
        <v>0.26176470588235295</v>
      </c>
    </row>
    <row r="17" spans="1:27" x14ac:dyDescent="0.2">
      <c r="A17" s="15" t="s">
        <v>6</v>
      </c>
      <c r="B17" s="15" t="s">
        <v>37</v>
      </c>
      <c r="C17" s="15" t="s">
        <v>34</v>
      </c>
      <c r="D17" s="15">
        <v>60</v>
      </c>
      <c r="E17" s="17">
        <v>0.495</v>
      </c>
      <c r="F17" s="18">
        <f t="shared" ref="F17:F29" si="8">0.00851</f>
        <v>8.5100000000000002E-3</v>
      </c>
      <c r="G17" s="16">
        <v>4.4000000000000004</v>
      </c>
      <c r="H17" s="16">
        <v>10.7</v>
      </c>
      <c r="I17" s="15">
        <v>7.07</v>
      </c>
      <c r="K17" s="8">
        <f>(G17/$D$2)/H17</f>
        <v>4.1121495327102811E-4</v>
      </c>
      <c r="L17">
        <f t="shared" ref="L17:L29" si="9">K17*1000</f>
        <v>0.41121495327102808</v>
      </c>
      <c r="M17">
        <f>(I17 - $D$7) * $D$6</f>
        <v>4.8973880597014929</v>
      </c>
      <c r="N17">
        <f>M17*$D$8</f>
        <v>33766.315298507463</v>
      </c>
      <c r="O17">
        <f>K17/ ($D$9 * (F17/2)^2)</f>
        <v>7.2296997951738513</v>
      </c>
      <c r="P17" s="8">
        <f>F17 * O17 * $D$2 / $D$3</f>
        <v>61426.462916263452</v>
      </c>
      <c r="Q17" s="9">
        <f>(($D$9)^2 * (F17/2)^5 * N17) / ($D$2 * K17^2 * E17)</f>
        <v>5.5531257576420271E-3</v>
      </c>
      <c r="R17" s="9">
        <f t="shared" si="1"/>
        <v>2.6047405695182543E-4</v>
      </c>
      <c r="S17" s="9">
        <f t="shared" si="2"/>
        <v>5.0244393291024314E-3</v>
      </c>
      <c r="T17" s="11"/>
      <c r="U17" s="8">
        <f t="shared" si="3"/>
        <v>4.788355508316875</v>
      </c>
      <c r="V17" s="9">
        <f t="shared" si="4"/>
        <v>-2.2554624912615298</v>
      </c>
      <c r="W17" s="9">
        <f t="shared" si="5"/>
        <v>-3.5842355256609499</v>
      </c>
      <c r="X17" s="9">
        <f t="shared" si="6"/>
        <v>-2.2989123935815421</v>
      </c>
      <c r="Y17" s="11" t="e">
        <f t="shared" si="7"/>
        <v>#NUM!</v>
      </c>
      <c r="Z17" s="12">
        <f t="shared" ref="Z17:Z29" si="10">N17*(F17/2)/(2*E17)</f>
        <v>145.12694100520127</v>
      </c>
      <c r="AA17" s="12">
        <f t="shared" ref="AA17:AA29" si="11">K17*1000</f>
        <v>0.41121495327102808</v>
      </c>
    </row>
    <row r="18" spans="1:27" x14ac:dyDescent="0.2">
      <c r="A18" s="15" t="s">
        <v>6</v>
      </c>
      <c r="B18" s="15" t="s">
        <v>37</v>
      </c>
      <c r="C18" s="15" t="s">
        <v>34</v>
      </c>
      <c r="D18" s="15">
        <v>80</v>
      </c>
      <c r="E18" s="17">
        <v>0.495</v>
      </c>
      <c r="F18" s="18">
        <f t="shared" si="8"/>
        <v>8.5100000000000002E-3</v>
      </c>
      <c r="G18" s="16">
        <v>5.9</v>
      </c>
      <c r="H18" s="16">
        <v>10.5</v>
      </c>
      <c r="I18" s="15">
        <v>9.49</v>
      </c>
      <c r="J18" s="13"/>
      <c r="K18" s="8">
        <f>(G18/$D$2)/H18</f>
        <v>5.6190476190476194E-4</v>
      </c>
      <c r="L18">
        <f t="shared" si="9"/>
        <v>0.56190476190476191</v>
      </c>
      <c r="M18">
        <f>(I18 - $D$7) * $D$6</f>
        <v>8.6598258706467668</v>
      </c>
      <c r="N18">
        <f>M18*$D$8</f>
        <v>59707.421019900503</v>
      </c>
      <c r="O18">
        <f>K18/ ($D$9 * (F18/2)^2)</f>
        <v>9.8790248499853934</v>
      </c>
      <c r="P18" s="8">
        <f>F18 * O18 * $D$2 / $D$3</f>
        <v>83936.203547699377</v>
      </c>
      <c r="Q18" s="9">
        <f>(($D$9)^2 * (F18/2)^5 * N18) / ($D$2 * K18^2 * E18)</f>
        <v>5.2588952770342128E-3</v>
      </c>
      <c r="R18" s="9">
        <f t="shared" si="1"/>
        <v>1.9062096358584408E-4</v>
      </c>
      <c r="S18" s="9">
        <f t="shared" si="2"/>
        <v>4.6471763465226225E-3</v>
      </c>
      <c r="T18" s="11"/>
      <c r="U18" s="8">
        <f t="shared" si="3"/>
        <v>4.9239493220881032</v>
      </c>
      <c r="V18" s="9">
        <f t="shared" si="4"/>
        <v>-2.2791054774198582</v>
      </c>
      <c r="W18" s="9">
        <f t="shared" si="5"/>
        <v>-3.7198293394321782</v>
      </c>
      <c r="X18" s="9">
        <f t="shared" si="6"/>
        <v>-2.3328108470243492</v>
      </c>
      <c r="Y18" s="11" t="e">
        <f t="shared" si="7"/>
        <v>#NUM!</v>
      </c>
      <c r="Z18" s="12">
        <f t="shared" si="10"/>
        <v>256.6212893330067</v>
      </c>
      <c r="AA18" s="12">
        <f t="shared" si="11"/>
        <v>0.56190476190476191</v>
      </c>
    </row>
    <row r="19" spans="1:27" x14ac:dyDescent="0.2">
      <c r="A19" s="15" t="s">
        <v>6</v>
      </c>
      <c r="B19" s="15" t="s">
        <v>37</v>
      </c>
      <c r="C19" s="15" t="s">
        <v>34</v>
      </c>
      <c r="D19" s="15">
        <v>97.2</v>
      </c>
      <c r="E19" s="17">
        <v>0.495</v>
      </c>
      <c r="F19" s="18">
        <f t="shared" si="8"/>
        <v>8.5100000000000002E-3</v>
      </c>
      <c r="G19" s="16">
        <v>7.25</v>
      </c>
      <c r="H19" s="16">
        <v>10.66</v>
      </c>
      <c r="I19" s="15">
        <v>11.9</v>
      </c>
      <c r="J19" s="13"/>
      <c r="K19" s="8">
        <f>(G19/$D$2)/H19</f>
        <v>6.8011257035647285E-4</v>
      </c>
      <c r="L19">
        <f t="shared" si="9"/>
        <v>0.68011257035647288</v>
      </c>
      <c r="M19">
        <f>(I19 - $D$7) * $D$6</f>
        <v>12.406716417910449</v>
      </c>
      <c r="N19">
        <f>M19*$D$8</f>
        <v>85541.332089552248</v>
      </c>
      <c r="O19">
        <f>K19/ ($D$9 * (F19/2)^2)</f>
        <v>11.957273614416925</v>
      </c>
      <c r="P19" s="8">
        <f>F19 * O19 * $D$2 / $D$3</f>
        <v>101593.84830140577</v>
      </c>
      <c r="Q19" s="9">
        <f>(($D$9)^2 * (F19/2)^5 * N19) / ($D$2 * K19^2 * E19)</f>
        <v>5.1428758457882943E-3</v>
      </c>
      <c r="R19" s="9">
        <f t="shared" si="1"/>
        <v>1.5748985068989266E-4</v>
      </c>
      <c r="S19" s="9">
        <f t="shared" si="2"/>
        <v>4.4305702871112376E-3</v>
      </c>
      <c r="T19" s="11"/>
      <c r="U19" s="8">
        <f t="shared" si="3"/>
        <v>5.0068674113963372</v>
      </c>
      <c r="V19" s="9">
        <f t="shared" si="4"/>
        <v>-2.2887939598593259</v>
      </c>
      <c r="W19" s="9">
        <f t="shared" si="5"/>
        <v>-3.8027474287404122</v>
      </c>
      <c r="X19" s="9">
        <f t="shared" si="6"/>
        <v>-2.3535403693514074</v>
      </c>
      <c r="Y19" s="11" t="e">
        <f t="shared" si="7"/>
        <v>#NUM!</v>
      </c>
      <c r="Z19" s="12">
        <f t="shared" si="10"/>
        <v>367.65491721317659</v>
      </c>
      <c r="AA19" s="12">
        <f t="shared" si="11"/>
        <v>0.68011257035647288</v>
      </c>
    </row>
    <row r="20" spans="1:27" x14ac:dyDescent="0.2">
      <c r="A20" s="15"/>
      <c r="B20" s="15" t="s">
        <v>39</v>
      </c>
      <c r="C20" s="15" t="s">
        <v>34</v>
      </c>
      <c r="D20" s="15">
        <v>60</v>
      </c>
      <c r="E20" s="17">
        <v>0.188</v>
      </c>
      <c r="F20" s="18">
        <f t="shared" si="8"/>
        <v>8.5100000000000002E-3</v>
      </c>
      <c r="G20" s="16">
        <v>4.55</v>
      </c>
      <c r="H20" s="16">
        <v>10.9</v>
      </c>
      <c r="I20" s="15">
        <v>5.24</v>
      </c>
      <c r="J20" s="13"/>
      <c r="K20" s="8">
        <f t="shared" ref="K20:K25" si="12">(G20/$D$2)/H20</f>
        <v>4.1743119266055045E-4</v>
      </c>
      <c r="L20">
        <f t="shared" si="9"/>
        <v>0.41743119266055045</v>
      </c>
      <c r="M20">
        <f t="shared" ref="M20:M25" si="13">(I20 - $D$7) * $D$6</f>
        <v>2.0522388059701497</v>
      </c>
      <c r="N20">
        <f t="shared" ref="N20:N29" si="14">M20*$D$8</f>
        <v>14149.694029850751</v>
      </c>
      <c r="O20">
        <f t="shared" ref="O20:O25" si="15">K20/ ($D$9 * (F20/2)^2)</f>
        <v>7.3389894605512698</v>
      </c>
      <c r="P20" s="8">
        <f t="shared" ref="P20:P25" si="16">F20 * O20 * $D$2 / $D$3</f>
        <v>62355.03225767902</v>
      </c>
      <c r="Q20" s="9">
        <f t="shared" ref="Q20:Q25" si="17">(($D$9)^2 * (F20/2)^5 * N20) / ($D$2 * K20^2 * E20)</f>
        <v>5.9458813141303043E-3</v>
      </c>
      <c r="R20" s="9">
        <f t="shared" si="1"/>
        <v>2.5659516835595253E-4</v>
      </c>
      <c r="S20" s="9">
        <f t="shared" ref="S20:S25" si="18" xml:space="preserve"> 0.0791 / (P20^0.25)</f>
        <v>5.0056284051193962E-3</v>
      </c>
      <c r="T20" s="11"/>
      <c r="U20" s="8">
        <f t="shared" ref="U20:U25" si="19">LOG10(P20)</f>
        <v>4.7948715082323856</v>
      </c>
      <c r="V20" s="9">
        <f t="shared" ref="V20:V25" si="20">LOG10(Q20)</f>
        <v>-2.2257837640064135</v>
      </c>
      <c r="W20" s="9">
        <f t="shared" ref="W20:W25" si="21">LOG10(R20)</f>
        <v>-3.5907515255764606</v>
      </c>
      <c r="X20" s="9">
        <f t="shared" ref="X20:X25" si="22">LOG10(S20)</f>
        <v>-2.3005413935604198</v>
      </c>
      <c r="Y20" s="11" t="e">
        <f t="shared" ref="Y20:Y25" si="23">LOG10(T20)</f>
        <v>#NUM!</v>
      </c>
      <c r="Z20" s="12">
        <f t="shared" si="10"/>
        <v>160.12486196014612</v>
      </c>
      <c r="AA20" s="12">
        <f t="shared" si="11"/>
        <v>0.41743119266055045</v>
      </c>
    </row>
    <row r="21" spans="1:27" x14ac:dyDescent="0.2">
      <c r="A21" s="15"/>
      <c r="B21" s="15" t="s">
        <v>39</v>
      </c>
      <c r="C21" s="15" t="s">
        <v>34</v>
      </c>
      <c r="D21" s="15">
        <v>97.3</v>
      </c>
      <c r="E21" s="17">
        <v>0.188</v>
      </c>
      <c r="F21" s="18">
        <f t="shared" si="8"/>
        <v>8.5100000000000002E-3</v>
      </c>
      <c r="G21" s="16">
        <v>7.5</v>
      </c>
      <c r="H21" s="16">
        <v>11.1</v>
      </c>
      <c r="I21" s="15">
        <v>7.37</v>
      </c>
      <c r="J21" s="13"/>
      <c r="K21" s="8">
        <f t="shared" si="12"/>
        <v>6.7567567567567571E-4</v>
      </c>
      <c r="L21">
        <f t="shared" si="9"/>
        <v>0.67567567567567566</v>
      </c>
      <c r="M21">
        <f t="shared" si="13"/>
        <v>5.3638059701492544</v>
      </c>
      <c r="N21">
        <f t="shared" si="14"/>
        <v>36982.154850746272</v>
      </c>
      <c r="O21">
        <f t="shared" si="15"/>
        <v>11.879267169588484</v>
      </c>
      <c r="P21" s="8">
        <f t="shared" si="16"/>
        <v>100931.07389496604</v>
      </c>
      <c r="Q21" s="9">
        <f t="shared" si="17"/>
        <v>5.9313646986087435E-3</v>
      </c>
      <c r="R21" s="9">
        <f t="shared" si="1"/>
        <v>1.5852402419348481E-4</v>
      </c>
      <c r="S21" s="9">
        <f t="shared" si="18"/>
        <v>4.4378258949932777E-3</v>
      </c>
      <c r="T21" s="11"/>
      <c r="U21" s="8">
        <f t="shared" si="19"/>
        <v>5.0040248941209393</v>
      </c>
      <c r="V21" s="9">
        <f t="shared" si="20"/>
        <v>-2.226845371916097</v>
      </c>
      <c r="W21" s="9">
        <f t="shared" si="21"/>
        <v>-3.7999049114650147</v>
      </c>
      <c r="X21" s="9">
        <f t="shared" si="22"/>
        <v>-2.3528297400325582</v>
      </c>
      <c r="Y21" s="11" t="e">
        <f t="shared" si="23"/>
        <v>#NUM!</v>
      </c>
      <c r="Z21" s="12">
        <f t="shared" si="10"/>
        <v>418.50816194129095</v>
      </c>
      <c r="AA21" s="12">
        <f t="shared" si="11"/>
        <v>0.67567567567567566</v>
      </c>
    </row>
    <row r="22" spans="1:27" x14ac:dyDescent="0.2">
      <c r="A22" s="15"/>
      <c r="B22" s="15" t="s">
        <v>40</v>
      </c>
      <c r="C22" s="15" t="s">
        <v>35</v>
      </c>
      <c r="D22" s="15">
        <v>60</v>
      </c>
      <c r="E22" s="17">
        <f xml:space="preserve"> 11 * 0.0254 + 2*$D$11</f>
        <v>0.34731959999999995</v>
      </c>
      <c r="F22" s="18">
        <f t="shared" si="8"/>
        <v>8.5100000000000002E-3</v>
      </c>
      <c r="G22" s="16">
        <f>4.05-0.75</f>
        <v>3.3</v>
      </c>
      <c r="H22" s="16">
        <v>10.75</v>
      </c>
      <c r="I22" s="15">
        <v>5.22</v>
      </c>
      <c r="J22" s="13"/>
      <c r="K22" s="8">
        <f t="shared" si="12"/>
        <v>3.0697674418604654E-4</v>
      </c>
      <c r="L22">
        <f t="shared" si="9"/>
        <v>0.30697674418604654</v>
      </c>
      <c r="M22">
        <f t="shared" si="13"/>
        <v>2.0211442786069651</v>
      </c>
      <c r="N22">
        <f t="shared" si="14"/>
        <v>13935.304726368158</v>
      </c>
      <c r="O22">
        <f t="shared" si="15"/>
        <v>5.397054963373968</v>
      </c>
      <c r="P22" s="8">
        <f t="shared" si="16"/>
        <v>45855.568828187366</v>
      </c>
      <c r="Q22" s="9">
        <f t="shared" si="17"/>
        <v>5.861018070074402E-3</v>
      </c>
      <c r="R22" s="9">
        <f t="shared" si="1"/>
        <v>3.4892163392300608E-4</v>
      </c>
      <c r="S22" s="9">
        <f t="shared" si="18"/>
        <v>5.4054077778794589E-3</v>
      </c>
      <c r="T22" s="11"/>
      <c r="U22" s="8">
        <f t="shared" si="19"/>
        <v>4.6613920851421602</v>
      </c>
      <c r="V22" s="9">
        <f t="shared" si="20"/>
        <v>-2.2320269396452534</v>
      </c>
      <c r="W22" s="9">
        <f t="shared" si="21"/>
        <v>-3.4572721024862352</v>
      </c>
      <c r="X22" s="9">
        <f t="shared" si="22"/>
        <v>-2.2671715377878634</v>
      </c>
      <c r="Y22" s="11" t="e">
        <f t="shared" si="23"/>
        <v>#NUM!</v>
      </c>
      <c r="Z22" s="12">
        <f t="shared" si="10"/>
        <v>85.360459949131183</v>
      </c>
      <c r="AA22" s="12">
        <f t="shared" si="11"/>
        <v>0.30697674418604654</v>
      </c>
    </row>
    <row r="23" spans="1:27" x14ac:dyDescent="0.2">
      <c r="A23" s="15"/>
      <c r="B23" s="15" t="s">
        <v>40</v>
      </c>
      <c r="C23" s="15" t="s">
        <v>35</v>
      </c>
      <c r="D23" s="15">
        <v>40</v>
      </c>
      <c r="E23" s="17">
        <f t="shared" ref="E23:E25" si="24" xml:space="preserve"> 11 * 0.0254 + 2*$D$11</f>
        <v>0.34731959999999995</v>
      </c>
      <c r="F23" s="18">
        <f t="shared" si="8"/>
        <v>8.5100000000000002E-3</v>
      </c>
      <c r="G23" s="16">
        <v>2.1</v>
      </c>
      <c r="H23" s="16">
        <v>10.85</v>
      </c>
      <c r="I23" s="15">
        <v>4.49</v>
      </c>
      <c r="J23" s="13"/>
      <c r="K23" s="8">
        <f t="shared" si="12"/>
        <v>1.9354838709677422E-4</v>
      </c>
      <c r="L23">
        <f t="shared" si="9"/>
        <v>0.19354838709677422</v>
      </c>
      <c r="M23">
        <f t="shared" si="13"/>
        <v>0.8861940298507468</v>
      </c>
      <c r="N23">
        <f t="shared" si="14"/>
        <v>6110.0951492537351</v>
      </c>
      <c r="O23">
        <f t="shared" si="15"/>
        <v>3.4028352408369593</v>
      </c>
      <c r="P23" s="8">
        <f t="shared" si="16"/>
        <v>28911.868909267698</v>
      </c>
      <c r="Q23" s="9">
        <f t="shared" si="17"/>
        <v>6.4645217632417267E-3</v>
      </c>
      <c r="R23" s="9">
        <f t="shared" si="1"/>
        <v>5.5340594031509324E-4</v>
      </c>
      <c r="S23" s="9">
        <f t="shared" si="18"/>
        <v>6.0660703407368127E-3</v>
      </c>
      <c r="T23" s="11"/>
      <c r="U23" s="8">
        <f t="shared" si="19"/>
        <v>4.4610761660652676</v>
      </c>
      <c r="V23" s="9">
        <f t="shared" si="20"/>
        <v>-2.1894635981258137</v>
      </c>
      <c r="W23" s="9">
        <f t="shared" si="21"/>
        <v>-3.256956183409343</v>
      </c>
      <c r="X23" s="9">
        <f t="shared" si="22"/>
        <v>-2.2170925580186402</v>
      </c>
      <c r="Y23" s="11" t="e">
        <f t="shared" si="23"/>
        <v>#NUM!</v>
      </c>
      <c r="Z23" s="12">
        <f t="shared" si="10"/>
        <v>37.427278593080622</v>
      </c>
      <c r="AA23" s="12">
        <f t="shared" si="11"/>
        <v>0.19354838709677422</v>
      </c>
    </row>
    <row r="24" spans="1:27" x14ac:dyDescent="0.2">
      <c r="A24" s="15"/>
      <c r="B24" s="15" t="s">
        <v>40</v>
      </c>
      <c r="C24" s="15" t="s">
        <v>35</v>
      </c>
      <c r="D24" s="15">
        <v>80</v>
      </c>
      <c r="E24" s="17">
        <f t="shared" si="24"/>
        <v>0.34731959999999995</v>
      </c>
      <c r="F24" s="18">
        <f t="shared" si="8"/>
        <v>8.5100000000000002E-3</v>
      </c>
      <c r="G24" s="16">
        <v>4.25</v>
      </c>
      <c r="H24" s="16">
        <v>9.98</v>
      </c>
      <c r="I24" s="15">
        <v>6.23</v>
      </c>
      <c r="J24" s="13"/>
      <c r="K24" s="8">
        <f t="shared" si="12"/>
        <v>4.2585170340681363E-4</v>
      </c>
      <c r="L24">
        <f t="shared" si="9"/>
        <v>0.42585170340681361</v>
      </c>
      <c r="M24">
        <f t="shared" si="13"/>
        <v>3.5914179104477624</v>
      </c>
      <c r="N24">
        <f t="shared" si="14"/>
        <v>24761.964552238816</v>
      </c>
      <c r="O24">
        <f t="shared" si="15"/>
        <v>7.4870331159029613</v>
      </c>
      <c r="P24" s="8">
        <f t="shared" si="16"/>
        <v>63612.871222378395</v>
      </c>
      <c r="Q24" s="9">
        <f t="shared" si="17"/>
        <v>5.4117267708373969E-3</v>
      </c>
      <c r="R24" s="9">
        <f t="shared" si="1"/>
        <v>2.5152142471398706E-4</v>
      </c>
      <c r="S24" s="9">
        <f t="shared" si="18"/>
        <v>4.9806982802903911E-3</v>
      </c>
      <c r="T24" s="11"/>
      <c r="U24" s="8">
        <f t="shared" si="19"/>
        <v>4.803544998278837</v>
      </c>
      <c r="V24" s="9">
        <f t="shared" si="20"/>
        <v>-2.2666641383332995</v>
      </c>
      <c r="W24" s="9">
        <f t="shared" si="21"/>
        <v>-3.5994250156229124</v>
      </c>
      <c r="X24" s="9">
        <f t="shared" si="22"/>
        <v>-2.3027097660720326</v>
      </c>
      <c r="Y24" s="11" t="e">
        <f t="shared" si="23"/>
        <v>#NUM!</v>
      </c>
      <c r="Z24" s="12">
        <f t="shared" si="10"/>
        <v>151.67897114037933</v>
      </c>
      <c r="AA24" s="12">
        <f t="shared" si="11"/>
        <v>0.42585170340681361</v>
      </c>
    </row>
    <row r="25" spans="1:27" x14ac:dyDescent="0.2">
      <c r="A25" s="15"/>
      <c r="B25" s="15" t="s">
        <v>40</v>
      </c>
      <c r="C25" s="15" t="s">
        <v>35</v>
      </c>
      <c r="D25" s="15">
        <v>97.3</v>
      </c>
      <c r="E25" s="17">
        <f t="shared" si="24"/>
        <v>0.34731959999999995</v>
      </c>
      <c r="F25" s="18">
        <f t="shared" si="8"/>
        <v>8.5100000000000002E-3</v>
      </c>
      <c r="G25" s="16">
        <v>5.3</v>
      </c>
      <c r="H25" s="16">
        <v>10.25</v>
      </c>
      <c r="I25" s="15">
        <v>7.26</v>
      </c>
      <c r="J25" s="13"/>
      <c r="K25" s="8">
        <f t="shared" si="12"/>
        <v>5.1707317073170736E-4</v>
      </c>
      <c r="L25">
        <f t="shared" si="9"/>
        <v>0.51707317073170733</v>
      </c>
      <c r="M25">
        <f t="shared" si="13"/>
        <v>5.1927860696517412</v>
      </c>
      <c r="N25">
        <f t="shared" si="14"/>
        <v>35803.013681592041</v>
      </c>
      <c r="O25">
        <f t="shared" si="15"/>
        <v>9.0908265051953236</v>
      </c>
      <c r="P25" s="8">
        <f t="shared" si="16"/>
        <v>77239.350598254983</v>
      </c>
      <c r="Q25" s="9">
        <f t="shared" si="17"/>
        <v>5.3074158575252698E-3</v>
      </c>
      <c r="R25" s="9">
        <f t="shared" si="1"/>
        <v>2.0714829780510191E-4</v>
      </c>
      <c r="S25" s="9">
        <f t="shared" si="18"/>
        <v>4.7447881902089786E-3</v>
      </c>
      <c r="T25" s="11"/>
      <c r="U25" s="8">
        <f t="shared" si="19"/>
        <v>4.887838613724913</v>
      </c>
      <c r="V25" s="9">
        <f t="shared" si="20"/>
        <v>-2.2751168823060306</v>
      </c>
      <c r="W25" s="9">
        <f t="shared" si="21"/>
        <v>-3.683718631068988</v>
      </c>
      <c r="X25" s="9">
        <f t="shared" si="22"/>
        <v>-2.3237831699335514</v>
      </c>
      <c r="Y25" s="11" t="e">
        <f t="shared" si="23"/>
        <v>#NUM!</v>
      </c>
      <c r="Z25" s="12">
        <f t="shared" si="10"/>
        <v>219.31072017699861</v>
      </c>
      <c r="AA25" s="12">
        <f t="shared" si="11"/>
        <v>0.51707317073170733</v>
      </c>
    </row>
    <row r="26" spans="1:27" x14ac:dyDescent="0.2">
      <c r="A26" s="15"/>
      <c r="B26" s="15" t="s">
        <v>47</v>
      </c>
      <c r="C26" s="15" t="s">
        <v>36</v>
      </c>
      <c r="D26" s="15">
        <v>40</v>
      </c>
      <c r="E26" s="17">
        <f>17.337*0.0254</f>
        <v>0.44035979999999997</v>
      </c>
      <c r="F26" s="18">
        <f t="shared" si="8"/>
        <v>8.5100000000000002E-3</v>
      </c>
      <c r="G26" s="16">
        <v>2.25</v>
      </c>
      <c r="H26" s="16">
        <v>11.66</v>
      </c>
      <c r="I26" s="15">
        <v>4.63</v>
      </c>
      <c r="J26" s="13"/>
      <c r="K26" s="8">
        <f t="shared" ref="K26:K29" si="25">(G26/$D$2)/H26</f>
        <v>1.9296740994854202E-4</v>
      </c>
      <c r="L26">
        <f t="shared" si="9"/>
        <v>0.19296740994854203</v>
      </c>
      <c r="M26">
        <f t="shared" ref="M26:M29" si="26">(I26 - $D$7) * $D$6</f>
        <v>1.1038557213930349</v>
      </c>
      <c r="N26">
        <f t="shared" si="14"/>
        <v>7610.8202736318417</v>
      </c>
      <c r="O26">
        <f t="shared" ref="O26:O29" si="27">K26/ ($D$9 * (F26/2)^2)</f>
        <v>3.3926208983473107</v>
      </c>
      <c r="P26" s="8">
        <f t="shared" ref="P26:P29" si="28">F26 * O26 * $D$2 / $D$3</f>
        <v>28825.083710998017</v>
      </c>
      <c r="Q26" s="9">
        <f t="shared" ref="Q26:Q29" si="29">(($D$9)^2 * (F26/2)^5 * N26) / ($D$2 * K26^2 * E26)</f>
        <v>6.3892914489120205E-3</v>
      </c>
      <c r="R26" s="9">
        <f t="shared" si="1"/>
        <v>5.5507210873754749E-4</v>
      </c>
      <c r="S26" s="9">
        <f t="shared" ref="S26:S29" si="30" xml:space="preserve"> 0.0791 / (P26^0.25)</f>
        <v>6.0706310541654143E-3</v>
      </c>
      <c r="T26" s="11"/>
      <c r="U26" s="8">
        <f t="shared" ref="U26:U29" si="31">LOG10(P26)</f>
        <v>4.4597705772042637</v>
      </c>
      <c r="V26" s="9">
        <f t="shared" ref="V26:V29" si="32">LOG10(Q26)</f>
        <v>-2.1945473009792487</v>
      </c>
      <c r="W26" s="9">
        <f t="shared" ref="W26:W29" si="33">LOG10(R26)</f>
        <v>-3.2556505945483392</v>
      </c>
      <c r="X26" s="9">
        <f t="shared" ref="X26:X29" si="34">LOG10(S26)</f>
        <v>-2.2167661608033895</v>
      </c>
      <c r="Y26" s="11" t="e">
        <f t="shared" ref="Y26:Y29" si="35">LOG10(T26)</f>
        <v>#NUM!</v>
      </c>
      <c r="Z26" s="12">
        <f t="shared" si="10"/>
        <v>36.769977941110305</v>
      </c>
      <c r="AA26" s="12">
        <f t="shared" si="11"/>
        <v>0.19296740994854203</v>
      </c>
    </row>
    <row r="27" spans="1:27" x14ac:dyDescent="0.2">
      <c r="A27" s="15"/>
      <c r="B27" s="15" t="s">
        <v>47</v>
      </c>
      <c r="C27" s="15" t="s">
        <v>36</v>
      </c>
      <c r="D27" s="15">
        <v>60</v>
      </c>
      <c r="E27" s="17">
        <f t="shared" ref="E27:E29" si="36">17.337*0.0254</f>
        <v>0.44035979999999997</v>
      </c>
      <c r="F27" s="18">
        <f t="shared" si="8"/>
        <v>8.5100000000000002E-3</v>
      </c>
      <c r="G27" s="16">
        <v>3.4</v>
      </c>
      <c r="H27" s="16">
        <v>11.17</v>
      </c>
      <c r="I27" s="15">
        <v>5.55</v>
      </c>
      <c r="J27" s="13"/>
      <c r="K27" s="8">
        <f t="shared" si="25"/>
        <v>3.0438675022381376E-4</v>
      </c>
      <c r="L27">
        <f t="shared" si="9"/>
        <v>0.30438675022381378</v>
      </c>
      <c r="M27">
        <f t="shared" si="26"/>
        <v>2.5342039800995027</v>
      </c>
      <c r="N27">
        <f t="shared" si="14"/>
        <v>17472.728233830847</v>
      </c>
      <c r="O27">
        <f t="shared" si="27"/>
        <v>5.3515194626113916</v>
      </c>
      <c r="P27" s="8">
        <f t="shared" si="28"/>
        <v>45468.68073764271</v>
      </c>
      <c r="Q27" s="9">
        <f t="shared" si="29"/>
        <v>5.895198082160576E-3</v>
      </c>
      <c r="R27" s="9">
        <f t="shared" si="1"/>
        <v>3.5189057039769982E-4</v>
      </c>
      <c r="S27" s="9">
        <f t="shared" si="30"/>
        <v>5.4168697767503719E-3</v>
      </c>
      <c r="T27" s="11"/>
      <c r="U27" s="8">
        <f t="shared" si="31"/>
        <v>4.6577123534425429</v>
      </c>
      <c r="V27" s="9">
        <f t="shared" si="32"/>
        <v>-2.2295015977709238</v>
      </c>
      <c r="W27" s="9">
        <f t="shared" si="33"/>
        <v>-3.4535923707866178</v>
      </c>
      <c r="X27" s="9">
        <f t="shared" si="34"/>
        <v>-2.2662516048629593</v>
      </c>
      <c r="Y27" s="11" t="e">
        <f t="shared" si="35"/>
        <v>#NUM!</v>
      </c>
      <c r="Z27" s="12">
        <f t="shared" si="10"/>
        <v>84.415583160577171</v>
      </c>
      <c r="AA27" s="12">
        <f t="shared" si="11"/>
        <v>0.30438675022381378</v>
      </c>
    </row>
    <row r="28" spans="1:27" x14ac:dyDescent="0.2">
      <c r="A28" s="15"/>
      <c r="B28" s="15" t="s">
        <v>47</v>
      </c>
      <c r="C28" s="15" t="s">
        <v>36</v>
      </c>
      <c r="D28" s="15">
        <v>80</v>
      </c>
      <c r="E28" s="17">
        <f t="shared" si="36"/>
        <v>0.44035979999999997</v>
      </c>
      <c r="F28" s="18">
        <f t="shared" si="8"/>
        <v>8.5100000000000002E-3</v>
      </c>
      <c r="G28" s="16">
        <v>4.25</v>
      </c>
      <c r="H28" s="16">
        <v>9.9499999999999993</v>
      </c>
      <c r="I28" s="15">
        <v>6.83</v>
      </c>
      <c r="J28" s="13"/>
      <c r="K28" s="8">
        <f t="shared" si="25"/>
        <v>4.2713567839195989E-4</v>
      </c>
      <c r="L28">
        <f t="shared" si="9"/>
        <v>0.42713567839195987</v>
      </c>
      <c r="M28">
        <f t="shared" si="26"/>
        <v>4.5242537313432845</v>
      </c>
      <c r="N28">
        <f t="shared" si="14"/>
        <v>31193.643656716424</v>
      </c>
      <c r="O28">
        <f t="shared" si="27"/>
        <v>7.5096070850966408</v>
      </c>
      <c r="P28" s="8">
        <f t="shared" si="28"/>
        <v>63804.66882405393</v>
      </c>
      <c r="Q28" s="9">
        <f t="shared" si="29"/>
        <v>5.3447029897371913E-3</v>
      </c>
      <c r="R28" s="9">
        <f t="shared" si="1"/>
        <v>2.5076534828699101E-4</v>
      </c>
      <c r="S28" s="9">
        <f t="shared" si="30"/>
        <v>4.9769510438221788E-3</v>
      </c>
      <c r="T28" s="11"/>
      <c r="U28" s="8">
        <f t="shared" si="31"/>
        <v>4.8048524588204833</v>
      </c>
      <c r="V28" s="9">
        <f t="shared" si="32"/>
        <v>-2.2720764239448545</v>
      </c>
      <c r="W28" s="9">
        <f t="shared" si="33"/>
        <v>-3.6007324761645583</v>
      </c>
      <c r="X28" s="9">
        <f t="shared" si="34"/>
        <v>-2.3030366312074442</v>
      </c>
      <c r="Y28" s="11" t="e">
        <f t="shared" si="35"/>
        <v>#NUM!</v>
      </c>
      <c r="Z28" s="12">
        <f t="shared" si="10"/>
        <v>150.70512085722675</v>
      </c>
      <c r="AA28" s="12">
        <f t="shared" si="11"/>
        <v>0.42713567839195987</v>
      </c>
    </row>
    <row r="29" spans="1:27" x14ac:dyDescent="0.2">
      <c r="A29" s="15"/>
      <c r="B29" s="15" t="s">
        <v>47</v>
      </c>
      <c r="C29" s="15" t="s">
        <v>36</v>
      </c>
      <c r="D29" s="15">
        <v>97.3</v>
      </c>
      <c r="E29" s="17">
        <f t="shared" si="36"/>
        <v>0.44035979999999997</v>
      </c>
      <c r="F29" s="18">
        <f t="shared" si="8"/>
        <v>8.5100000000000002E-3</v>
      </c>
      <c r="G29" s="16">
        <v>5</v>
      </c>
      <c r="H29" s="16">
        <v>9.65</v>
      </c>
      <c r="I29" s="15">
        <v>8.14</v>
      </c>
      <c r="J29" s="13"/>
      <c r="K29" s="8">
        <f t="shared" si="25"/>
        <v>5.1813471502590671E-4</v>
      </c>
      <c r="L29">
        <f t="shared" si="9"/>
        <v>0.51813471502590669</v>
      </c>
      <c r="M29">
        <f t="shared" si="26"/>
        <v>6.5609452736318419</v>
      </c>
      <c r="N29">
        <f t="shared" si="14"/>
        <v>45236.14303482588</v>
      </c>
      <c r="O29">
        <f t="shared" si="27"/>
        <v>9.1094898502543806</v>
      </c>
      <c r="P29" s="8">
        <f t="shared" si="28"/>
        <v>77397.921950543896</v>
      </c>
      <c r="Q29" s="9">
        <f t="shared" si="29"/>
        <v>5.2673157702867058E-3</v>
      </c>
      <c r="R29" s="9">
        <f t="shared" si="1"/>
        <v>2.0672389641447685E-4</v>
      </c>
      <c r="S29" s="9">
        <f t="shared" si="30"/>
        <v>4.7423560634596911E-3</v>
      </c>
      <c r="T29" s="11"/>
      <c r="U29" s="8">
        <f t="shared" si="31"/>
        <v>4.8887293005081229</v>
      </c>
      <c r="V29" s="9">
        <f t="shared" si="32"/>
        <v>-2.2784106453443682</v>
      </c>
      <c r="W29" s="9">
        <f t="shared" si="33"/>
        <v>-3.6846093178521984</v>
      </c>
      <c r="X29" s="9">
        <f t="shared" si="34"/>
        <v>-2.3240058416293543</v>
      </c>
      <c r="Y29" s="11" t="e">
        <f t="shared" si="35"/>
        <v>#NUM!</v>
      </c>
      <c r="Z29" s="12">
        <f t="shared" si="10"/>
        <v>218.54831959364154</v>
      </c>
      <c r="AA29" s="12">
        <f t="shared" si="11"/>
        <v>0.51813471502590669</v>
      </c>
    </row>
    <row r="30" spans="1:27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3"/>
      <c r="K30" s="8"/>
      <c r="P30" s="8"/>
      <c r="Q30" s="9"/>
      <c r="R30" s="9"/>
      <c r="S30" s="9"/>
      <c r="T30" s="11"/>
      <c r="U30" s="8"/>
      <c r="V30" s="9"/>
      <c r="W30" s="9"/>
      <c r="X30" s="9"/>
      <c r="Y30" s="11"/>
    </row>
    <row r="31" spans="1:27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8"/>
      <c r="P31" s="8"/>
      <c r="Q31" s="9"/>
      <c r="R31" s="9"/>
      <c r="S31" s="9"/>
      <c r="T31" s="11"/>
      <c r="U31" s="8"/>
      <c r="V31" s="9"/>
      <c r="W31" s="9"/>
      <c r="X31" s="9"/>
      <c r="Y31" s="11"/>
    </row>
    <row r="32" spans="1:27" x14ac:dyDescent="0.2">
      <c r="K32" s="8"/>
      <c r="P32" s="8"/>
      <c r="Q32" s="9"/>
      <c r="R32" s="9"/>
      <c r="S32" s="9"/>
      <c r="T32" s="11"/>
      <c r="U32" s="8"/>
      <c r="V32" s="9"/>
      <c r="W32" s="9"/>
      <c r="X32" s="9"/>
      <c r="Y32" s="11"/>
    </row>
    <row r="33" spans="11:25" x14ac:dyDescent="0.2">
      <c r="K33" s="8"/>
      <c r="P33" s="8"/>
      <c r="Q33" s="9"/>
      <c r="R33" s="9"/>
      <c r="S33" s="9"/>
      <c r="T33" s="11"/>
      <c r="U33" s="8"/>
      <c r="V33" s="9"/>
      <c r="W33" s="9"/>
      <c r="X33" s="9"/>
      <c r="Y33" s="11"/>
    </row>
    <row r="34" spans="11:25" x14ac:dyDescent="0.2">
      <c r="K34" s="8"/>
      <c r="P34" s="8"/>
      <c r="Q34" s="9"/>
      <c r="R34" s="9"/>
      <c r="S34" s="9"/>
      <c r="T34" s="11"/>
      <c r="U34" s="8"/>
      <c r="V34" s="9"/>
      <c r="W34" s="9"/>
      <c r="X34" s="9"/>
      <c r="Y34" s="11"/>
    </row>
    <row r="35" spans="11:25" x14ac:dyDescent="0.2">
      <c r="K35" s="8"/>
      <c r="P35" s="8"/>
      <c r="Q35" s="9"/>
      <c r="R35" s="9"/>
      <c r="S35" s="9"/>
      <c r="T35" s="11"/>
      <c r="U35" s="8"/>
      <c r="V35" s="9"/>
      <c r="W35" s="9"/>
      <c r="X35" s="9"/>
      <c r="Y35" s="11"/>
    </row>
    <row r="36" spans="11:25" x14ac:dyDescent="0.2">
      <c r="K36" s="8"/>
      <c r="P36" s="8"/>
      <c r="Q36" s="9"/>
      <c r="R36" s="9"/>
      <c r="S36" s="9"/>
      <c r="T36" s="11"/>
      <c r="U36" s="8"/>
      <c r="V36" s="9"/>
      <c r="W36" s="9"/>
      <c r="X36" s="9"/>
      <c r="Y36" s="11"/>
    </row>
    <row r="37" spans="11:25" x14ac:dyDescent="0.2">
      <c r="K37" s="8"/>
      <c r="P37" s="8"/>
      <c r="Q37" s="9"/>
      <c r="R37" s="9"/>
      <c r="S37" s="9"/>
      <c r="T37" s="11"/>
      <c r="U37" s="8"/>
      <c r="V37" s="9"/>
      <c r="W37" s="9"/>
      <c r="X37" s="9"/>
      <c r="Y37" s="11"/>
    </row>
    <row r="38" spans="11:25" x14ac:dyDescent="0.2">
      <c r="K38" s="8"/>
      <c r="P38" s="8"/>
      <c r="Q38" s="9"/>
      <c r="R38" s="9"/>
      <c r="S38" s="9"/>
      <c r="T38" s="11"/>
      <c r="U38" s="8"/>
      <c r="V38" s="9"/>
      <c r="W38" s="9"/>
      <c r="X38" s="9"/>
      <c r="Y38" s="11"/>
    </row>
    <row r="39" spans="11:25" x14ac:dyDescent="0.2">
      <c r="K39" s="8"/>
      <c r="P39" s="8"/>
      <c r="Q39" s="9"/>
      <c r="R39" s="9"/>
      <c r="S39" s="9"/>
      <c r="T39" s="11"/>
      <c r="U39" s="8"/>
      <c r="V39" s="9"/>
      <c r="W39" s="9"/>
      <c r="X39" s="9"/>
      <c r="Y39" s="11"/>
    </row>
    <row r="40" spans="11:25" x14ac:dyDescent="0.2">
      <c r="K40" s="8"/>
      <c r="P40" s="8"/>
      <c r="Q40" s="9"/>
      <c r="R40" s="9"/>
      <c r="S40" s="9"/>
      <c r="T40" s="11"/>
      <c r="U40" s="8"/>
      <c r="V40" s="9"/>
      <c r="W40" s="9"/>
      <c r="X40" s="9"/>
      <c r="Y40" s="11"/>
    </row>
    <row r="41" spans="11:25" x14ac:dyDescent="0.2">
      <c r="K41" s="8"/>
      <c r="P41" s="8"/>
      <c r="Q41" s="9"/>
      <c r="R41" s="9"/>
      <c r="S41" s="9"/>
      <c r="T41" s="11"/>
      <c r="U41" s="8"/>
      <c r="V41" s="9"/>
      <c r="W41" s="9"/>
      <c r="X41" s="9"/>
      <c r="Y41" s="11"/>
    </row>
    <row r="42" spans="11:25" x14ac:dyDescent="0.2">
      <c r="K42" s="8"/>
      <c r="P42" s="8"/>
      <c r="Q42" s="9"/>
      <c r="R42" s="9"/>
      <c r="S42" s="9"/>
      <c r="T42" s="11"/>
      <c r="U42" s="8"/>
      <c r="V42" s="9"/>
      <c r="W42" s="9"/>
      <c r="X42" s="9"/>
      <c r="Y42" s="11"/>
    </row>
    <row r="43" spans="11:25" x14ac:dyDescent="0.2">
      <c r="K43" s="8"/>
      <c r="P43" s="8"/>
      <c r="Q43" s="9"/>
      <c r="R43" s="9"/>
      <c r="S43" s="9"/>
      <c r="T43" s="11"/>
      <c r="U43" s="8"/>
      <c r="V43" s="9"/>
      <c r="W43" s="9"/>
      <c r="X43" s="9"/>
      <c r="Y43" s="1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Johanson</dc:creator>
  <cp:lastModifiedBy>Wesley Johanson</cp:lastModifiedBy>
  <dcterms:created xsi:type="dcterms:W3CDTF">2022-04-06T17:20:38Z</dcterms:created>
  <dcterms:modified xsi:type="dcterms:W3CDTF">2022-04-13T20:35:36Z</dcterms:modified>
</cp:coreProperties>
</file>