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Ask permission from Xiaoyan\FII 2018\Codebook\"/>
    </mc:Choice>
  </mc:AlternateContent>
  <bookViews>
    <workbookView xWindow="0" yWindow="0" windowWidth="19725" windowHeight="12405" tabRatio="882"/>
  </bookViews>
  <sheets>
    <sheet name="INDIA" sheetId="1" r:id="rId1"/>
    <sheet name="brand name" sheetId="9" r:id="rId2"/>
    <sheet name="Institution" sheetId="2" r:id="rId3"/>
    <sheet name="Channel" sheetId="3" r:id="rId4"/>
    <sheet name="Activity" sheetId="4" r:id="rId5"/>
    <sheet name="Other" sheetId="5" r:id="rId6"/>
    <sheet name="vDG4" sheetId="6" r:id="rId7"/>
    <sheet name="vDL2" sheetId="8" r:id="rId8"/>
    <sheet name="vDL1" sheetId="7" r:id="rId9"/>
  </sheets>
  <calcPr calcId="162913"/>
  <customWorkbookViews>
    <customWorkbookView name="Xiaoyan Hu - Personal View" guid="{496F11CA-79B2-45A2-B2F4-DB8ECA08FAE7}" mergeInterval="0" personalView="1" maximized="1" xWindow="-8" yWindow="-8" windowWidth="1936" windowHeight="1176" tabRatio="882" activeSheetId="1" showComments="commIndAndComment"/>
    <customWorkbookView name="Samuel Schueth - Personal View" guid="{AE93BF8D-04E5-4414-A37A-51DC0A068FA8}" mergeInterval="0" personalView="1" maximized="1" xWindow="-8" yWindow="-8" windowWidth="1936" windowHeight="1176" tabRatio="882" activeSheetId="1" showComments="commIndAndComment"/>
  </customWorkbookViews>
</workbook>
</file>

<file path=xl/calcChain.xml><?xml version="1.0" encoding="utf-8"?>
<calcChain xmlns="http://schemas.openxmlformats.org/spreadsheetml/2006/main">
  <c r="B111" i="1" l="1"/>
  <c r="B116" i="1" l="1"/>
  <c r="B112" i="1"/>
  <c r="B108" i="1"/>
  <c r="B671" i="1"/>
  <c r="B686" i="1"/>
  <c r="B670" i="1"/>
  <c r="B685" i="1"/>
  <c r="B586" i="1"/>
  <c r="B362" i="1"/>
  <c r="G362" i="1"/>
  <c r="B349" i="1"/>
  <c r="G349" i="1"/>
  <c r="G716" i="1"/>
  <c r="G717" i="1"/>
  <c r="G718" i="1"/>
  <c r="G719" i="1"/>
  <c r="G720" i="1"/>
  <c r="G721" i="1"/>
  <c r="G722" i="1"/>
  <c r="G723" i="1"/>
  <c r="G724" i="1"/>
  <c r="G725" i="1"/>
  <c r="G726" i="1"/>
  <c r="G727" i="1"/>
  <c r="G728" i="1"/>
  <c r="G729" i="1"/>
  <c r="G730" i="1"/>
  <c r="G731" i="1"/>
  <c r="G732" i="1"/>
  <c r="G644" i="1"/>
  <c r="B644" i="1"/>
  <c r="B110" i="1"/>
  <c r="B109" i="1"/>
  <c r="B624" i="1"/>
  <c r="B622" i="1"/>
  <c r="B623" i="1"/>
  <c r="B621" i="1"/>
  <c r="B620" i="1"/>
  <c r="B619" i="1"/>
  <c r="B618" i="1"/>
  <c r="B617" i="1"/>
  <c r="G621" i="1"/>
  <c r="G620" i="1"/>
  <c r="G619" i="1"/>
  <c r="G618" i="1"/>
  <c r="G617" i="1"/>
  <c r="B698" i="1"/>
  <c r="G635" i="1"/>
  <c r="B635" i="1"/>
  <c r="B607" i="1"/>
  <c r="B156" i="1"/>
  <c r="B606" i="1"/>
  <c r="B605" i="1"/>
  <c r="B604" i="1"/>
  <c r="B603" i="1"/>
  <c r="B690" i="1"/>
  <c r="B275" i="1"/>
  <c r="B276" i="1"/>
  <c r="B274" i="1"/>
  <c r="G273" i="1"/>
  <c r="B273" i="1"/>
  <c r="B288" i="1"/>
  <c r="B287" i="1"/>
  <c r="B280" i="1"/>
  <c r="B261" i="1"/>
  <c r="B262" i="1"/>
  <c r="B263" i="1"/>
  <c r="B264" i="1"/>
  <c r="B265" i="1"/>
  <c r="B260" i="1"/>
  <c r="B259" i="1"/>
  <c r="B242" i="1"/>
  <c r="B289" i="1"/>
  <c r="G289" i="1"/>
  <c r="B396" i="1"/>
  <c r="G396" i="1"/>
  <c r="B375" i="1"/>
  <c r="B376" i="1"/>
  <c r="B244" i="1"/>
  <c r="G244" i="1"/>
  <c r="B220" i="1"/>
  <c r="B175" i="1"/>
  <c r="B167" i="1"/>
  <c r="B168" i="1"/>
  <c r="B165" i="1"/>
  <c r="B163" i="1"/>
  <c r="B159" i="1"/>
  <c r="B737" i="1"/>
  <c r="B736" i="1"/>
  <c r="B66" i="1"/>
  <c r="B63" i="1"/>
  <c r="B463" i="1"/>
  <c r="B462" i="1"/>
  <c r="B461" i="1"/>
  <c r="B460" i="1"/>
  <c r="B459" i="1"/>
  <c r="B458" i="1"/>
  <c r="B457" i="1"/>
  <c r="B456" i="1"/>
  <c r="B455" i="1"/>
  <c r="B67" i="1"/>
  <c r="B62" i="1"/>
  <c r="B160" i="1"/>
  <c r="B715" i="1"/>
  <c r="G406" i="1"/>
  <c r="B406" i="1"/>
  <c r="B405" i="1"/>
  <c r="G405" i="1"/>
  <c r="B409" i="1"/>
  <c r="G409" i="1"/>
  <c r="B410" i="1"/>
  <c r="G410" i="1"/>
  <c r="B411" i="1"/>
  <c r="G411" i="1"/>
  <c r="B412" i="1"/>
  <c r="G412" i="1"/>
  <c r="B413" i="1"/>
  <c r="G413" i="1"/>
  <c r="B399" i="1"/>
  <c r="B363" i="1"/>
  <c r="B166" i="1"/>
  <c r="B164" i="1"/>
  <c r="B400" i="1"/>
  <c r="B401" i="1"/>
  <c r="B402" i="1"/>
  <c r="B403" i="1"/>
  <c r="B404" i="1"/>
  <c r="B390" i="1"/>
  <c r="B391" i="1"/>
  <c r="B392" i="1"/>
  <c r="B393" i="1"/>
  <c r="B394" i="1"/>
  <c r="B395" i="1"/>
  <c r="B389" i="1"/>
  <c r="G404" i="1"/>
  <c r="G403" i="1"/>
  <c r="G402" i="1"/>
  <c r="G401" i="1"/>
  <c r="G400" i="1"/>
  <c r="G399" i="1"/>
  <c r="G167" i="1"/>
  <c r="G168" i="1"/>
  <c r="B732" i="1"/>
  <c r="B731" i="1"/>
  <c r="B730" i="1"/>
  <c r="B728" i="1"/>
  <c r="B726" i="1"/>
  <c r="B724" i="1"/>
  <c r="B722" i="1"/>
  <c r="B720" i="1"/>
  <c r="B718" i="1"/>
  <c r="B716" i="1"/>
  <c r="B364" i="1"/>
  <c r="B365" i="1"/>
  <c r="B366" i="1"/>
  <c r="B367" i="1"/>
  <c r="B368" i="1"/>
  <c r="B369" i="1"/>
  <c r="B370" i="1"/>
  <c r="B371" i="1"/>
  <c r="B372" i="1"/>
  <c r="G166" i="1"/>
  <c r="G372" i="1"/>
  <c r="G371" i="1"/>
  <c r="G370" i="1"/>
  <c r="G369" i="1"/>
  <c r="G368" i="1"/>
  <c r="G367" i="1"/>
  <c r="G366" i="1"/>
  <c r="G365" i="1"/>
  <c r="G364" i="1"/>
  <c r="G363" i="1"/>
  <c r="G746" i="1"/>
  <c r="G745" i="1"/>
  <c r="B745" i="1"/>
  <c r="B744" i="1"/>
  <c r="G744" i="1"/>
  <c r="G52" i="1"/>
  <c r="B52" i="1"/>
  <c r="G51" i="1"/>
  <c r="B51" i="1"/>
  <c r="G50" i="1"/>
  <c r="G49" i="1"/>
  <c r="B49" i="1"/>
  <c r="G48" i="1"/>
  <c r="B48" i="1"/>
  <c r="G47" i="1"/>
  <c r="G46" i="1"/>
  <c r="B46" i="1"/>
  <c r="G45" i="1"/>
  <c r="B45" i="1"/>
  <c r="G44" i="1"/>
  <c r="G43" i="1"/>
  <c r="B43" i="1"/>
  <c r="G42" i="1"/>
  <c r="B42" i="1"/>
  <c r="G41" i="1"/>
  <c r="G40" i="1"/>
  <c r="B40" i="1"/>
  <c r="G39" i="1"/>
  <c r="B39" i="1"/>
  <c r="G38" i="1"/>
  <c r="G37" i="1"/>
  <c r="B37" i="1"/>
  <c r="G36" i="1"/>
  <c r="B36" i="1"/>
  <c r="G35" i="1"/>
  <c r="G34" i="1"/>
  <c r="B34" i="1"/>
  <c r="G33" i="1"/>
  <c r="B33" i="1"/>
  <c r="G32" i="1"/>
  <c r="G31" i="1"/>
  <c r="B31" i="1"/>
  <c r="G30" i="1"/>
  <c r="B30" i="1"/>
  <c r="G29" i="1"/>
  <c r="G28" i="1"/>
  <c r="B28" i="1"/>
  <c r="G27" i="1"/>
  <c r="B27" i="1"/>
  <c r="G26" i="1"/>
  <c r="G23" i="1"/>
  <c r="G25" i="1"/>
  <c r="G24" i="1"/>
  <c r="B25" i="1"/>
  <c r="B24" i="1"/>
  <c r="B98" i="1"/>
  <c r="G571" i="1"/>
  <c r="G239" i="1"/>
  <c r="G238" i="1"/>
  <c r="B483" i="1"/>
  <c r="B476" i="1"/>
  <c r="B477" i="1"/>
  <c r="B478" i="1"/>
  <c r="B479" i="1"/>
  <c r="B480" i="1"/>
  <c r="B481" i="1"/>
  <c r="B482" i="1"/>
  <c r="B475" i="1"/>
  <c r="B468" i="1"/>
  <c r="B469" i="1"/>
  <c r="B470" i="1"/>
  <c r="B471" i="1"/>
  <c r="B472" i="1"/>
  <c r="B473" i="1"/>
  <c r="B474" i="1"/>
  <c r="B467" i="1"/>
  <c r="B466" i="1"/>
  <c r="G703" i="1"/>
  <c r="B580" i="1"/>
  <c r="G580" i="1"/>
  <c r="G624" i="1"/>
  <c r="G623" i="1"/>
  <c r="G622" i="1"/>
  <c r="G616" i="1"/>
  <c r="G615" i="1"/>
  <c r="G614" i="1"/>
  <c r="G613" i="1"/>
  <c r="G612" i="1"/>
  <c r="G611" i="1"/>
  <c r="G610" i="1"/>
  <c r="G609" i="1"/>
  <c r="G608" i="1"/>
  <c r="G607" i="1"/>
  <c r="G606" i="1"/>
  <c r="G605" i="1"/>
  <c r="G604" i="1"/>
  <c r="G603" i="1"/>
  <c r="G602" i="1"/>
  <c r="G601" i="1"/>
  <c r="G600" i="1"/>
  <c r="G599" i="1"/>
  <c r="G598" i="1"/>
  <c r="G597" i="1"/>
  <c r="G596" i="1"/>
  <c r="G595" i="1"/>
  <c r="G594" i="1"/>
  <c r="B343" i="1"/>
  <c r="B344" i="1"/>
  <c r="B345" i="1"/>
  <c r="B346" i="1"/>
  <c r="B342" i="1"/>
  <c r="B337" i="1"/>
  <c r="B338" i="1"/>
  <c r="B339" i="1"/>
  <c r="B340" i="1"/>
  <c r="B341" i="1"/>
  <c r="B336" i="1"/>
  <c r="B303" i="1"/>
  <c r="B92" i="1"/>
  <c r="B700" i="1"/>
  <c r="B701" i="1"/>
  <c r="B702" i="1"/>
  <c r="B703" i="1"/>
  <c r="B699" i="1"/>
  <c r="B414" i="1"/>
  <c r="B378" i="1"/>
  <c r="B379" i="1"/>
  <c r="B380" i="1"/>
  <c r="B381" i="1"/>
  <c r="B382" i="1"/>
  <c r="B383" i="1"/>
  <c r="B384" i="1"/>
  <c r="B385" i="1"/>
  <c r="B386" i="1"/>
  <c r="B377" i="1"/>
  <c r="B351" i="1"/>
  <c r="B352" i="1"/>
  <c r="B353" i="1"/>
  <c r="B354" i="1"/>
  <c r="B355" i="1"/>
  <c r="B356" i="1"/>
  <c r="B357" i="1"/>
  <c r="B358" i="1"/>
  <c r="B359" i="1"/>
  <c r="B350" i="1"/>
  <c r="B317" i="1"/>
  <c r="B316" i="1"/>
  <c r="B315" i="1"/>
  <c r="B313" i="1"/>
  <c r="B161" i="1"/>
  <c r="B729" i="1"/>
  <c r="B727" i="1"/>
  <c r="B725" i="1"/>
  <c r="B723" i="1"/>
  <c r="B721" i="1"/>
  <c r="B719" i="1"/>
  <c r="B717" i="1"/>
  <c r="B107" i="1"/>
  <c r="B85" i="1"/>
  <c r="B84" i="1"/>
  <c r="B83" i="1"/>
  <c r="B65" i="1"/>
  <c r="B227" i="1"/>
  <c r="B219" i="1"/>
  <c r="B221" i="1"/>
  <c r="B218" i="1"/>
  <c r="B217" i="1"/>
  <c r="B216" i="1"/>
  <c r="B215" i="1"/>
  <c r="B214" i="1"/>
  <c r="B211" i="1"/>
  <c r="B212" i="1"/>
  <c r="B213" i="1"/>
  <c r="B210" i="1"/>
  <c r="B208" i="1"/>
  <c r="B209" i="1"/>
  <c r="B207" i="1"/>
  <c r="B204" i="1"/>
  <c r="B203" i="1"/>
  <c r="B202" i="1"/>
  <c r="B201" i="1"/>
  <c r="B200" i="1"/>
  <c r="B199" i="1"/>
  <c r="B198" i="1"/>
  <c r="B197" i="1"/>
  <c r="B196" i="1"/>
  <c r="B195" i="1"/>
  <c r="B194" i="1"/>
  <c r="B193" i="1"/>
  <c r="B192" i="1"/>
  <c r="B191" i="1"/>
  <c r="B190" i="1"/>
  <c r="B182" i="1"/>
  <c r="B181" i="1"/>
  <c r="B125" i="1"/>
  <c r="B124" i="1"/>
  <c r="B115" i="1"/>
  <c r="B114" i="1"/>
  <c r="B113" i="1"/>
  <c r="B105" i="1"/>
  <c r="B187" i="1"/>
  <c r="B186" i="1"/>
  <c r="B185" i="1"/>
  <c r="B184" i="1"/>
  <c r="B183" i="1"/>
  <c r="B180" i="1"/>
  <c r="B104" i="1"/>
  <c r="B103" i="1"/>
  <c r="B102" i="1"/>
  <c r="B101" i="1"/>
  <c r="B100" i="1"/>
  <c r="B99" i="1"/>
  <c r="B97" i="1"/>
  <c r="B96" i="1"/>
  <c r="B95" i="1"/>
  <c r="B740" i="1"/>
  <c r="B123" i="1"/>
  <c r="B119" i="1"/>
  <c r="B118" i="1"/>
  <c r="B117" i="1"/>
  <c r="B88" i="1"/>
  <c r="B87" i="1"/>
  <c r="B86" i="1"/>
  <c r="B82" i="1"/>
  <c r="B68" i="1"/>
  <c r="B58" i="1"/>
  <c r="B714" i="1"/>
  <c r="B713" i="1"/>
  <c r="B712" i="1"/>
  <c r="B711" i="1"/>
  <c r="B710" i="1"/>
  <c r="B709" i="1"/>
  <c r="B708" i="1"/>
  <c r="B707" i="1"/>
  <c r="B706" i="1"/>
  <c r="B81" i="1"/>
  <c r="B64" i="1"/>
  <c r="B179" i="1"/>
  <c r="B178" i="1"/>
  <c r="B177" i="1"/>
  <c r="B176" i="1"/>
  <c r="B174" i="1"/>
  <c r="B173" i="1"/>
  <c r="B172" i="1"/>
  <c r="B697" i="1"/>
  <c r="B696" i="1"/>
  <c r="B695" i="1"/>
  <c r="B694" i="1"/>
  <c r="B693" i="1"/>
  <c r="B692" i="1"/>
  <c r="B691" i="1"/>
  <c r="B683" i="1"/>
  <c r="B682" i="1"/>
  <c r="B680" i="1"/>
  <c r="B681" i="1"/>
  <c r="B679" i="1"/>
  <c r="B677" i="1"/>
  <c r="B678" i="1"/>
  <c r="B676" i="1"/>
  <c r="B665" i="1"/>
  <c r="B664" i="1"/>
  <c r="B657" i="1"/>
  <c r="B658" i="1"/>
  <c r="B659" i="1"/>
  <c r="B660" i="1"/>
  <c r="B661" i="1"/>
  <c r="B662" i="1"/>
  <c r="B663" i="1"/>
  <c r="B656" i="1"/>
  <c r="B655" i="1"/>
  <c r="B654" i="1"/>
  <c r="B647" i="1"/>
  <c r="B648" i="1"/>
  <c r="B649" i="1"/>
  <c r="B650" i="1"/>
  <c r="B651" i="1"/>
  <c r="B652" i="1"/>
  <c r="B653" i="1"/>
  <c r="B646" i="1"/>
  <c r="B638" i="1"/>
  <c r="B639" i="1"/>
  <c r="B640" i="1"/>
  <c r="B641" i="1"/>
  <c r="B642" i="1"/>
  <c r="B643" i="1"/>
  <c r="B645" i="1"/>
  <c r="B637" i="1"/>
  <c r="B629" i="1"/>
  <c r="B630" i="1"/>
  <c r="B631" i="1"/>
  <c r="B632" i="1"/>
  <c r="B633" i="1"/>
  <c r="B634" i="1"/>
  <c r="B636" i="1"/>
  <c r="B628" i="1"/>
  <c r="B616" i="1"/>
  <c r="B615" i="1"/>
  <c r="B612" i="1"/>
  <c r="B613" i="1"/>
  <c r="B614" i="1"/>
  <c r="B611" i="1"/>
  <c r="B609" i="1"/>
  <c r="B610" i="1"/>
  <c r="B608" i="1"/>
  <c r="B602" i="1"/>
  <c r="B601" i="1"/>
  <c r="B600" i="1"/>
  <c r="B598" i="1"/>
  <c r="B599" i="1"/>
  <c r="B597" i="1"/>
  <c r="B594" i="1"/>
  <c r="B571" i="1"/>
  <c r="B582" i="1"/>
  <c r="B583" i="1"/>
  <c r="B584" i="1"/>
  <c r="B585" i="1"/>
  <c r="B587" i="1"/>
  <c r="B588" i="1"/>
  <c r="B589" i="1"/>
  <c r="B590" i="1"/>
  <c r="B591" i="1"/>
  <c r="B581" i="1"/>
  <c r="G743" i="1"/>
  <c r="B743" i="1"/>
  <c r="G742" i="1"/>
  <c r="B742" i="1"/>
  <c r="G741" i="1"/>
  <c r="B741" i="1"/>
  <c r="G740" i="1"/>
  <c r="G737" i="1"/>
  <c r="G736" i="1"/>
  <c r="G735" i="1"/>
  <c r="G165" i="1"/>
  <c r="G164" i="1"/>
  <c r="G163" i="1"/>
  <c r="G162" i="1"/>
  <c r="B162" i="1"/>
  <c r="G161" i="1"/>
  <c r="G160" i="1"/>
  <c r="G159" i="1"/>
  <c r="G715" i="1"/>
  <c r="G714" i="1"/>
  <c r="G713" i="1"/>
  <c r="G712" i="1"/>
  <c r="G711" i="1"/>
  <c r="G710" i="1"/>
  <c r="G709" i="1"/>
  <c r="G708" i="1"/>
  <c r="G707" i="1"/>
  <c r="G706" i="1"/>
  <c r="G702" i="1"/>
  <c r="G701" i="1"/>
  <c r="G700" i="1"/>
  <c r="G699" i="1"/>
  <c r="G698" i="1"/>
  <c r="G697" i="1"/>
  <c r="G696" i="1"/>
  <c r="G695" i="1"/>
  <c r="G694" i="1"/>
  <c r="G693" i="1"/>
  <c r="G692" i="1"/>
  <c r="G691" i="1"/>
  <c r="G690" i="1"/>
  <c r="G689" i="1"/>
  <c r="B689" i="1"/>
  <c r="G688" i="1"/>
  <c r="B688" i="1"/>
  <c r="G687" i="1"/>
  <c r="B687" i="1"/>
  <c r="G686" i="1"/>
  <c r="G685" i="1"/>
  <c r="G684" i="1"/>
  <c r="B684" i="1"/>
  <c r="G683" i="1"/>
  <c r="G682" i="1"/>
  <c r="G681" i="1"/>
  <c r="G680" i="1"/>
  <c r="G679" i="1"/>
  <c r="G678" i="1"/>
  <c r="G677" i="1"/>
  <c r="G676" i="1"/>
  <c r="G675" i="1"/>
  <c r="B675" i="1"/>
  <c r="G674" i="1"/>
  <c r="B674" i="1"/>
  <c r="G673" i="1"/>
  <c r="B673" i="1"/>
  <c r="G672" i="1"/>
  <c r="B672" i="1"/>
  <c r="G671" i="1"/>
  <c r="G670" i="1"/>
  <c r="G669" i="1"/>
  <c r="B669" i="1"/>
  <c r="G666" i="1"/>
  <c r="B666" i="1"/>
  <c r="G665" i="1"/>
  <c r="G664" i="1"/>
  <c r="G663" i="1"/>
  <c r="G662" i="1"/>
  <c r="G661" i="1"/>
  <c r="G660" i="1"/>
  <c r="G659" i="1"/>
  <c r="G658" i="1"/>
  <c r="G657" i="1"/>
  <c r="G656" i="1"/>
  <c r="G655" i="1"/>
  <c r="G654" i="1"/>
  <c r="G653" i="1"/>
  <c r="G652" i="1"/>
  <c r="G651" i="1"/>
  <c r="G650" i="1"/>
  <c r="G649" i="1"/>
  <c r="G648" i="1"/>
  <c r="G647" i="1"/>
  <c r="G646" i="1"/>
  <c r="G645" i="1"/>
  <c r="G643" i="1"/>
  <c r="G642" i="1"/>
  <c r="G641" i="1"/>
  <c r="G640" i="1"/>
  <c r="G639" i="1"/>
  <c r="G638" i="1"/>
  <c r="G637" i="1"/>
  <c r="G636" i="1"/>
  <c r="G634" i="1"/>
  <c r="G633" i="1"/>
  <c r="G632" i="1"/>
  <c r="G631" i="1"/>
  <c r="G630" i="1"/>
  <c r="G629" i="1"/>
  <c r="G628" i="1"/>
  <c r="G627" i="1"/>
  <c r="B627" i="1"/>
  <c r="B596" i="1"/>
  <c r="B595" i="1"/>
  <c r="B72" i="1"/>
  <c r="B73" i="1"/>
  <c r="B74" i="1"/>
  <c r="B75" i="1"/>
  <c r="B76" i="1"/>
  <c r="B77" i="1"/>
  <c r="B78" i="1"/>
  <c r="B79" i="1"/>
  <c r="B80" i="1"/>
  <c r="B71" i="1"/>
  <c r="B145" i="1"/>
  <c r="B146" i="1"/>
  <c r="B147" i="1"/>
  <c r="B148" i="1"/>
  <c r="B149" i="1"/>
  <c r="B150" i="1"/>
  <c r="B151" i="1"/>
  <c r="B152" i="1"/>
  <c r="B153" i="1"/>
  <c r="B154" i="1"/>
  <c r="B155" i="1"/>
  <c r="G156" i="1"/>
  <c r="G155" i="1"/>
  <c r="G154" i="1"/>
  <c r="G153" i="1"/>
  <c r="G152" i="1"/>
  <c r="G151" i="1"/>
  <c r="G150" i="1"/>
  <c r="G149" i="1"/>
  <c r="G148" i="1"/>
  <c r="G147" i="1"/>
  <c r="G146" i="1"/>
  <c r="G145" i="1"/>
  <c r="G142" i="1"/>
  <c r="B142" i="1"/>
  <c r="G141" i="1"/>
  <c r="B141" i="1"/>
  <c r="G140" i="1"/>
  <c r="B140" i="1"/>
  <c r="G139" i="1"/>
  <c r="B139" i="1"/>
  <c r="G138" i="1"/>
  <c r="B138" i="1"/>
  <c r="G137" i="1"/>
  <c r="B137" i="1"/>
  <c r="G136" i="1"/>
  <c r="B136" i="1"/>
  <c r="G135" i="1"/>
  <c r="B135" i="1"/>
  <c r="B306" i="1"/>
  <c r="B310" i="1"/>
  <c r="B309" i="1"/>
  <c r="B308" i="1"/>
  <c r="B297" i="1"/>
  <c r="B298" i="1"/>
  <c r="B299" i="1"/>
  <c r="B300" i="1"/>
  <c r="B301" i="1"/>
  <c r="B302" i="1"/>
  <c r="B296" i="1"/>
  <c r="B238" i="1"/>
  <c r="G579" i="1"/>
  <c r="G560" i="1"/>
  <c r="G542" i="1"/>
  <c r="G529" i="1"/>
  <c r="G530" i="1"/>
  <c r="G531" i="1"/>
  <c r="G532" i="1"/>
  <c r="G533" i="1"/>
  <c r="G534" i="1"/>
  <c r="G524" i="1"/>
  <c r="G523" i="1"/>
  <c r="G515" i="1"/>
  <c r="G504" i="1"/>
  <c r="G483" i="1"/>
  <c r="G484" i="1"/>
  <c r="G454" i="1"/>
  <c r="G455" i="1"/>
  <c r="G445" i="1"/>
  <c r="G292" i="1"/>
  <c r="G293" i="1"/>
  <c r="G283" i="1"/>
  <c r="G284" i="1"/>
  <c r="G285" i="1"/>
  <c r="G267" i="1"/>
  <c r="G268" i="1"/>
  <c r="G269" i="1"/>
  <c r="G270" i="1"/>
  <c r="G271" i="1"/>
  <c r="G272" i="1"/>
  <c r="G236" i="1"/>
  <c r="G231" i="1"/>
  <c r="G232" i="1"/>
  <c r="G233" i="1"/>
  <c r="G81" i="1"/>
  <c r="G82" i="1"/>
  <c r="G83" i="1"/>
  <c r="G84" i="1"/>
  <c r="G85" i="1"/>
  <c r="G86" i="1"/>
  <c r="G87" i="1"/>
  <c r="G88" i="1"/>
  <c r="B573" i="1"/>
  <c r="B574" i="1"/>
  <c r="B575" i="1"/>
  <c r="B576" i="1"/>
  <c r="B577" i="1"/>
  <c r="B578" i="1"/>
  <c r="B579" i="1"/>
  <c r="B572" i="1"/>
  <c r="B570" i="1"/>
  <c r="B565" i="1"/>
  <c r="B566" i="1"/>
  <c r="B567" i="1"/>
  <c r="B568" i="1"/>
  <c r="B569" i="1"/>
  <c r="B564" i="1"/>
  <c r="B563" i="1"/>
  <c r="B560" i="1"/>
  <c r="B554" i="1"/>
  <c r="B555" i="1"/>
  <c r="B556" i="1"/>
  <c r="B557" i="1"/>
  <c r="B558" i="1"/>
  <c r="B559" i="1"/>
  <c r="B553" i="1"/>
  <c r="B547" i="1"/>
  <c r="B548" i="1"/>
  <c r="B549" i="1"/>
  <c r="B550" i="1"/>
  <c r="B551" i="1"/>
  <c r="B552" i="1"/>
  <c r="B546" i="1"/>
  <c r="B545" i="1"/>
  <c r="B542" i="1"/>
  <c r="B524" i="1"/>
  <c r="B454" i="1"/>
  <c r="B504" i="1"/>
  <c r="B536" i="1"/>
  <c r="B537" i="1"/>
  <c r="B538" i="1"/>
  <c r="B539" i="1"/>
  <c r="B540" i="1"/>
  <c r="B541" i="1"/>
  <c r="B535" i="1"/>
  <c r="B529" i="1"/>
  <c r="B530" i="1"/>
  <c r="B531" i="1"/>
  <c r="B532" i="1"/>
  <c r="B533" i="1"/>
  <c r="B534" i="1"/>
  <c r="B527" i="1"/>
  <c r="B528" i="1"/>
  <c r="B523" i="1"/>
  <c r="B517" i="1"/>
  <c r="B518" i="1"/>
  <c r="B519" i="1"/>
  <c r="B520" i="1"/>
  <c r="B521" i="1"/>
  <c r="B522" i="1"/>
  <c r="B516" i="1"/>
  <c r="B509" i="1"/>
  <c r="B510" i="1"/>
  <c r="B511" i="1"/>
  <c r="B512" i="1"/>
  <c r="B513" i="1"/>
  <c r="B514" i="1"/>
  <c r="B515" i="1"/>
  <c r="B508" i="1"/>
  <c r="B500" i="1"/>
  <c r="B501" i="1"/>
  <c r="B502" i="1"/>
  <c r="B503" i="1"/>
  <c r="B497" i="1"/>
  <c r="B498" i="1"/>
  <c r="B499" i="1"/>
  <c r="B496" i="1"/>
  <c r="B489" i="1"/>
  <c r="B490" i="1"/>
  <c r="B491" i="1"/>
  <c r="B492" i="1"/>
  <c r="B493" i="1"/>
  <c r="B494" i="1"/>
  <c r="B495" i="1"/>
  <c r="B488" i="1"/>
  <c r="B435" i="1"/>
  <c r="B426" i="1"/>
  <c r="B425" i="1"/>
  <c r="B419" i="1"/>
  <c r="B420" i="1"/>
  <c r="B421" i="1"/>
  <c r="B422" i="1"/>
  <c r="B423" i="1"/>
  <c r="B424" i="1"/>
  <c r="B418" i="1"/>
  <c r="B434" i="1"/>
  <c r="B428" i="1"/>
  <c r="B429" i="1"/>
  <c r="B430" i="1"/>
  <c r="B431" i="1"/>
  <c r="B432" i="1"/>
  <c r="B433" i="1"/>
  <c r="B427" i="1"/>
  <c r="B453" i="1"/>
  <c r="B452" i="1"/>
  <c r="B451" i="1"/>
  <c r="B450" i="1"/>
  <c r="B449" i="1"/>
  <c r="B448" i="1"/>
  <c r="B447" i="1"/>
  <c r="B446" i="1"/>
  <c r="B445" i="1"/>
  <c r="B444" i="1"/>
  <c r="B443" i="1"/>
  <c r="B442" i="1"/>
  <c r="B441" i="1"/>
  <c r="B440" i="1"/>
  <c r="B439" i="1"/>
  <c r="B438" i="1"/>
  <c r="B328" i="1"/>
  <c r="B329" i="1"/>
  <c r="B330" i="1"/>
  <c r="B331" i="1"/>
  <c r="B332" i="1"/>
  <c r="B333" i="1"/>
  <c r="B327" i="1"/>
  <c r="B307" i="1"/>
  <c r="B318" i="1"/>
  <c r="G305" i="1"/>
  <c r="B305" i="1"/>
  <c r="B304" i="1"/>
  <c r="G333" i="1"/>
  <c r="G332" i="1"/>
  <c r="G331" i="1"/>
  <c r="G330" i="1"/>
  <c r="G329" i="1"/>
  <c r="G328" i="1"/>
  <c r="G327" i="1"/>
  <c r="B321" i="1"/>
  <c r="B322" i="1"/>
  <c r="B323" i="1"/>
  <c r="B324" i="1"/>
  <c r="B325" i="1"/>
  <c r="B326" i="1"/>
  <c r="B320" i="1"/>
  <c r="G326" i="1"/>
  <c r="G325" i="1"/>
  <c r="G324" i="1"/>
  <c r="G323" i="1"/>
  <c r="G322" i="1"/>
  <c r="G321" i="1"/>
  <c r="G320" i="1"/>
  <c r="B253" i="1"/>
  <c r="B272" i="1"/>
  <c r="B285" i="1"/>
  <c r="B283" i="1"/>
  <c r="B284" i="1"/>
  <c r="B286" i="1"/>
  <c r="G286" i="1"/>
  <c r="G287" i="1"/>
  <c r="G288" i="1"/>
  <c r="B281" i="1"/>
  <c r="B282" i="1"/>
  <c r="G282" i="1"/>
  <c r="G281" i="1"/>
  <c r="B278" i="1"/>
  <c r="B279" i="1"/>
  <c r="G279" i="1"/>
  <c r="G278" i="1"/>
  <c r="B267" i="1"/>
  <c r="B268" i="1"/>
  <c r="B269" i="1"/>
  <c r="B270" i="1"/>
  <c r="B271" i="1"/>
  <c r="B266" i="1"/>
  <c r="G265" i="1"/>
  <c r="G264" i="1"/>
  <c r="G263" i="1"/>
  <c r="G262" i="1"/>
  <c r="G261" i="1"/>
  <c r="G260" i="1"/>
  <c r="B254" i="1"/>
  <c r="B255" i="1"/>
  <c r="B256" i="1"/>
  <c r="B257" i="1"/>
  <c r="B258" i="1"/>
  <c r="B252" i="1"/>
  <c r="G258" i="1"/>
  <c r="G257" i="1"/>
  <c r="G256" i="1"/>
  <c r="G255" i="1"/>
  <c r="G254" i="1"/>
  <c r="G253" i="1"/>
  <c r="G587" i="1"/>
  <c r="G591" i="1"/>
  <c r="G590" i="1"/>
  <c r="G589" i="1"/>
  <c r="G588" i="1"/>
  <c r="G586" i="1"/>
  <c r="G585" i="1"/>
  <c r="G584" i="1"/>
  <c r="G583" i="1"/>
  <c r="G582" i="1"/>
  <c r="G581" i="1"/>
  <c r="G414" i="1"/>
  <c r="G389" i="1"/>
  <c r="G390" i="1"/>
  <c r="G391" i="1"/>
  <c r="G392" i="1"/>
  <c r="G393" i="1"/>
  <c r="G394" i="1"/>
  <c r="G395" i="1"/>
  <c r="B314" i="1"/>
  <c r="G314" i="1"/>
  <c r="G307" i="1"/>
  <c r="B311" i="1"/>
  <c r="G434" i="1"/>
  <c r="G435" i="1"/>
  <c r="B293" i="1"/>
  <c r="G342" i="1"/>
  <c r="G343" i="1"/>
  <c r="G344" i="1"/>
  <c r="G345" i="1"/>
  <c r="G346" i="1"/>
  <c r="G350" i="1"/>
  <c r="G351" i="1"/>
  <c r="G352" i="1"/>
  <c r="G353" i="1"/>
  <c r="G354" i="1"/>
  <c r="G355" i="1"/>
  <c r="G356" i="1"/>
  <c r="G357" i="1"/>
  <c r="G358" i="1"/>
  <c r="G359" i="1"/>
  <c r="G375" i="1"/>
  <c r="G377" i="1"/>
  <c r="G378" i="1"/>
  <c r="G379" i="1"/>
  <c r="G380" i="1"/>
  <c r="G381" i="1"/>
  <c r="G382" i="1"/>
  <c r="G383" i="1"/>
  <c r="G384" i="1"/>
  <c r="G385" i="1"/>
  <c r="G386" i="1"/>
  <c r="G341" i="1"/>
  <c r="G340" i="1"/>
  <c r="G339" i="1"/>
  <c r="G338" i="1"/>
  <c r="G337" i="1"/>
  <c r="G336" i="1"/>
  <c r="G58" i="1"/>
  <c r="G62" i="1"/>
  <c r="G63" i="1"/>
  <c r="G64" i="1"/>
  <c r="G65" i="1"/>
  <c r="G66" i="1"/>
  <c r="G67" i="1"/>
  <c r="G68" i="1"/>
  <c r="G71" i="1"/>
  <c r="G72" i="1"/>
  <c r="G73" i="1"/>
  <c r="G74" i="1"/>
  <c r="G75" i="1"/>
  <c r="G76" i="1"/>
  <c r="G77" i="1"/>
  <c r="G78" i="1"/>
  <c r="G79" i="1"/>
  <c r="G8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2" i="1"/>
  <c r="G123" i="1"/>
  <c r="G171" i="1"/>
  <c r="G172" i="1"/>
  <c r="G173" i="1"/>
  <c r="G174" i="1"/>
  <c r="G175" i="1"/>
  <c r="G176" i="1"/>
  <c r="G177" i="1"/>
  <c r="G178" i="1"/>
  <c r="G179" i="1"/>
  <c r="G180" i="1"/>
  <c r="G181" i="1"/>
  <c r="G182" i="1"/>
  <c r="G183" i="1"/>
  <c r="G184" i="1"/>
  <c r="G185" i="1"/>
  <c r="G186" i="1"/>
  <c r="G187" i="1"/>
  <c r="G190" i="1"/>
  <c r="G191" i="1"/>
  <c r="G192" i="1"/>
  <c r="G193" i="1"/>
  <c r="G194" i="1"/>
  <c r="G195" i="1"/>
  <c r="G196" i="1"/>
  <c r="G197" i="1"/>
  <c r="G198" i="1"/>
  <c r="G199" i="1"/>
  <c r="G200" i="1"/>
  <c r="G201" i="1"/>
  <c r="G202" i="1"/>
  <c r="G203" i="1"/>
  <c r="G204" i="1"/>
  <c r="G207" i="1"/>
  <c r="G208" i="1"/>
  <c r="G209" i="1"/>
  <c r="G210" i="1"/>
  <c r="G211" i="1"/>
  <c r="G212" i="1"/>
  <c r="G213" i="1"/>
  <c r="G214" i="1"/>
  <c r="G215" i="1"/>
  <c r="G216" i="1"/>
  <c r="G217" i="1"/>
  <c r="G218" i="1"/>
  <c r="G219" i="1"/>
  <c r="G220" i="1"/>
  <c r="G221" i="1"/>
  <c r="B236" i="1"/>
  <c r="B230" i="1"/>
  <c r="G318" i="1"/>
  <c r="B319" i="1"/>
  <c r="B312" i="1"/>
  <c r="G495" i="1"/>
  <c r="B484" i="1"/>
  <c r="G503" i="1"/>
  <c r="G482" i="1"/>
  <c r="G474" i="1"/>
  <c r="G319" i="1"/>
  <c r="G312" i="1"/>
  <c r="B234" i="1"/>
  <c r="G311" i="1"/>
  <c r="G463" i="1"/>
  <c r="G456" i="1"/>
  <c r="G457" i="1"/>
  <c r="G458" i="1"/>
  <c r="G459" i="1"/>
  <c r="G460" i="1"/>
  <c r="G461" i="1"/>
  <c r="G462" i="1"/>
  <c r="G453" i="1"/>
  <c r="B241" i="1"/>
  <c r="G242" i="1"/>
  <c r="B231" i="1"/>
  <c r="B232" i="1"/>
  <c r="B233" i="1"/>
  <c r="B235" i="1"/>
  <c r="B237" i="1"/>
  <c r="B239" i="1"/>
  <c r="G237" i="1"/>
  <c r="G235" i="1"/>
  <c r="G234" i="1"/>
  <c r="G230" i="1"/>
  <c r="B245" i="1"/>
  <c r="G425" i="1"/>
  <c r="G426" i="1"/>
  <c r="B243" i="1"/>
  <c r="B229" i="1"/>
  <c r="B292" i="1"/>
  <c r="B291" i="1"/>
  <c r="B240" i="1"/>
  <c r="B228" i="1"/>
  <c r="B226" i="1"/>
  <c r="B225" i="1"/>
  <c r="B290" i="1"/>
  <c r="B417" i="1"/>
  <c r="B487" i="1"/>
  <c r="B507" i="1"/>
  <c r="G240" i="1"/>
  <c r="G227" i="1"/>
  <c r="G310" i="1"/>
  <c r="G317" i="1"/>
  <c r="G451" i="1"/>
  <c r="G452" i="1"/>
  <c r="G536" i="1"/>
  <c r="G537" i="1"/>
  <c r="G538" i="1"/>
  <c r="G539" i="1"/>
  <c r="G540" i="1"/>
  <c r="G541" i="1"/>
  <c r="G535" i="1"/>
  <c r="G528" i="1"/>
  <c r="G245" i="1"/>
  <c r="G246" i="1"/>
  <c r="G247" i="1"/>
  <c r="G248" i="1"/>
  <c r="G249" i="1"/>
  <c r="G250" i="1"/>
  <c r="G251" i="1"/>
  <c r="G252" i="1"/>
  <c r="G466" i="1"/>
  <c r="G507" i="1"/>
  <c r="G417" i="1"/>
  <c r="G527" i="1"/>
  <c r="G545" i="1"/>
  <c r="G563" i="1"/>
  <c r="G488" i="1"/>
  <c r="G489" i="1"/>
  <c r="G490" i="1"/>
  <c r="G491" i="1"/>
  <c r="G492" i="1"/>
  <c r="G493" i="1"/>
  <c r="G494" i="1"/>
  <c r="G467" i="1"/>
  <c r="G468" i="1"/>
  <c r="G469" i="1"/>
  <c r="G470" i="1"/>
  <c r="G471" i="1"/>
  <c r="G472" i="1"/>
  <c r="G473" i="1"/>
  <c r="G508" i="1"/>
  <c r="G509" i="1"/>
  <c r="G510" i="1"/>
  <c r="G511" i="1"/>
  <c r="G512" i="1"/>
  <c r="G513" i="1"/>
  <c r="G514" i="1"/>
  <c r="G418" i="1"/>
  <c r="G419" i="1"/>
  <c r="G420" i="1"/>
  <c r="G421" i="1"/>
  <c r="G424" i="1"/>
  <c r="G422" i="1"/>
  <c r="G423" i="1"/>
  <c r="G546" i="1"/>
  <c r="G547" i="1"/>
  <c r="G548" i="1"/>
  <c r="G549" i="1"/>
  <c r="G550" i="1"/>
  <c r="G551" i="1"/>
  <c r="G552" i="1"/>
  <c r="G564" i="1"/>
  <c r="G565" i="1"/>
  <c r="G566" i="1"/>
  <c r="G567" i="1"/>
  <c r="G568" i="1"/>
  <c r="G569" i="1"/>
  <c r="G570" i="1"/>
  <c r="G438" i="1"/>
  <c r="G439" i="1"/>
  <c r="G440" i="1"/>
  <c r="G441" i="1"/>
  <c r="G442" i="1"/>
  <c r="G443" i="1"/>
  <c r="G444" i="1"/>
  <c r="G496" i="1"/>
  <c r="G497" i="1"/>
  <c r="G498" i="1"/>
  <c r="G499" i="1"/>
  <c r="G500" i="1"/>
  <c r="G501" i="1"/>
  <c r="G502" i="1"/>
  <c r="G475" i="1"/>
  <c r="G476" i="1"/>
  <c r="G477" i="1"/>
  <c r="G478" i="1"/>
  <c r="G479" i="1"/>
  <c r="G480" i="1"/>
  <c r="G481" i="1"/>
  <c r="G516" i="1"/>
  <c r="G517" i="1"/>
  <c r="G518" i="1"/>
  <c r="G519" i="1"/>
  <c r="G520" i="1"/>
  <c r="G521" i="1"/>
  <c r="G522" i="1"/>
  <c r="G427" i="1"/>
  <c r="G428" i="1"/>
  <c r="G429" i="1"/>
  <c r="G430" i="1"/>
  <c r="G431" i="1"/>
  <c r="G432" i="1"/>
  <c r="G433" i="1"/>
  <c r="G553" i="1"/>
  <c r="G554" i="1"/>
  <c r="G555" i="1"/>
  <c r="G556" i="1"/>
  <c r="G557" i="1"/>
  <c r="G558" i="1"/>
  <c r="G559" i="1"/>
  <c r="G572" i="1"/>
  <c r="G573" i="1"/>
  <c r="G574" i="1"/>
  <c r="G575" i="1"/>
  <c r="G576" i="1"/>
  <c r="G577" i="1"/>
  <c r="G578" i="1"/>
  <c r="G446" i="1"/>
  <c r="G447" i="1"/>
  <c r="G448" i="1"/>
  <c r="G449" i="1"/>
  <c r="G450" i="1"/>
  <c r="G487" i="1"/>
  <c r="G308" i="1"/>
  <c r="G309" i="1"/>
  <c r="G313" i="1"/>
  <c r="G315" i="1"/>
  <c r="G316" i="1"/>
  <c r="G297" i="1"/>
  <c r="G298" i="1"/>
  <c r="G299" i="1"/>
  <c r="G300" i="1"/>
  <c r="G301" i="1"/>
  <c r="G302" i="1"/>
  <c r="G303" i="1"/>
  <c r="G304" i="1"/>
  <c r="G306" i="1"/>
  <c r="G296" i="1"/>
  <c r="G243" i="1"/>
  <c r="G266" i="1"/>
  <c r="G229" i="1"/>
  <c r="G290" i="1"/>
  <c r="G225" i="1"/>
  <c r="G226" i="1"/>
  <c r="G228" i="1"/>
  <c r="G259" i="1"/>
  <c r="G280" i="1"/>
  <c r="G291" i="1"/>
  <c r="B277" i="1"/>
  <c r="B224" i="1"/>
  <c r="B246" i="1"/>
  <c r="B247" i="1"/>
  <c r="B248" i="1"/>
  <c r="B249" i="1"/>
  <c r="B250" i="1"/>
  <c r="B251" i="1"/>
  <c r="G274" i="1"/>
  <c r="G275" i="1"/>
  <c r="G276" i="1"/>
  <c r="G277" i="1"/>
  <c r="G241" i="1"/>
  <c r="G224" i="1"/>
</calcChain>
</file>

<file path=xl/comments1.xml><?xml version="1.0" encoding="utf-8"?>
<comments xmlns="http://schemas.openxmlformats.org/spreadsheetml/2006/main">
  <authors>
    <author>Samuel Schueth</author>
  </authors>
  <commentList>
    <comment ref="B286" authorId="0" shapeId="0">
      <text>
        <r>
          <rPr>
            <b/>
            <sz val="9"/>
            <color indexed="81"/>
            <rFont val="Tahoma"/>
            <family val="2"/>
          </rPr>
          <t>Samuel Schueth:</t>
        </r>
        <r>
          <rPr>
            <sz val="9"/>
            <color indexed="81"/>
            <rFont val="Tahoma"/>
            <family val="2"/>
          </rPr>
          <t xml:space="preserve">
Example MFIs for each state to be added</t>
        </r>
      </text>
    </comment>
  </commentList>
</comments>
</file>

<file path=xl/sharedStrings.xml><?xml version="1.0" encoding="utf-8"?>
<sst xmlns="http://schemas.openxmlformats.org/spreadsheetml/2006/main" count="3718" uniqueCount="1674">
  <si>
    <t>FII Questionnaire India  (Wave 6)</t>
  </si>
  <si>
    <t>DFS Tracker Questionnaire Kenya</t>
  </si>
  <si>
    <t>Section AA: Respondent information &amp; Section AB: Interview information</t>
  </si>
  <si>
    <t>Section AA: Unique Identification</t>
  </si>
  <si>
    <t>Q#</t>
  </si>
  <si>
    <t>Label</t>
  </si>
  <si>
    <t>Values</t>
  </si>
  <si>
    <t>Type</t>
  </si>
  <si>
    <t>Width</t>
  </si>
  <si>
    <t>Filter instruction</t>
  </si>
  <si>
    <t>SPSS Variable Name</t>
  </si>
  <si>
    <t>Serial</t>
  </si>
  <si>
    <t>Serial. Questionnaire ID</t>
  </si>
  <si>
    <t>N/A</t>
  </si>
  <si>
    <t>Numeric</t>
  </si>
  <si>
    <t>ALL</t>
  </si>
  <si>
    <t>AA1.1</t>
  </si>
  <si>
    <t>AA1.1.GPS Location-Latitude(North)</t>
  </si>
  <si>
    <t>AA1_1</t>
  </si>
  <si>
    <t>AA1.2</t>
  </si>
  <si>
    <t>AA1.2.GPS Location-Longitude(East)</t>
  </si>
  <si>
    <t>AA1_2</t>
  </si>
  <si>
    <t>AA2</t>
  </si>
  <si>
    <t>AA2.Zone</t>
  </si>
  <si>
    <t>AA3</t>
  </si>
  <si>
    <t>AA3.State</t>
  </si>
  <si>
    <t>AA4</t>
  </si>
  <si>
    <t>AA5</t>
  </si>
  <si>
    <t>AA6</t>
  </si>
  <si>
    <t>AA7</t>
  </si>
  <si>
    <t>Single</t>
  </si>
  <si>
    <t>AA8</t>
  </si>
  <si>
    <t>AA9</t>
  </si>
  <si>
    <t>AA10</t>
  </si>
  <si>
    <t>1=Yes
2=No
-2=DK</t>
  </si>
  <si>
    <t>AB4</t>
  </si>
  <si>
    <t>AB5</t>
  </si>
  <si>
    <t>Verbatim</t>
  </si>
  <si>
    <t>AB6</t>
  </si>
  <si>
    <t>AB6.Supervisor Number</t>
  </si>
  <si>
    <t>AB7</t>
  </si>
  <si>
    <t>AB7.Supervisor Name</t>
  </si>
  <si>
    <t>AB8</t>
  </si>
  <si>
    <t>1=Male_x000D_
2=Female</t>
  </si>
  <si>
    <t>Section I: DEMOGRAPHICS AND LIVLIHOOD</t>
  </si>
  <si>
    <t>DG1</t>
  </si>
  <si>
    <t>x&lt;=2003</t>
  </si>
  <si>
    <t>DG2</t>
  </si>
  <si>
    <t>DG3</t>
  </si>
  <si>
    <t>DG3A</t>
  </si>
  <si>
    <t>DG4</t>
  </si>
  <si>
    <t>see vDG4 sheet</t>
  </si>
  <si>
    <t>WB1</t>
  </si>
  <si>
    <t>1=Very happy
2=Somewhat happy
3=Neither happy nor unhappy
4=Somewhat unhappy
5=Very unhappy</t>
  </si>
  <si>
    <t>WB2</t>
  </si>
  <si>
    <t xml:space="preserve">1=Very satisfied 
2=Somewhat satisfied 
3=Neither satisfied nor unsatisfied 
4=Somewhat unsatisfied 
5=Very unsatisfied </t>
  </si>
  <si>
    <t>WB2A</t>
  </si>
  <si>
    <t>WB2B</t>
  </si>
  <si>
    <t>1=Improved a lot
2=Improved a little
3=Stayed the same
4=Worsened a little
5=Worsened a lot</t>
  </si>
  <si>
    <t>WB3</t>
  </si>
  <si>
    <t>1=Very worried
2=Somewhat worried
3=Neither worried nor unworried
4=Somewhat unworried
5=Very unworried</t>
  </si>
  <si>
    <t>WB4</t>
  </si>
  <si>
    <t>WB4A</t>
  </si>
  <si>
    <t>IF WB4=1</t>
  </si>
  <si>
    <t>DG5.1</t>
  </si>
  <si>
    <t>1=Yes_x000D_
2=No</t>
  </si>
  <si>
    <t>DG5.2</t>
  </si>
  <si>
    <t>DG5.3</t>
  </si>
  <si>
    <t>DG5.4</t>
  </si>
  <si>
    <t>DG5.5</t>
  </si>
  <si>
    <t>DG5.6</t>
  </si>
  <si>
    <t>DG5.7</t>
  </si>
  <si>
    <t>DG5.8</t>
  </si>
  <si>
    <t>DG5.9</t>
  </si>
  <si>
    <t>DG5.10</t>
  </si>
  <si>
    <t>DG5A.1</t>
  </si>
  <si>
    <t>1=No trust at all
2=Trust a little
3=Trust a lot
4=Trust completely
-3=REF [DO NOT READ]
-2=DK [DO NOT READ]</t>
  </si>
  <si>
    <t>IF DG5_1=1</t>
  </si>
  <si>
    <t>DG5A.2</t>
  </si>
  <si>
    <t>1=Improved
2=Worsened
3=No change
-3=REF [DO NOT READ]
-2=DK [DO NOT READ]</t>
  </si>
  <si>
    <t>DG5B.1</t>
  </si>
  <si>
    <t>1=Never
2=One or two times
3=Three to five times
4=Six to ten times
5=More than ten times
-3=REF [DO NOT READ]
-2=DK [DO NOT READ]</t>
  </si>
  <si>
    <t>DG5B.2</t>
  </si>
  <si>
    <t>DG5B.3</t>
  </si>
  <si>
    <t>DG5C.1</t>
  </si>
  <si>
    <t>1=Never
2=Rarely
3=Sometimes
4=Usually
5=Very often
6=Always
-3=REF [DO NOT READ]
-2=DK [DO NOT READ]</t>
  </si>
  <si>
    <t>IF DG5B_1&gt;1</t>
  </si>
  <si>
    <t>DG5C.2</t>
  </si>
  <si>
    <t>IF DG5B_2&gt;1</t>
  </si>
  <si>
    <t>DG5C.3</t>
  </si>
  <si>
    <t>IF DG5B_3&gt;1</t>
  </si>
  <si>
    <t>DG6</t>
  </si>
  <si>
    <t>DL0</t>
  </si>
  <si>
    <t>DL1</t>
  </si>
  <si>
    <t>see sheet vDL1</t>
  </si>
  <si>
    <t>DL2</t>
  </si>
  <si>
    <t>see sheet vDL2</t>
  </si>
  <si>
    <t>DL4.1</t>
  </si>
  <si>
    <t>DL4.2</t>
  </si>
  <si>
    <t>DL4.3</t>
  </si>
  <si>
    <t>DL4.4</t>
  </si>
  <si>
    <t>DL4.5</t>
  </si>
  <si>
    <t>DL4.6</t>
  </si>
  <si>
    <t>DL4.7</t>
  </si>
  <si>
    <t>DL4.8</t>
  </si>
  <si>
    <t>DL4.9</t>
  </si>
  <si>
    <t>DL4.10</t>
  </si>
  <si>
    <t>DL6</t>
  </si>
  <si>
    <t>DL7</t>
  </si>
  <si>
    <t>IF DL6=1</t>
  </si>
  <si>
    <t>DL11</t>
  </si>
  <si>
    <t>DL12.1</t>
  </si>
  <si>
    <t>DL12.2</t>
  </si>
  <si>
    <t>DL12.3</t>
  </si>
  <si>
    <t>DL12.4</t>
  </si>
  <si>
    <t>DL12A.1</t>
  </si>
  <si>
    <t>DL12A.2</t>
  </si>
  <si>
    <t>DL12A.3</t>
  </si>
  <si>
    <t>DL12A.4</t>
  </si>
  <si>
    <t>DL12B.1</t>
  </si>
  <si>
    <t>DL12B.2</t>
  </si>
  <si>
    <t>DL12B.3</t>
  </si>
  <si>
    <t>DL12B.4</t>
  </si>
  <si>
    <t>DL14</t>
  </si>
  <si>
    <t>1=Eight or more
2=Seven
3=Six
4=Five
5=Four
6=Three
7=Two
8=One</t>
  </si>
  <si>
    <t>DL15</t>
  </si>
  <si>
    <t>DL16</t>
  </si>
  <si>
    <t>1=No
2=Yes</t>
  </si>
  <si>
    <t>DL17</t>
  </si>
  <si>
    <t>DL18</t>
  </si>
  <si>
    <t>DL19</t>
  </si>
  <si>
    <t>DL20</t>
  </si>
  <si>
    <t>DL21</t>
  </si>
  <si>
    <t>DL22</t>
  </si>
  <si>
    <t>DL23</t>
  </si>
  <si>
    <t>DL24</t>
  </si>
  <si>
    <t>MT2</t>
  </si>
  <si>
    <t>1=Yes
2=No</t>
  </si>
  <si>
    <t>MT2A.1</t>
  </si>
  <si>
    <t>IF MT2=1</t>
  </si>
  <si>
    <t>MT2A.2</t>
  </si>
  <si>
    <t>MT2A.3</t>
  </si>
  <si>
    <t>MT2B</t>
  </si>
  <si>
    <t>MT6B</t>
  </si>
  <si>
    <t>1=Never
2=Rarely
3=Sometimes
4=Often
5=Almost always</t>
  </si>
  <si>
    <t>MT6C</t>
  </si>
  <si>
    <t>MT6D</t>
  </si>
  <si>
    <t>MTGN</t>
  </si>
  <si>
    <t>1=Strongly disagree
2=Somewhat disagree
3=Neither disagree, nor agree
4=Somewhat agree
5=Strongly agree</t>
  </si>
  <si>
    <t>MT7</t>
  </si>
  <si>
    <t>MT8</t>
  </si>
  <si>
    <t>1=Data
2=Only voice and text
-2=DK [DO NOT READ]</t>
  </si>
  <si>
    <t>IF MT2=1 OR MT7=1</t>
  </si>
  <si>
    <t>MT9.1</t>
  </si>
  <si>
    <t>IF MT2=2</t>
  </si>
  <si>
    <t>MT9.2</t>
  </si>
  <si>
    <t>MT9.3</t>
  </si>
  <si>
    <t>MT9.4</t>
  </si>
  <si>
    <t>MT9.5</t>
  </si>
  <si>
    <t>MT12.1</t>
  </si>
  <si>
    <t>MT12.2</t>
  </si>
  <si>
    <t>MT12.3</t>
  </si>
  <si>
    <t>MT12.4</t>
  </si>
  <si>
    <t>MT12.5</t>
  </si>
  <si>
    <t>MT12.6</t>
  </si>
  <si>
    <t>MT12.7</t>
  </si>
  <si>
    <t>MT12.8</t>
  </si>
  <si>
    <t>MT12.9</t>
  </si>
  <si>
    <t>MT12.10</t>
  </si>
  <si>
    <t>MT12.11</t>
  </si>
  <si>
    <t>MT12.12</t>
  </si>
  <si>
    <t>MT12.13</t>
  </si>
  <si>
    <t>MT12.14</t>
  </si>
  <si>
    <t>MT15</t>
  </si>
  <si>
    <t>MT17.1</t>
  </si>
  <si>
    <t xml:space="preserve">1=Today
2=In the past 7 days
3=In the past 30 days
4=In the past 90 days
5=Between 90 days and 1 year
6=More than 1 year
7=Never </t>
  </si>
  <si>
    <t>MT17.2</t>
  </si>
  <si>
    <t>MT17.3</t>
  </si>
  <si>
    <t>MT17.5</t>
  </si>
  <si>
    <t>MT17.6</t>
  </si>
  <si>
    <t>MT17.7</t>
  </si>
  <si>
    <t>MT17.9</t>
  </si>
  <si>
    <t>MT18A.1</t>
  </si>
  <si>
    <t>1=No ability
2=A little ability
3=Some ability
4=Complete ability
-2=DK [DO NOT READ]</t>
  </si>
  <si>
    <t>MT18A.2</t>
  </si>
  <si>
    <t>MT18A.3</t>
  </si>
  <si>
    <t>MT18A.4</t>
  </si>
  <si>
    <t>MT18A.5</t>
  </si>
  <si>
    <t>MT18A.6</t>
  </si>
  <si>
    <t>FN1.1</t>
  </si>
  <si>
    <t>FN1.2</t>
  </si>
  <si>
    <t>FN1.3</t>
  </si>
  <si>
    <t>FN1.4</t>
  </si>
  <si>
    <t>IF FN1_2=1 OR FN1_3=1</t>
  </si>
  <si>
    <t>FN1.5</t>
  </si>
  <si>
    <t>FN1.6</t>
  </si>
  <si>
    <t>1=Today
2=In the past 7 days
3=In the past 30 days
4=In the past 90 days
5=Between 90 days and 1 year
6=More than 1 year
7=Never</t>
  </si>
  <si>
    <t>FN1.7</t>
  </si>
  <si>
    <t>FN1.8</t>
  </si>
  <si>
    <t>FN1.9</t>
  </si>
  <si>
    <t>FN1.10</t>
  </si>
  <si>
    <t>FN1.11</t>
  </si>
  <si>
    <t>FN1.12</t>
  </si>
  <si>
    <t>FN1.15</t>
  </si>
  <si>
    <t>FN1.13</t>
  </si>
  <si>
    <t>FN1.14</t>
  </si>
  <si>
    <t>FN2.1</t>
  </si>
  <si>
    <t>FN2.2</t>
  </si>
  <si>
    <t>FN2.3</t>
  </si>
  <si>
    <t>IF FN2_2=1</t>
  </si>
  <si>
    <t>PB1.1</t>
  </si>
  <si>
    <t>PB1.2</t>
  </si>
  <si>
    <t>PB1.3</t>
  </si>
  <si>
    <t>PB1.4</t>
  </si>
  <si>
    <t>PB1.5</t>
  </si>
  <si>
    <t>PB1.6</t>
  </si>
  <si>
    <t>PB1.7</t>
  </si>
  <si>
    <t>FN3.1</t>
  </si>
  <si>
    <t>PB2.1</t>
  </si>
  <si>
    <t>IF FN3_1=1 AND PB1_1=1</t>
  </si>
  <si>
    <t>PB2.2</t>
  </si>
  <si>
    <t>IF FN3_1=1 AND PB1_2=1</t>
  </si>
  <si>
    <t>PB2.3</t>
  </si>
  <si>
    <t>IF FN3_1=1 AND PB1_3=1</t>
  </si>
  <si>
    <t>PB2.4</t>
  </si>
  <si>
    <t>IF FN3_1=1 AND PB1_4=1</t>
  </si>
  <si>
    <t>PB2.5</t>
  </si>
  <si>
    <t>IF FN3_1=1 AND PB1_5=1</t>
  </si>
  <si>
    <t>PB2.6</t>
  </si>
  <si>
    <t>IF FN3_1=1 AND PB1_6=1</t>
  </si>
  <si>
    <t>FN3.2</t>
  </si>
  <si>
    <t>PB3.1</t>
  </si>
  <si>
    <t>PB3.2</t>
  </si>
  <si>
    <t>PB3.3</t>
  </si>
  <si>
    <t>PB3.4</t>
  </si>
  <si>
    <t>PB3.5</t>
  </si>
  <si>
    <t>PB3.6</t>
  </si>
  <si>
    <t>FN3.3.1</t>
  </si>
  <si>
    <t>IF PB3_1=1</t>
  </si>
  <si>
    <t>FN3.3.2</t>
  </si>
  <si>
    <t>IF PB3_2=1</t>
  </si>
  <si>
    <t>FN3.3.3</t>
  </si>
  <si>
    <t>IF PB3_3=1</t>
  </si>
  <si>
    <t>FN3.3.4</t>
  </si>
  <si>
    <t>IF PB3_4=1</t>
  </si>
  <si>
    <t>FN3.3.5</t>
  </si>
  <si>
    <t>IF PB3_5=1</t>
  </si>
  <si>
    <t>FN3.3.6</t>
  </si>
  <si>
    <t>IF PB3_6=1</t>
  </si>
  <si>
    <t>FN3.3.7</t>
  </si>
  <si>
    <t>MM1.1</t>
  </si>
  <si>
    <t>1=Yes_x000D_
2=No_x000D_</t>
  </si>
  <si>
    <t>MM1.2</t>
  </si>
  <si>
    <t>MM1.3</t>
  </si>
  <si>
    <t>FN4.1</t>
  </si>
  <si>
    <t>MM2.1</t>
  </si>
  <si>
    <t>IF FN4_1=1 AND MM1_1=1</t>
  </si>
  <si>
    <t>MM2.2</t>
  </si>
  <si>
    <t>IF FN4_1=1 AND MM1_2=1</t>
  </si>
  <si>
    <t>FN4.2</t>
  </si>
  <si>
    <t>MM3.1</t>
  </si>
  <si>
    <t>MM3.2</t>
  </si>
  <si>
    <t>FN4.3.1</t>
  </si>
  <si>
    <t>IF MM3_1=1</t>
  </si>
  <si>
    <t>FN4.3.2</t>
  </si>
  <si>
    <t>IF MM3_2=1</t>
  </si>
  <si>
    <t>FN4.3.3</t>
  </si>
  <si>
    <t>FN5.1</t>
  </si>
  <si>
    <t>FN5.2</t>
  </si>
  <si>
    <t>FN5.3</t>
  </si>
  <si>
    <t>IF FN5_2=1</t>
  </si>
  <si>
    <t>FN6.1</t>
  </si>
  <si>
    <t>FN6.2</t>
  </si>
  <si>
    <t>FN6.3</t>
  </si>
  <si>
    <t>IF FN6_2=1</t>
  </si>
  <si>
    <t>FN6.4</t>
  </si>
  <si>
    <t>UP1.1</t>
  </si>
  <si>
    <t>UP1.2</t>
  </si>
  <si>
    <t>UP1.3</t>
  </si>
  <si>
    <t>UP1.4</t>
  </si>
  <si>
    <t>UP1.5</t>
  </si>
  <si>
    <t>UP1.6</t>
  </si>
  <si>
    <t>UP1.7</t>
  </si>
  <si>
    <t>UP1.8</t>
  </si>
  <si>
    <t>UP1.9</t>
  </si>
  <si>
    <t>UP1.10</t>
  </si>
  <si>
    <t>UP2.1</t>
  </si>
  <si>
    <t>UP2.2</t>
  </si>
  <si>
    <t>IF UP2_1=1</t>
  </si>
  <si>
    <t>UP2.3</t>
  </si>
  <si>
    <t>UP2.4</t>
  </si>
  <si>
    <t>UP2.5</t>
  </si>
  <si>
    <t>UP2.6</t>
  </si>
  <si>
    <t>UP2.7</t>
  </si>
  <si>
    <t>UP3.1</t>
  </si>
  <si>
    <t>1=Today
2=In the past 7 days
3=In the past 30 days
4=In the past 90 days
5=Between 90 days and 1 year
6=More than 1 year</t>
  </si>
  <si>
    <t>UP3.2</t>
  </si>
  <si>
    <t>IF UP2_2=1</t>
  </si>
  <si>
    <t>UP3.3</t>
  </si>
  <si>
    <t>IF UP2_3=1</t>
  </si>
  <si>
    <t>UP3.4</t>
  </si>
  <si>
    <t>IF UP2_4=1</t>
  </si>
  <si>
    <t>UP3.5</t>
  </si>
  <si>
    <t>IF UP2_5=1</t>
  </si>
  <si>
    <t>UP3.6</t>
  </si>
  <si>
    <t>IF UP2_6=1</t>
  </si>
  <si>
    <t>UP3.7</t>
  </si>
  <si>
    <t>IF UP2_7=1</t>
  </si>
  <si>
    <t>UP4.1</t>
  </si>
  <si>
    <t>IF UP2_3=1 AND UP1_1=1</t>
  </si>
  <si>
    <t>UP4.2</t>
  </si>
  <si>
    <t>IF UP2_3=1 AND UP1_2=1</t>
  </si>
  <si>
    <t>UP4.3</t>
  </si>
  <si>
    <t>IF UP2_3=1 AND UP1_3=1</t>
  </si>
  <si>
    <t>UP4.4</t>
  </si>
  <si>
    <t>IF UP2_3=1 AND UP1_4=1</t>
  </si>
  <si>
    <t>UP4.5</t>
  </si>
  <si>
    <t>IF UP2_3=1 AND UP1_5=1</t>
  </si>
  <si>
    <t>UP4.6</t>
  </si>
  <si>
    <t>IF UP2_3=1 AND UP1_6=1</t>
  </si>
  <si>
    <t>UP4.7</t>
  </si>
  <si>
    <t>IF UP2_3=1 AND UP1_7=1</t>
  </si>
  <si>
    <t>UP5.1</t>
  </si>
  <si>
    <t>IF UP4_1=1</t>
  </si>
  <si>
    <t>UP5.2</t>
  </si>
  <si>
    <t>IF UP4_2=1</t>
  </si>
  <si>
    <t>UP5.3</t>
  </si>
  <si>
    <t>IF UP4_3=1</t>
  </si>
  <si>
    <t>UP5.4</t>
  </si>
  <si>
    <t>IF UP4_4=1</t>
  </si>
  <si>
    <t>UP5.5</t>
  </si>
  <si>
    <t>IF UP4_5=1</t>
  </si>
  <si>
    <t>UP5.6</t>
  </si>
  <si>
    <t>IF UP4_6=1</t>
  </si>
  <si>
    <t>UP5.7</t>
  </si>
  <si>
    <t>IF UP4_7=1</t>
  </si>
  <si>
    <t>Section III_1: FINANCIAL INSTRUMENTS</t>
  </si>
  <si>
    <t>1=Very difficult
2=Somewhat difficult
3=Neither difficult, nor easy
4=Somewhat easy
5=Very easy
-2=DK [DO NOT READ]</t>
  </si>
  <si>
    <t>Double</t>
  </si>
  <si>
    <t>UP6</t>
  </si>
  <si>
    <t>UP7</t>
  </si>
  <si>
    <t>UP8</t>
  </si>
  <si>
    <t>UP9</t>
  </si>
  <si>
    <t>UP10</t>
  </si>
  <si>
    <t>1=Never
2=Sometimes
3=Often
4=Almost always</t>
  </si>
  <si>
    <t>UP11</t>
  </si>
  <si>
    <t>UP12</t>
  </si>
  <si>
    <t>UP13</t>
  </si>
  <si>
    <t>UP14</t>
  </si>
  <si>
    <t>1=Never
2=Once or twice
3=Sometimes
4=Often
5=Almost always</t>
  </si>
  <si>
    <t>IF FN4_1=1</t>
  </si>
  <si>
    <t>BA1</t>
  </si>
  <si>
    <t>IF FN1_1=1</t>
  </si>
  <si>
    <t>IF BA1=1</t>
  </si>
  <si>
    <t>MM12.1</t>
  </si>
  <si>
    <t>IF (MM1_1=1 OR MM1_2=1 OR MM1_3=1 OR MM1_4=1) AND FN4_1=2</t>
  </si>
  <si>
    <t>MM12.2</t>
  </si>
  <si>
    <t>MM12.3</t>
  </si>
  <si>
    <t>MM12.4</t>
  </si>
  <si>
    <t>MM12.5</t>
  </si>
  <si>
    <t>MM12.6</t>
  </si>
  <si>
    <t>MM12.7</t>
  </si>
  <si>
    <t>FF3.1</t>
  </si>
  <si>
    <t>IF FN1_2=2 AND FN1_3=2</t>
  </si>
  <si>
    <t>FF3.2</t>
  </si>
  <si>
    <t>FF3.3</t>
  </si>
  <si>
    <t>FF3.4</t>
  </si>
  <si>
    <t>SIngle</t>
  </si>
  <si>
    <t>FF3.5</t>
  </si>
  <si>
    <t>FF3.6</t>
  </si>
  <si>
    <t>AD1</t>
  </si>
  <si>
    <t>All</t>
  </si>
  <si>
    <t>AD1.1</t>
  </si>
  <si>
    <t>IF FN1_1=1 AND AD1=1</t>
  </si>
  <si>
    <t>AD1.2</t>
  </si>
  <si>
    <t>IF FN2_1=1 AND AD1=1</t>
  </si>
  <si>
    <t>AD1.3</t>
  </si>
  <si>
    <t>IF FN3_1=1 AND AD1=1</t>
  </si>
  <si>
    <t>AD1.4</t>
  </si>
  <si>
    <t>IF FN4_1=1 AND AD1=1</t>
  </si>
  <si>
    <t>AD1.5</t>
  </si>
  <si>
    <t>IF UP2_3=1 AND AD1=1</t>
  </si>
  <si>
    <t>AD1.6</t>
  </si>
  <si>
    <t>IF UP2_4=1 AND AD1=1</t>
  </si>
  <si>
    <t>AD1.7</t>
  </si>
  <si>
    <t>IF UP2_5=1 AND AD1=1</t>
  </si>
  <si>
    <t>AD1.8</t>
  </si>
  <si>
    <t>IF AD1=1</t>
  </si>
  <si>
    <t>AD1.9</t>
  </si>
  <si>
    <t>AD1.10</t>
  </si>
  <si>
    <t>IF AD1_1=1</t>
  </si>
  <si>
    <t>AD1.11</t>
  </si>
  <si>
    <t>IF AD1_2=1</t>
  </si>
  <si>
    <t>AD1.12</t>
  </si>
  <si>
    <t>IF AD1_3=1</t>
  </si>
  <si>
    <t>AD1.13</t>
  </si>
  <si>
    <t>IF AD1_4=1</t>
  </si>
  <si>
    <t>AD1.14</t>
  </si>
  <si>
    <t>IF AD1_5=1</t>
  </si>
  <si>
    <t>AD1.15</t>
  </si>
  <si>
    <t>IF AD1_6=1</t>
  </si>
  <si>
    <t>AD1.16</t>
  </si>
  <si>
    <t>IF AD1_7=1</t>
  </si>
  <si>
    <t>AD1.17</t>
  </si>
  <si>
    <t>IF AD1_8=1</t>
  </si>
  <si>
    <t>AD1.18</t>
  </si>
  <si>
    <t>IF AD1_9=1</t>
  </si>
  <si>
    <t>AD2.1</t>
  </si>
  <si>
    <t>AD2.2</t>
  </si>
  <si>
    <t xml:space="preserve">IF FN2_1=1  </t>
  </si>
  <si>
    <t>AD2.3</t>
  </si>
  <si>
    <t xml:space="preserve">IF FN3_1=1  </t>
  </si>
  <si>
    <t>AD2.4</t>
  </si>
  <si>
    <t xml:space="preserve">IF FN4_1=1  </t>
  </si>
  <si>
    <t>AD2.5</t>
  </si>
  <si>
    <t>AD2.6</t>
  </si>
  <si>
    <t>AD2.7</t>
  </si>
  <si>
    <t>AD2.8</t>
  </si>
  <si>
    <t>AD2.9</t>
  </si>
  <si>
    <t>IF AD2_1=1</t>
  </si>
  <si>
    <t>AD2.10</t>
  </si>
  <si>
    <t>IF AD2_2=1</t>
  </si>
  <si>
    <t>AD2.11</t>
  </si>
  <si>
    <t>IF AD2_3=1</t>
  </si>
  <si>
    <t>AD2.12</t>
  </si>
  <si>
    <t>IF AD2_4=1</t>
  </si>
  <si>
    <t>AD2.13</t>
  </si>
  <si>
    <t>IF AD2_5=1</t>
  </si>
  <si>
    <t>AD2.14</t>
  </si>
  <si>
    <t>IF AD2_6=1</t>
  </si>
  <si>
    <t>AD2.15</t>
  </si>
  <si>
    <t>IF AD2_7=1</t>
  </si>
  <si>
    <t>AD2.16</t>
  </si>
  <si>
    <t>IF AD2_8=1</t>
  </si>
  <si>
    <t>AD2.17</t>
  </si>
  <si>
    <t>AD2.18</t>
  </si>
  <si>
    <t>AD2.19</t>
  </si>
  <si>
    <t>1=None
2=A few
3=Some
4=Most
5=Almost all
-2=DK [DO NOT READ]</t>
  </si>
  <si>
    <t>AD2.20</t>
  </si>
  <si>
    <t>AD2.21</t>
  </si>
  <si>
    <t>AD2.22</t>
  </si>
  <si>
    <t>AD2.23</t>
  </si>
  <si>
    <t>AD2.24</t>
  </si>
  <si>
    <t>AD2.25</t>
  </si>
  <si>
    <t>AD2.26</t>
  </si>
  <si>
    <t>AD3</t>
  </si>
  <si>
    <t>AD3.1</t>
  </si>
  <si>
    <t>IF FN1_1=1 AND AD3=1</t>
  </si>
  <si>
    <t>AD3.2</t>
  </si>
  <si>
    <t>IF FN2_1=1 AND AD3=1</t>
  </si>
  <si>
    <t>AD3.3</t>
  </si>
  <si>
    <t>IF FN3_1=1 AND AD3=1</t>
  </si>
  <si>
    <t>AD3.4</t>
  </si>
  <si>
    <t>IF FN4_1=1 AND AD3=1</t>
  </si>
  <si>
    <t>AD3.5</t>
  </si>
  <si>
    <t>IF UP2_3=1 AND AD3=1</t>
  </si>
  <si>
    <t>AD3.6</t>
  </si>
  <si>
    <t>IF UP2_4=1 AND AD3=1</t>
  </si>
  <si>
    <t>AD3.7</t>
  </si>
  <si>
    <t>IF UP2_5=1 AND AD3=1</t>
  </si>
  <si>
    <t>AD3.8</t>
  </si>
  <si>
    <t>IF UP2_6=1 AND AD3=1</t>
  </si>
  <si>
    <t>AD3.9</t>
  </si>
  <si>
    <t>IF AD3_1=1</t>
  </si>
  <si>
    <t>AD3.10</t>
  </si>
  <si>
    <t>IF AD3_2=1</t>
  </si>
  <si>
    <t>AD3.11</t>
  </si>
  <si>
    <t>IF AD3_3=1</t>
  </si>
  <si>
    <t>AD3.12</t>
  </si>
  <si>
    <t>IF AD3_4=1</t>
  </si>
  <si>
    <t>AD3.13</t>
  </si>
  <si>
    <t>IF AD3_5=1</t>
  </si>
  <si>
    <t>AD3.14</t>
  </si>
  <si>
    <t>IF AD3_6=1</t>
  </si>
  <si>
    <t>AD3.15</t>
  </si>
  <si>
    <t>IF AD3_7=1</t>
  </si>
  <si>
    <t>AD3.16</t>
  </si>
  <si>
    <t>IF AD3_8=1</t>
  </si>
  <si>
    <t>AD3.17</t>
  </si>
  <si>
    <t>IF AD3=1</t>
  </si>
  <si>
    <t>AD3.18</t>
  </si>
  <si>
    <t>1=Almost always
2=Often
3=Sometimes
4=Rarely
5=Almost never</t>
  </si>
  <si>
    <t>AD4</t>
  </si>
  <si>
    <t>AD4.1</t>
  </si>
  <si>
    <t>IF FN1_1=1 AND AD4=1</t>
  </si>
  <si>
    <t>AD4.2</t>
  </si>
  <si>
    <t>IF FN2_1=1 AND AD4=1</t>
  </si>
  <si>
    <t>AD4.3</t>
  </si>
  <si>
    <t>IF FN3_1=1 AND AD4=1</t>
  </si>
  <si>
    <t>AD4.4</t>
  </si>
  <si>
    <t>IF FN4_1=1 AND AD4=1</t>
  </si>
  <si>
    <t>AD4.5</t>
  </si>
  <si>
    <t>IF UP2_3=1 AND AD4=1</t>
  </si>
  <si>
    <t>AD4.6</t>
  </si>
  <si>
    <t>IF UP2_4=1 AND AD4=1</t>
  </si>
  <si>
    <t>AD4.7</t>
  </si>
  <si>
    <t>IF UP2_5=1 AND AD4=1</t>
  </si>
  <si>
    <t>AD4.8</t>
  </si>
  <si>
    <t>IF UP2_6=1 AND AD4=1</t>
  </si>
  <si>
    <t>AD4.9</t>
  </si>
  <si>
    <t>IF AD4_1=1</t>
  </si>
  <si>
    <t>AD4.10</t>
  </si>
  <si>
    <t>IF AD4_2=1</t>
  </si>
  <si>
    <t>AD4.11</t>
  </si>
  <si>
    <t>IF AD4_3=1</t>
  </si>
  <si>
    <t>AD4.12</t>
  </si>
  <si>
    <t>IF AD4_4=1</t>
  </si>
  <si>
    <t>AD4.13</t>
  </si>
  <si>
    <t>IF AD4_5=1</t>
  </si>
  <si>
    <t>AD4.14</t>
  </si>
  <si>
    <t>IF AD4_6=1</t>
  </si>
  <si>
    <t>AD4.15</t>
  </si>
  <si>
    <t>IF AD4_7=1</t>
  </si>
  <si>
    <t>AD4.16</t>
  </si>
  <si>
    <t>IF AD4_8=1</t>
  </si>
  <si>
    <t>AD4.17</t>
  </si>
  <si>
    <t>IF AD4=1</t>
  </si>
  <si>
    <t>AD5</t>
  </si>
  <si>
    <t>AD5.1</t>
  </si>
  <si>
    <t>IF FN1_1=1 AND AD5=1</t>
  </si>
  <si>
    <t>AD5.2</t>
  </si>
  <si>
    <t>IF FN2_1=1 AND AD5=1</t>
  </si>
  <si>
    <t>AD5.3</t>
  </si>
  <si>
    <t>IF FN3_1=1 AND AD5=1</t>
  </si>
  <si>
    <t>AD5.4</t>
  </si>
  <si>
    <t>IF FN4_1=1 AND AD5=1</t>
  </si>
  <si>
    <t>AD5.5</t>
  </si>
  <si>
    <t>IF UP2_3=1 AND AD5=1</t>
  </si>
  <si>
    <t>AD5.6</t>
  </si>
  <si>
    <t>IF UP2_4=1 AND AD5=1</t>
  </si>
  <si>
    <t>AD5.7</t>
  </si>
  <si>
    <t>IF UP2_5=1 AND AD5=1</t>
  </si>
  <si>
    <t>AD5.8</t>
  </si>
  <si>
    <t>IF UP2_6=1 AND AD5=1</t>
  </si>
  <si>
    <t>AD5.9</t>
  </si>
  <si>
    <t>IF AD5_1=1</t>
  </si>
  <si>
    <t>AD5.10</t>
  </si>
  <si>
    <t>IF AD5_2=1</t>
  </si>
  <si>
    <t>AD5.11</t>
  </si>
  <si>
    <t>IF AD5_3=1</t>
  </si>
  <si>
    <t>AD5.12</t>
  </si>
  <si>
    <t>IF AD5_4=1</t>
  </si>
  <si>
    <t>AD5.13</t>
  </si>
  <si>
    <t>IF AD5_5=1</t>
  </si>
  <si>
    <t>AD5.14</t>
  </si>
  <si>
    <t>IF AD5_6=1</t>
  </si>
  <si>
    <t>AD5.15</t>
  </si>
  <si>
    <t>IF AD5_7=1</t>
  </si>
  <si>
    <t>AD5.16</t>
  </si>
  <si>
    <t>IF AD5_8=1</t>
  </si>
  <si>
    <t>AD5.17</t>
  </si>
  <si>
    <t>IF AD5=1</t>
  </si>
  <si>
    <t>AD6</t>
  </si>
  <si>
    <t>AD6.1</t>
  </si>
  <si>
    <t>IF FN1_1=1 AND AD6=1</t>
  </si>
  <si>
    <t>AD6.2</t>
  </si>
  <si>
    <t>IF FN2_1=1 AND AD6=1</t>
  </si>
  <si>
    <t>AD6.3</t>
  </si>
  <si>
    <t>IF FN3_1=1 AND AD6=1</t>
  </si>
  <si>
    <t>AD6.4</t>
  </si>
  <si>
    <t>IF FN4_1=1 AND AD6=1</t>
  </si>
  <si>
    <t>AD6.5</t>
  </si>
  <si>
    <t>IF UP2_3=1 AND AD6=1</t>
  </si>
  <si>
    <t>AD6.6</t>
  </si>
  <si>
    <t>IF UP2_4=1 AND AD6=1</t>
  </si>
  <si>
    <t>AD6.7</t>
  </si>
  <si>
    <t>IF UP2_5=1 AND AD6=1</t>
  </si>
  <si>
    <t>AD6.9</t>
  </si>
  <si>
    <t>IF AD6_1=1</t>
  </si>
  <si>
    <t>AD6.10</t>
  </si>
  <si>
    <t>IF AD6_2=1</t>
  </si>
  <si>
    <t>AD6.11</t>
  </si>
  <si>
    <t>IF AD6_3=1</t>
  </si>
  <si>
    <t>AD6.12</t>
  </si>
  <si>
    <t>IF AD6_4=1</t>
  </si>
  <si>
    <t>AD6.13</t>
  </si>
  <si>
    <t>IF AD6_5=1</t>
  </si>
  <si>
    <t>AD6.14</t>
  </si>
  <si>
    <t>IF AD6_6=1</t>
  </si>
  <si>
    <t>AD6.15</t>
  </si>
  <si>
    <t>IF AD6_7=1</t>
  </si>
  <si>
    <t>AD6.17</t>
  </si>
  <si>
    <t>IF AD6=1</t>
  </si>
  <si>
    <t>AD7</t>
  </si>
  <si>
    <t>AD7.1</t>
  </si>
  <si>
    <t>IF FN1_1=1 AND AD7=1</t>
  </si>
  <si>
    <t>AD7.2</t>
  </si>
  <si>
    <t>IF FN2_1=1 AND AD7=1</t>
  </si>
  <si>
    <t>AD7.3</t>
  </si>
  <si>
    <t>IF FN3_1=1 AND AD7=1</t>
  </si>
  <si>
    <t>AD7.4</t>
  </si>
  <si>
    <t>IF FN4_1=1 AND AD7=1</t>
  </si>
  <si>
    <t>AD7.5</t>
  </si>
  <si>
    <t>IF UP2_3=1 AND AD7=1</t>
  </si>
  <si>
    <t>AD7.6</t>
  </si>
  <si>
    <t>IF UP2_4=1 AND AD7=1</t>
  </si>
  <si>
    <t>AD7.7</t>
  </si>
  <si>
    <t>IF UP2_5=1 AND AD7=1</t>
  </si>
  <si>
    <t>AD7.9</t>
  </si>
  <si>
    <t>IF AD7_1=1</t>
  </si>
  <si>
    <t>AD7.10</t>
  </si>
  <si>
    <t>IF AD7_2=1</t>
  </si>
  <si>
    <t>AD7.11</t>
  </si>
  <si>
    <t>IF AD7_3=1</t>
  </si>
  <si>
    <t>AD7.12</t>
  </si>
  <si>
    <t>IF AD7_4=1</t>
  </si>
  <si>
    <t>AD7.13</t>
  </si>
  <si>
    <t>IF AD7_5=1</t>
  </si>
  <si>
    <t>AD7.14</t>
  </si>
  <si>
    <t>IF AD7_6=1</t>
  </si>
  <si>
    <t>AD7.15</t>
  </si>
  <si>
    <t>IF AD7_7=1</t>
  </si>
  <si>
    <t>AD7.17</t>
  </si>
  <si>
    <t>AD7=1</t>
  </si>
  <si>
    <t>FB27.1</t>
  </si>
  <si>
    <t>1=Yes 
2=No</t>
  </si>
  <si>
    <t>FB27.2</t>
  </si>
  <si>
    <t>FB27.3</t>
  </si>
  <si>
    <t>FB27.4</t>
  </si>
  <si>
    <t>FB27.5</t>
  </si>
  <si>
    <t>FB27.6</t>
  </si>
  <si>
    <t>FB27.7</t>
  </si>
  <si>
    <t>FB27.8</t>
  </si>
  <si>
    <t>FB27.9</t>
  </si>
  <si>
    <t>FB27.10</t>
  </si>
  <si>
    <t>FB27.11</t>
  </si>
  <si>
    <t>AD8</t>
  </si>
  <si>
    <t>AD8.1</t>
  </si>
  <si>
    <t>IF FN1_1=1 AND AD8=1</t>
  </si>
  <si>
    <t>AD8.2</t>
  </si>
  <si>
    <t>IF FN2_1=1 AND AD8=1</t>
  </si>
  <si>
    <t>AD8.3</t>
  </si>
  <si>
    <t>IF FN3_1=1 AND AD8=1</t>
  </si>
  <si>
    <t>AD8.4</t>
  </si>
  <si>
    <t>IF FN4_1=1 AND AD8=1</t>
  </si>
  <si>
    <t>AD8.5</t>
  </si>
  <si>
    <t>IF UP2_3=1 AND AD8=1</t>
  </si>
  <si>
    <t>AD8.6</t>
  </si>
  <si>
    <t>IF UP2_4=1 AND AD8=1</t>
  </si>
  <si>
    <t>AD8.7</t>
  </si>
  <si>
    <t>IF UP2_5=1 AND AD8=1</t>
  </si>
  <si>
    <t>AD8.8</t>
  </si>
  <si>
    <t>IF AD8_1=1</t>
  </si>
  <si>
    <t>AD8.9</t>
  </si>
  <si>
    <t>IF AD8_2=1</t>
  </si>
  <si>
    <t>AD8.10</t>
  </si>
  <si>
    <t>IF AD8_3=1</t>
  </si>
  <si>
    <t>AD8.11</t>
  </si>
  <si>
    <t>IF AD8_4=1</t>
  </si>
  <si>
    <t>AD8.12</t>
  </si>
  <si>
    <t>IF AD8_5=1</t>
  </si>
  <si>
    <t>AD8.13</t>
  </si>
  <si>
    <t>IF AD8_6=1</t>
  </si>
  <si>
    <t>AD8.14</t>
  </si>
  <si>
    <t>IF AD8_7=1</t>
  </si>
  <si>
    <t>AD8.15</t>
  </si>
  <si>
    <t>AD9</t>
  </si>
  <si>
    <t>AD9.1</t>
  </si>
  <si>
    <t>AD9.2</t>
  </si>
  <si>
    <t>AD9.3</t>
  </si>
  <si>
    <t>AD9.4</t>
  </si>
  <si>
    <t>AD9.5</t>
  </si>
  <si>
    <t>AD9.6</t>
  </si>
  <si>
    <t>AD9.7</t>
  </si>
  <si>
    <t>AD9.8</t>
  </si>
  <si>
    <t>AD9.9</t>
  </si>
  <si>
    <t>AD9.10</t>
  </si>
  <si>
    <t>AD9.11</t>
  </si>
  <si>
    <t>AD9.12</t>
  </si>
  <si>
    <t>AD9.13</t>
  </si>
  <si>
    <t>AD9.14</t>
  </si>
  <si>
    <t>AD9.15</t>
  </si>
  <si>
    <t>AD9.16</t>
  </si>
  <si>
    <t>AD9.17</t>
  </si>
  <si>
    <t>INSTITUTION 1</t>
  </si>
  <si>
    <t>INSTITUTION/CHANNEL</t>
  </si>
  <si>
    <t>bank</t>
  </si>
  <si>
    <t>a bank</t>
  </si>
  <si>
    <t>post office bank</t>
  </si>
  <si>
    <t>a post office bank</t>
  </si>
  <si>
    <t>payments bank</t>
  </si>
  <si>
    <t>a payments bank</t>
  </si>
  <si>
    <t>mobile money</t>
  </si>
  <si>
    <t>a mobile money service</t>
  </si>
  <si>
    <t>microfinance institution (MFI)</t>
  </si>
  <si>
    <t>a smartphone app</t>
  </si>
  <si>
    <t>self-help group or cooperative</t>
  </si>
  <si>
    <t>the *99# menu on a mobile phone</t>
  </si>
  <si>
    <t>your Aadhaar number and also your fingerprint, iris scan, or a onetime password from your mobile phone</t>
  </si>
  <si>
    <t>a Rupay, debit or credit card</t>
  </si>
  <si>
    <t>Mobile Money</t>
  </si>
  <si>
    <t>Payments bank</t>
  </si>
  <si>
    <t>Smartphone payments app</t>
  </si>
  <si>
    <t>DFS</t>
  </si>
  <si>
    <t>Aircel Money</t>
  </si>
  <si>
    <t>Airtel Payments Bank</t>
  </si>
  <si>
    <t>BHIM</t>
  </si>
  <si>
    <t>a mobile phone</t>
  </si>
  <si>
    <t>Vodafone M-Pesa</t>
  </si>
  <si>
    <t>PayTM Payments Bank</t>
  </si>
  <si>
    <t>PayTM</t>
  </si>
  <si>
    <t>Airtel Money</t>
  </si>
  <si>
    <t>India Post Payments Bank</t>
  </si>
  <si>
    <t>PhonePe</t>
  </si>
  <si>
    <t>A different provider not on my list</t>
  </si>
  <si>
    <t>Fino Payments Bank</t>
  </si>
  <si>
    <t>Google Tez</t>
  </si>
  <si>
    <t>Aditya Birla Idea Payments Bank</t>
  </si>
  <si>
    <t>ICICI Pockets</t>
  </si>
  <si>
    <t>Jio Payments Bank</t>
  </si>
  <si>
    <t>Ola Money</t>
  </si>
  <si>
    <t>A different payments bank not on my list</t>
  </si>
  <si>
    <t>ZipCash</t>
  </si>
  <si>
    <t>A different smartphone payments app not on my list</t>
  </si>
  <si>
    <t>Activity 1</t>
  </si>
  <si>
    <t>Activity 2</t>
  </si>
  <si>
    <t>paid a fee for school, education, or training</t>
  </si>
  <si>
    <t>pay a fee for school, education, or training</t>
  </si>
  <si>
    <t>paid a bill for medical treatment, housing, trash collection, electricity, water, solar, television or any other bill</t>
  </si>
  <si>
    <t>pay a bill for medical treatment, housing, trash collection, electricity, water, solar, television or any other bill</t>
  </si>
  <si>
    <t>paid a tax, fine, fee, or other payment to the government</t>
  </si>
  <si>
    <t>pay a tax, fine, fee, or other payment to the government</t>
  </si>
  <si>
    <t>sent money to, or received money from someone</t>
  </si>
  <si>
    <t>send money to, or receive money from someone</t>
  </si>
  <si>
    <t>received money from the government</t>
  </si>
  <si>
    <t>receive money from the government</t>
  </si>
  <si>
    <t>received payment or wages from an employer</t>
  </si>
  <si>
    <t>receive wages from an employer</t>
  </si>
  <si>
    <t>paid for insurance or received payment from insurance</t>
  </si>
  <si>
    <t>pay for insurance or receive claims on insurance</t>
  </si>
  <si>
    <t>borrowed money</t>
  </si>
  <si>
    <t>borrow money</t>
  </si>
  <si>
    <t>saved money</t>
  </si>
  <si>
    <t>save money</t>
  </si>
  <si>
    <t>invested money</t>
  </si>
  <si>
    <t>invest money</t>
  </si>
  <si>
    <t>paid for goods or services at a store, shop, restaurant or other place of business</t>
  </si>
  <si>
    <t>pay for goods or services at a store, shop, restaurant or other place of business</t>
  </si>
  <si>
    <t>DG5</t>
  </si>
  <si>
    <t>DL4</t>
  </si>
  <si>
    <t>WB6/WB7/WB8</t>
  </si>
  <si>
    <t>MT2A/MT3</t>
  </si>
  <si>
    <t>MT3A</t>
  </si>
  <si>
    <t>MT9</t>
  </si>
  <si>
    <t>MT17</t>
  </si>
  <si>
    <t>MT18A</t>
  </si>
  <si>
    <t>FF1C</t>
  </si>
  <si>
    <t>FF3</t>
  </si>
  <si>
    <t>FF6/IFI6/IFI7/IFI8/IFI9</t>
  </si>
  <si>
    <t>FF14/FF16/MM15/MM17</t>
  </si>
  <si>
    <t>MM10A</t>
  </si>
  <si>
    <t>MM12</t>
  </si>
  <si>
    <t>MM13</t>
  </si>
  <si>
    <t>MM14</t>
  </si>
  <si>
    <t>MM14A</t>
  </si>
  <si>
    <t>MM25</t>
  </si>
  <si>
    <t>MM30</t>
  </si>
  <si>
    <t>MM32</t>
  </si>
  <si>
    <t>MA1</t>
  </si>
  <si>
    <t>MA2</t>
  </si>
  <si>
    <t>IFI1 to IFI4</t>
  </si>
  <si>
    <t>IFI3B</t>
  </si>
  <si>
    <t>IFI3C</t>
  </si>
  <si>
    <t>IFI3D</t>
  </si>
  <si>
    <t>IFI3E</t>
  </si>
  <si>
    <t>IFI10 to IFI13</t>
  </si>
  <si>
    <t xml:space="preserve"> </t>
  </si>
  <si>
    <t>IFI21</t>
  </si>
  <si>
    <t>IFI24</t>
  </si>
  <si>
    <t>GN7</t>
  </si>
  <si>
    <t>FL6</t>
  </si>
  <si>
    <t>FB16A/FB17</t>
  </si>
  <si>
    <t>FB19</t>
  </si>
  <si>
    <t>CM6</t>
  </si>
  <si>
    <t>CM7</t>
  </si>
  <si>
    <t>CM8</t>
  </si>
  <si>
    <t>CM9</t>
  </si>
  <si>
    <t>CM11</t>
  </si>
  <si>
    <t>FB22/FB23</t>
  </si>
  <si>
    <t>FB27</t>
  </si>
  <si>
    <t>FB29</t>
  </si>
  <si>
    <t>RI8</t>
  </si>
  <si>
    <t>DM1</t>
  </si>
  <si>
    <t>DM5</t>
  </si>
  <si>
    <t>DM6</t>
  </si>
  <si>
    <t>DM7</t>
  </si>
  <si>
    <t>Aadhaar letter, card, or unique ID number</t>
  </si>
  <si>
    <t>Livestock died</t>
  </si>
  <si>
    <t>basic phone (only allows calling, messaging, and saving phone numbers)</t>
  </si>
  <si>
    <t>Smartphones are too expensive</t>
  </si>
  <si>
    <t>Lack of money to buy a mobile phone</t>
  </si>
  <si>
    <t>Call someone</t>
  </si>
  <si>
    <t>Make and receive calls</t>
  </si>
  <si>
    <t>Current/Checking</t>
  </si>
  <si>
    <t>You don't have the required documents</t>
  </si>
  <si>
    <t>Savings</t>
  </si>
  <si>
    <t>Deposited or withdrew money</t>
  </si>
  <si>
    <t>Service system downtime</t>
  </si>
  <si>
    <t>You don't know enough about mobile money services</t>
  </si>
  <si>
    <t>A friend or family member already has an account that I can use</t>
  </si>
  <si>
    <t>I had to send or receive money</t>
  </si>
  <si>
    <t>Mobile money is more accessible than other financial services</t>
  </si>
  <si>
    <t>The cost of mobile money transfers changes often</t>
  </si>
  <si>
    <t>Relatives</t>
  </si>
  <si>
    <t>Open a menu of services</t>
  </si>
  <si>
    <t>My mobile money provider is able to keep my money safe and secure</t>
  </si>
  <si>
    <t>Agent was absent</t>
  </si>
  <si>
    <t>Microfinance institution (MFI)</t>
  </si>
  <si>
    <t>The products or services offered no longer met my needs</t>
  </si>
  <si>
    <t>Bank branch</t>
  </si>
  <si>
    <t>To have a lump sum to use when it’s your turn</t>
  </si>
  <si>
    <t>Don't have any money left for savings</t>
  </si>
  <si>
    <t>I make the final decision on how my money is spent or saved</t>
  </si>
  <si>
    <t>Bank, personal or business loans</t>
  </si>
  <si>
    <t>To pay for emergency expenses (e.g., medical bills)</t>
  </si>
  <si>
    <t>Just to try it out</t>
  </si>
  <si>
    <t>Fees</t>
  </si>
  <si>
    <t>Charged fees I didn't expect</t>
  </si>
  <si>
    <t>Borrowed money to repay the loan</t>
  </si>
  <si>
    <t>An extra fee or a rollover fee</t>
  </si>
  <si>
    <t>a microfinance institution (MFI)</t>
  </si>
  <si>
    <t>Health insurance plan or Mediclaim policy to pay for medical expenses</t>
  </si>
  <si>
    <t>Family member(s) in my household</t>
  </si>
  <si>
    <t>Purchasing groceries/meals/food staples</t>
  </si>
  <si>
    <t>Demonetization was a necessary step to combat black money</t>
  </si>
  <si>
    <t>Banks</t>
  </si>
  <si>
    <t>People poorer than me benefited from demonetization</t>
  </si>
  <si>
    <t>PAN card</t>
  </si>
  <si>
    <t xml:space="preserve">Received assistance from the government </t>
  </si>
  <si>
    <t>Illness of a household member</t>
  </si>
  <si>
    <t>feature phone (has a camera, radio)</t>
  </si>
  <si>
    <t>I don’t need a smartphone</t>
  </si>
  <si>
    <t>No need for a mobile phone</t>
  </si>
  <si>
    <t>Receive a call from someone</t>
  </si>
  <si>
    <t xml:space="preserve">Navigate the menu on the phone </t>
  </si>
  <si>
    <t>Saving</t>
  </si>
  <si>
    <t>Fees and expenses for using banks are too high</t>
  </si>
  <si>
    <t>Loans</t>
  </si>
  <si>
    <t>Bought airtime top-ups or paid a mobile phone bill</t>
  </si>
  <si>
    <t>Agent system downtime</t>
  </si>
  <si>
    <t>You don't need to use a mobile money service</t>
  </si>
  <si>
    <t>I do not have the required identification documents</t>
  </si>
  <si>
    <t>I wanted to save money</t>
  </si>
  <si>
    <t>Mobile money is cheaper to use than other financial services</t>
  </si>
  <si>
    <t>The cost of using mobile money agents is higher now than it was in the past</t>
  </si>
  <si>
    <t>Friends</t>
  </si>
  <si>
    <t>Find a particular menu option (e.g., an option for a money transfer)</t>
  </si>
  <si>
    <t>My transactions are usually completed without any problem</t>
  </si>
  <si>
    <t>Agent provided poor service</t>
  </si>
  <si>
    <t>Post Office Account</t>
  </si>
  <si>
    <t>Improvement in my circumstances took away the need I had for the products or services offered</t>
  </si>
  <si>
    <t>Sent or received money from family, friends, colleagues</t>
  </si>
  <si>
    <t>To help when there is a death in the family or any other emergency</t>
  </si>
  <si>
    <t>Don’t know about them</t>
  </si>
  <si>
    <t>Family members make final decisions about how my money is spent or saved</t>
  </si>
  <si>
    <t>Microfinance institution</t>
  </si>
  <si>
    <t>To pay for daily expenses (e.g., food, transportation, etc.)</t>
  </si>
  <si>
    <t>To purchase airtime</t>
  </si>
  <si>
    <t>Interest rate</t>
  </si>
  <si>
    <t>I didn't understand the costs or fees</t>
  </si>
  <si>
    <t>Used savings</t>
  </si>
  <si>
    <t>Reduction in future loan limit after repaying</t>
  </si>
  <si>
    <t>a self help group or cooperative</t>
  </si>
  <si>
    <t>Life insurance to pay a sum on the event of your death</t>
  </si>
  <si>
    <t>Family member(s)/ in a different household</t>
  </si>
  <si>
    <t>Purchasing transportation (e.g. buses, rickshaws, taxis, etc.)</t>
  </si>
  <si>
    <t>Demonetization policy was successfully implemented</t>
  </si>
  <si>
    <t>Regular bank employees</t>
  </si>
  <si>
    <t>People richer than me benefited from demonetization</t>
  </si>
  <si>
    <t>Passport</t>
  </si>
  <si>
    <t>Received money from a relative, friend, or another person inside the country</t>
  </si>
  <si>
    <t>Death of a household member</t>
  </si>
  <si>
    <t xml:space="preserve">smartphone (has a touch screen, apps) </t>
  </si>
  <si>
    <t>I don’t know what a smartphone is used for</t>
  </si>
  <si>
    <t>My mobile phone was lost, broken, or stopped working</t>
  </si>
  <si>
    <t xml:space="preserve">Send or receive a text message </t>
  </si>
  <si>
    <t>Send and receive messages</t>
  </si>
  <si>
    <t>Other</t>
  </si>
  <si>
    <t>You don't need a bank account</t>
  </si>
  <si>
    <t>Insurance</t>
  </si>
  <si>
    <t>Paid a school fee</t>
  </si>
  <si>
    <t>Difficulty operating the phone/using menu</t>
  </si>
  <si>
    <t>I do not use products and services that require a registered account</t>
  </si>
  <si>
    <t>I wanted a secure place to store money</t>
  </si>
  <si>
    <t>Mobile money is more secure than other financial services</t>
  </si>
  <si>
    <t>The costs associated with using mobile money change without warning</t>
  </si>
  <si>
    <t>Mobile money agents</t>
  </si>
  <si>
    <t>Initiate a transaction</t>
  </si>
  <si>
    <t>When I need to access my money, I am usually able to do so without any problem</t>
  </si>
  <si>
    <t>Agent did not have enough money to complete the transaction</t>
  </si>
  <si>
    <t>Formal savings and/or lending group</t>
  </si>
  <si>
    <t>A change in my status made be ineligible for products or services</t>
  </si>
  <si>
    <t>Paid bills, utilities, rent, taxes</t>
  </si>
  <si>
    <t>To have access to loans or credit when needed</t>
  </si>
  <si>
    <t>Don't trust them/people steal your money</t>
  </si>
  <si>
    <t>I am concerned about family members interfering with how I use my money</t>
  </si>
  <si>
    <t>Post office account</t>
  </si>
  <si>
    <t>For meeting day-to-day ordinary household needs (e.g. food, transportation)</t>
  </si>
  <si>
    <t>Speed of getting the loan</t>
  </si>
  <si>
    <t>Unexpected withdrawal from savings account or mobile money wallet</t>
  </si>
  <si>
    <t>Sold assets or belongings</t>
  </si>
  <si>
    <t>Blacklisted at the credit bureau</t>
  </si>
  <si>
    <t>through buying agricultural inputs or livestock</t>
  </si>
  <si>
    <t>Car or vehicle insurance to pay in case of an accident or damage</t>
  </si>
  <si>
    <t>Other relative(s)</t>
  </si>
  <si>
    <t>Paying for regular debts such as bills and rent</t>
  </si>
  <si>
    <t>The effects of demonetization were more beneficial than disruptive</t>
  </si>
  <si>
    <t>The Government of India</t>
  </si>
  <si>
    <t>People about the same as me, financially, benefited from demonetization</t>
  </si>
  <si>
    <t>Driver’s license</t>
  </si>
  <si>
    <t>Received money from a relative, friend, or another person sent from a foreign country</t>
  </si>
  <si>
    <t>Crop disease/pests</t>
  </si>
  <si>
    <t>The network here does not provide good enough service to use a smartphone</t>
  </si>
  <si>
    <t>My family members do not want me to have a mobile phone.</t>
  </si>
  <si>
    <t>Search the internet</t>
  </si>
  <si>
    <t>You don't trust banks</t>
  </si>
  <si>
    <t>Investments</t>
  </si>
  <si>
    <t>Paid a bill for medical expenses, housing, rent or utilities, such as electricity, water, solar, satellite TV or cable TV</t>
  </si>
  <si>
    <t>Unclear transaction charges or fees</t>
  </si>
  <si>
    <t>You don't have enough money to use mobile money services</t>
  </si>
  <si>
    <t>I was registered for a mobile money account by another individual or organization</t>
  </si>
  <si>
    <t>Mobile money meets my needs better than other financial services</t>
  </si>
  <si>
    <t>Considering current costs, I may not be able to afford to continue using mobile money</t>
  </si>
  <si>
    <t>Complete a transaction</t>
  </si>
  <si>
    <t>When I use mobile money services with a merchant, the merchant is usually able to accept my payment without any problem</t>
  </si>
  <si>
    <t>Agent did not know how to perform the transaction</t>
  </si>
  <si>
    <t>A digital card (a card that is not attached to a bank or MFI account)</t>
  </si>
  <si>
    <t>The microfinance institution no longer serves customers like me</t>
  </si>
  <si>
    <t>The Post Office Account no longer serves customers like me</t>
  </si>
  <si>
    <t>The savings and/or lending group no longer serves customers like me</t>
  </si>
  <si>
    <t>The Post office bank no longer serves customers like me</t>
  </si>
  <si>
    <t>Received wages, pension payments, or government assistance payments</t>
  </si>
  <si>
    <t>Easier to use or more accessible than other financial service providers</t>
  </si>
  <si>
    <t>Don't need any service from them/their services are better served by other financial service providers</t>
  </si>
  <si>
    <t>Mobile money account</t>
  </si>
  <si>
    <t>For betting, including betting on your phone</t>
  </si>
  <si>
    <t>Convenience</t>
  </si>
  <si>
    <t>Repayment period is too short</t>
  </si>
  <si>
    <t>Reduced food purchases</t>
  </si>
  <si>
    <t>Denied access to future loan with the same lender</t>
  </si>
  <si>
    <t>through buying items or property that should increase in value</t>
  </si>
  <si>
    <t xml:space="preserve">Crop insurance to pay you in case your crops are destroyed by a natural calamity </t>
  </si>
  <si>
    <t>Workmate(s) or a business partner(s)</t>
  </si>
  <si>
    <t>During the demonetization period, merchants, vendors and service providers who previously only  accepted cash started accepting other types of non-cash payments</t>
  </si>
  <si>
    <t>Merchants, vendors and service providers</t>
  </si>
  <si>
    <t>Everyone benefited from demonetization equally</t>
  </si>
  <si>
    <t>School-issued ID, including college/university</t>
  </si>
  <si>
    <t>Ownership of a business, property, or assets</t>
  </si>
  <si>
    <t>Drought/floods</t>
  </si>
  <si>
    <t>There is no mobile phone network where I live.</t>
  </si>
  <si>
    <t>The closest bank is too far away</t>
  </si>
  <si>
    <t>A mobile phone application or website</t>
  </si>
  <si>
    <t>Paid a government bill, including tax, fine or fee</t>
  </si>
  <si>
    <t>Inability to get cash for the payment</t>
  </si>
  <si>
    <t xml:space="preserve">You don't trust mobile money </t>
  </si>
  <si>
    <t>I wanted to take a loan</t>
  </si>
  <si>
    <t>I trust mobile money more than other financial services</t>
  </si>
  <si>
    <t>The cost of mobile money is fair for the convenience that it provides</t>
  </si>
  <si>
    <t>Correct an error in the payment amount</t>
  </si>
  <si>
    <t>I am comfortable using mobile money to make digital payments to merchants</t>
  </si>
  <si>
    <t>Agent overcharged for the transaction</t>
  </si>
  <si>
    <t>Private money lender</t>
  </si>
  <si>
    <t>It became more difficult to travel to the point of service</t>
  </si>
  <si>
    <t>Made insurance payments or received claims on insurance</t>
  </si>
  <si>
    <t>Formal saving and/or lending group</t>
  </si>
  <si>
    <t>To pay a utility bill, such as electricity or water</t>
  </si>
  <si>
    <t>Trust in provider</t>
  </si>
  <si>
    <t>Didn't have money to repay on time</t>
  </si>
  <si>
    <t>Skipped paying school fees</t>
  </si>
  <si>
    <t>Denied access to future loan with a different lender</t>
  </si>
  <si>
    <t>Property insurance to pay you in case your house or other things you own are destroyed by a fire or other calamity</t>
  </si>
  <si>
    <t>Neighbor(s), not a relative</t>
  </si>
  <si>
    <t>After the currency exchange ended, more merchants, vendors and service providers continued accepting types of non-cash payments than before demonetization</t>
  </si>
  <si>
    <t>Providers of cashless payments (e.g., PayTM, Aircel)</t>
  </si>
  <si>
    <t>Merchants, vendors and service providers benefited from demonetization</t>
  </si>
  <si>
    <t>Voter’s card</t>
  </si>
  <si>
    <t>Employment by the government</t>
  </si>
  <si>
    <t>Don't know how to use a mobile phone</t>
  </si>
  <si>
    <t>Download music, video or games</t>
  </si>
  <si>
    <t>Download an application</t>
  </si>
  <si>
    <t>You don't have enough money to use the account</t>
  </si>
  <si>
    <t>A Rupay card, ATM card, or another card that you can use to buy things or get cash from a machine</t>
  </si>
  <si>
    <t>Sent money to, or received money from, family members, friends, workmates or other acquaintances</t>
  </si>
  <si>
    <t>Difficulty contacting customer care</t>
  </si>
  <si>
    <t>You feel at risk of losing money</t>
  </si>
  <si>
    <t>I wanted to make a purchase</t>
  </si>
  <si>
    <t>Mobile money is easier to use than other financial services</t>
  </si>
  <si>
    <t>Reverse or cancel a transaction</t>
  </si>
  <si>
    <t>I am, or would be, comfortable receiving my salary in a mobile money account</t>
  </si>
  <si>
    <t>Agent did not give all the cash that was owed</t>
  </si>
  <si>
    <t>A money guard/ someone in the workplace or neighborhood who collects and keeps savings deposits on a regular basis</t>
  </si>
  <si>
    <t>Other financial institutions or service providers offer better products or services</t>
  </si>
  <si>
    <t>Took a loan or made payments on a loan</t>
  </si>
  <si>
    <t xml:space="preserve">Any other institution or financial service provider </t>
  </si>
  <si>
    <t>To pay rent</t>
  </si>
  <si>
    <t>Size of loan</t>
  </si>
  <si>
    <t>Didn't have money to repay at all</t>
  </si>
  <si>
    <t>Forwent medical treatment</t>
  </si>
  <si>
    <t>Naming and shaming on lender's website</t>
  </si>
  <si>
    <t xml:space="preserve">in cash in a safe place at home or on your person </t>
  </si>
  <si>
    <t>Mobile operator’s agent/employee</t>
  </si>
  <si>
    <t>In the future, cash will be used less often by typical Indians for routine purchases</t>
  </si>
  <si>
    <t>Ration card (i.e., Blue Card)</t>
  </si>
  <si>
    <t>Employment in a business with less 10 employees or less</t>
  </si>
  <si>
    <t>A credit card that you can use to buy something now and pay later</t>
  </si>
  <si>
    <t xml:space="preserve">Received a welfare, pension or other benefit payment from the government </t>
  </si>
  <si>
    <t>Sent money to the wrong person</t>
  </si>
  <si>
    <t>You prefer to use cash</t>
  </si>
  <si>
    <t>I wanted to make an investment</t>
  </si>
  <si>
    <t>I am comfortable making deposits and withdrawals in cash using mobile money</t>
  </si>
  <si>
    <t>Agent system or mobile network was down</t>
  </si>
  <si>
    <t>Life Insurance Corporation of India (LIC)</t>
  </si>
  <si>
    <t>Saved money for any reason</t>
  </si>
  <si>
    <t>For medical needs including medical emergency</t>
  </si>
  <si>
    <t>Privacy of loans</t>
  </si>
  <si>
    <t>Defaulted on loan</t>
  </si>
  <si>
    <t>Legal prosecution</t>
  </si>
  <si>
    <t>in gold or other valuable assets</t>
  </si>
  <si>
    <t>Disability insurance to pay you in case you get sick or hurt and cannot work</t>
  </si>
  <si>
    <t>Friend(s)</t>
  </si>
  <si>
    <t>I trust the government to implement similar policies in the future</t>
  </si>
  <si>
    <t xml:space="preserve">Employee ID (for government/civil servants) </t>
  </si>
  <si>
    <t>Employment in a business with more than 10 employees</t>
  </si>
  <si>
    <t>Use Facebook, WhatsApp, Twitter, Instagram or another social networking application</t>
  </si>
  <si>
    <t>Money transfers to and from the account without using cash (e.g., receive salary or government benefits, direct deposit, automatic payments or withdrawals, transfers to or from another bank) </t>
  </si>
  <si>
    <t>Received wages for your primary or secondary job</t>
  </si>
  <si>
    <t>Fees and expenses for using mobile money services are too high</t>
  </si>
  <si>
    <t xml:space="preserve">I wanted to pay a bill </t>
  </si>
  <si>
    <t>It is easier for me to save in a mobile money account rather than in cash</t>
  </si>
  <si>
    <t>Agent was dismissive of women</t>
  </si>
  <si>
    <t>Made an investment, including bought stock or shares</t>
  </si>
  <si>
    <t>Post office bank</t>
  </si>
  <si>
    <t>For other emergencies such as fire, flood</t>
  </si>
  <si>
    <t>Repayment plan</t>
  </si>
  <si>
    <t>Felt my information was not kept safe/private</t>
  </si>
  <si>
    <t>Confiscation of property, fines, or other legal penalties</t>
  </si>
  <si>
    <t>any other method not on my list</t>
  </si>
  <si>
    <t>Pension, retirement, or old age benefits to be paid when you stop working</t>
  </si>
  <si>
    <t>People who pay me to make or receive calls and messages</t>
  </si>
  <si>
    <t>Military ID</t>
  </si>
  <si>
    <t>Scholarship or stipend from the government or educational institution</t>
  </si>
  <si>
    <t>Take a picture</t>
  </si>
  <si>
    <t xml:space="preserve">I got an incentive from the mobile money service during a promotion </t>
  </si>
  <si>
    <t>For personal things (clothes, shoes, travel)</t>
  </si>
  <si>
    <t>Reported to credit bureau</t>
  </si>
  <si>
    <t>Cattle or livestock insurance to pay you in case livestock die</t>
  </si>
  <si>
    <t xml:space="preserve">Other </t>
  </si>
  <si>
    <t>MGNREGA job card</t>
  </si>
  <si>
    <t>Pension</t>
  </si>
  <si>
    <t>To buy household goods (TV, refrigerator)</t>
  </si>
  <si>
    <t>Collection actions by lender</t>
  </si>
  <si>
    <t>Spousal or family insurance to pay you in case your spouse dies</t>
  </si>
  <si>
    <t>To pay school or university fees or other school costs such as uniforms or books</t>
  </si>
  <si>
    <t>Needed to contact customer care and couldn't figure out how</t>
  </si>
  <si>
    <t>Any other type of insurance not on my list</t>
  </si>
  <si>
    <t>For business purposes, such as investment or payroll</t>
  </si>
  <si>
    <t>Couldn't access account when I needed to, or network was down</t>
  </si>
  <si>
    <t>Paid for goods or services at a grocery store, clothing shop or any other store/shop</t>
  </si>
  <si>
    <t>To pay off another loan you took from your phone</t>
  </si>
  <si>
    <t>Had difficulties navigating the menu or screen</t>
  </si>
  <si>
    <t>To pay off another loan you took somewhere other than your phone (microfinance, bank, SACCO, etc.)</t>
  </si>
  <si>
    <t>Cost is too high</t>
  </si>
  <si>
    <t>To lend to others (family, friends, etc.)</t>
  </si>
  <si>
    <t>For a large purchases, such as a car, motorcycle, land or house</t>
  </si>
  <si>
    <t>Code</t>
  </si>
  <si>
    <t>Description</t>
  </si>
  <si>
    <t>Illiterate – no formal education</t>
  </si>
  <si>
    <t>Literate – no formal education</t>
  </si>
  <si>
    <t>Below primary schooling (Standard 4th)</t>
  </si>
  <si>
    <t>Primary schooling (Standard 5th)</t>
  </si>
  <si>
    <t>Middle (Standards 6-8th)</t>
  </si>
  <si>
    <t>Matriculation/secondary (Standard 10th)</t>
  </si>
  <si>
    <t>Higher secondary (Standard 12th)</t>
  </si>
  <si>
    <t>Non-technical diploma or certificate not equal to degree</t>
  </si>
  <si>
    <t>Technical diploma or certificate not equal to degree</t>
  </si>
  <si>
    <t>Graduate</t>
  </si>
  <si>
    <t>Post graduate and above</t>
  </si>
  <si>
    <t>Farm owner</t>
  </si>
  <si>
    <t>Farm worker</t>
  </si>
  <si>
    <t>Public or health service worker(non-professional)</t>
  </si>
  <si>
    <t>Professional (i.e., doctor, teacher, nurse)</t>
  </si>
  <si>
    <t>Clerk</t>
  </si>
  <si>
    <t>Carpenter/mason</t>
  </si>
  <si>
    <t>Mechanic</t>
  </si>
  <si>
    <t>Electrician</t>
  </si>
  <si>
    <t>Cleaner/ house help</t>
  </si>
  <si>
    <t>Waiter/cook</t>
  </si>
  <si>
    <t>Driver, including public transport (boda-boda, taxis, matatu, bus, etc.)</t>
  </si>
  <si>
    <t>Tailor</t>
  </si>
  <si>
    <t>Secretary</t>
  </si>
  <si>
    <t>Manager</t>
  </si>
  <si>
    <t>Watchman/Security guard/caretaker</t>
  </si>
  <si>
    <t>Messenger</t>
  </si>
  <si>
    <t>Policeman/police reserve</t>
  </si>
  <si>
    <t>Conductor</t>
  </si>
  <si>
    <t>Factory employee</t>
  </si>
  <si>
    <t>Shop owner</t>
  </si>
  <si>
    <t>Salesperson in a store</t>
  </si>
  <si>
    <t>Street vendor/hawker (selling groceries, mama mboga)</t>
  </si>
  <si>
    <t>Other business owner</t>
  </si>
  <si>
    <t>Salonist</t>
  </si>
  <si>
    <t>Money lender</t>
  </si>
  <si>
    <t>Landlord/ Landlady</t>
  </si>
  <si>
    <t>Miner (gold, sand, coal, oil, etc.)</t>
  </si>
  <si>
    <t>Military</t>
  </si>
  <si>
    <t>Occasional worker with no occupation</t>
  </si>
  <si>
    <t>Supervisory level</t>
  </si>
  <si>
    <t>Officer/Executive – Junior</t>
  </si>
  <si>
    <t>Officer/Executive – Middle/Senior</t>
  </si>
  <si>
    <t>Working full-time for a regular salary</t>
  </si>
  <si>
    <t>Working part-time for a regular salary</t>
  </si>
  <si>
    <t>Working occasionally, irregular pay (whenever the work is available)</t>
  </si>
  <si>
    <t>Working per season (e.g., only during the harvest season)</t>
  </si>
  <si>
    <t>Self-employed, working for yourself</t>
  </si>
  <si>
    <t>Not working but looking for a job</t>
  </si>
  <si>
    <t>Housewife or stay-at-home husband doing household chores</t>
  </si>
  <si>
    <t>Full-time student</t>
  </si>
  <si>
    <t>Not working because of retirement</t>
  </si>
  <si>
    <t>Not working because of sickness, disability, etc.</t>
  </si>
  <si>
    <t>IF FN4_2=1 AND MM1_1=1</t>
  </si>
  <si>
    <t>IF FN4_2=1 AND MM1_2=1</t>
  </si>
  <si>
    <t>1=Yes
2=No
-3=REF [DO NOT READ] </t>
  </si>
  <si>
    <t>1=Whole day
2=Most of the day
3=A few hours
4=A few minutes
5=Momentarily
-3=REF [DO NOT READ]</t>
  </si>
  <si>
    <t>1=Strongly disagree
2=Somewhat disagree
3=Neither disagree, nor agree
4=Somewhat agree
5=Strongly agree
-3=REF [DO NOT READ]
-2=DK [DO NOT READ]</t>
  </si>
  <si>
    <t>a business you own</t>
  </si>
  <si>
    <t>Bank agent or business correspondent</t>
  </si>
  <si>
    <t>You have goals for the next few months for what you want to achieve with your money</t>
  </si>
  <si>
    <t>a business owned by someone you know</t>
  </si>
  <si>
    <t>ATM machine where people use a card to get cash</t>
  </si>
  <si>
    <t>You have enough money to pay for your living expenses</t>
  </si>
  <si>
    <t>To pay business expenses or invest in a business</t>
  </si>
  <si>
    <t xml:space="preserve">an Indian enterprise where you bought shares </t>
  </si>
  <si>
    <t>You spend less money than you make each month</t>
  </si>
  <si>
    <t>To invest in home improvement or construction</t>
  </si>
  <si>
    <t>a foreign enterprise where you bought shares</t>
  </si>
  <si>
    <t>Microfinance instutition (MFI)</t>
  </si>
  <si>
    <t>You pay your bills on time and in full</t>
  </si>
  <si>
    <t>To pay for agricultural inputs</t>
  </si>
  <si>
    <t>with people you trust, such as family, friends, neighbors, shopkeepers, money guards, savings collectors or others</t>
  </si>
  <si>
    <t>government bonds</t>
  </si>
  <si>
    <t>Self help group or cooperative</t>
  </si>
  <si>
    <t>You have an emergency fund that is large enough to cover unplanned expenses</t>
  </si>
  <si>
    <t>land, house, or other property</t>
  </si>
  <si>
    <t>Agent, shop or kiosk that has a microATM machine for banking transactions using Aadhaar</t>
  </si>
  <si>
    <t>You are confident that your income will grow in the future</t>
  </si>
  <si>
    <t>gold, gems, art, or other things of value</t>
  </si>
  <si>
    <t>Agent, shop or kiosk that offers a mobile money service</t>
  </si>
  <si>
    <t>You earn enough money to pay back debt and also pay for living expenses</t>
  </si>
  <si>
    <t>another place not on my list</t>
  </si>
  <si>
    <t>Agent, shop, or kiosk that offers a payments bank service</t>
  </si>
  <si>
    <t>Friends and family rely on you to help with their finances</t>
  </si>
  <si>
    <t>You have savings or assets that will keep you financially secure in the future</t>
  </si>
  <si>
    <t>You have the skills and knowledge to manage your finances well</t>
  </si>
  <si>
    <t>SIM CARD PROVIDER</t>
  </si>
  <si>
    <t>Mobile financial service</t>
  </si>
  <si>
    <t>Category</t>
  </si>
  <si>
    <t xml:space="preserve">MOBILE MONEY PRODUCTS </t>
  </si>
  <si>
    <t>Aircel</t>
  </si>
  <si>
    <t>Mobile Money -- Does not need to be linked with a bank or credit/debit card. Offers deposit/withdrawal, recharge, transfer to bank account, make payments, p2p, and agents available to load money at MM retailers</t>
  </si>
  <si>
    <t>United Payments Interface (UPI)</t>
  </si>
  <si>
    <t>Bharti Airtel</t>
  </si>
  <si>
    <t>BHIM App</t>
  </si>
  <si>
    <t>BSNL Mobile</t>
  </si>
  <si>
    <t>Chillr</t>
  </si>
  <si>
    <t>MTNL</t>
  </si>
  <si>
    <t>Beam Money</t>
  </si>
  <si>
    <t>Offers similar services to MM but needs to be linked with a bank or credit/debit card. Some e-wallets have e-commerce as well. Does not have agents.</t>
  </si>
  <si>
    <t>Citrus Pay</t>
  </si>
  <si>
    <t>Idea Cellular</t>
  </si>
  <si>
    <t>Idea Money Payments</t>
  </si>
  <si>
    <t>Ezetap</t>
  </si>
  <si>
    <t>Reliance Jio</t>
  </si>
  <si>
    <t>Money on Mobile</t>
  </si>
  <si>
    <t>Freecharge</t>
  </si>
  <si>
    <t>MTS India</t>
  </si>
  <si>
    <t>Oxigen Wallet (oxicash)</t>
  </si>
  <si>
    <t>FTcash</t>
  </si>
  <si>
    <t>Reliance Telecom</t>
  </si>
  <si>
    <t>HDFC PayZapp</t>
  </si>
  <si>
    <t>Tata DoCoMo (Tata Teleservices)</t>
  </si>
  <si>
    <t>Suvidhaa Money</t>
  </si>
  <si>
    <t>Tata Indicom (Tata Teleservices)</t>
  </si>
  <si>
    <t>JioMoney</t>
  </si>
  <si>
    <t>Itzcash</t>
  </si>
  <si>
    <t>Telenor India</t>
  </si>
  <si>
    <t>Zipcash</t>
  </si>
  <si>
    <t>JusPay Safe</t>
  </si>
  <si>
    <t>Videocon Telecom</t>
  </si>
  <si>
    <t>Life</t>
  </si>
  <si>
    <t>Vodafone</t>
  </si>
  <si>
    <t>Ebixcash (Itzcash)</t>
  </si>
  <si>
    <t>Mobikwik</t>
  </si>
  <si>
    <t>Any other provider that I did not mention?</t>
  </si>
  <si>
    <t>Ola Money (operated under ZipCash)</t>
  </si>
  <si>
    <t>PayMate</t>
  </si>
  <si>
    <t>PayUmoney</t>
  </si>
  <si>
    <t>Tez</t>
  </si>
  <si>
    <t>State Bank Mobicash</t>
  </si>
  <si>
    <t>All accounts are linked to a bank account. Offers deposit/withdrawal, recharge, airtime top ups, transfer funds, p2p, account maintainence and some e-commerce options. No mobile agents but consumers can use banking agents for assistance.</t>
  </si>
  <si>
    <t>State Bank Buddy</t>
  </si>
  <si>
    <t>Union Bank Money</t>
  </si>
  <si>
    <t>Trupay</t>
  </si>
  <si>
    <t>Other (specify)</t>
  </si>
  <si>
    <t>GN1</t>
  </si>
  <si>
    <t>1=None
2=A little
3=About half
4=Most
5=Almost all
-3=REF [DO NOT READ]
-2=DK [DO NOT READ]</t>
  </si>
  <si>
    <t>GN2</t>
  </si>
  <si>
    <t>1=Very uninvolved
2=Somewhat uninvolved
3=Neither uninvolved, nor involved
4=Somewhat involved
5=Very involved
-3=REF [DO NOT READ]
-2=DK [DO NOT READ]</t>
  </si>
  <si>
    <t>GN3</t>
  </si>
  <si>
    <t>GN4</t>
  </si>
  <si>
    <t>GN5</t>
  </si>
  <si>
    <t>GN6</t>
  </si>
  <si>
    <t>1=Very unlikely
2=Somewhat unlikely
3=Neither unlikely, nor likely
4=Somewhat likely
5=Very likely
-3=REF [DO NOT READ]
-2=DK [DO NOT READ]</t>
  </si>
  <si>
    <t>GN8</t>
  </si>
  <si>
    <t>FL12</t>
  </si>
  <si>
    <t>You have a plan for how your money will be used in the next few days</t>
  </si>
  <si>
    <t>Section 2: SUBJECTIVE WELL BEING
[READ OUT] Now I would like to ask you a few general questions about your outlook on life.</t>
  </si>
  <si>
    <t>Sold products of agriculture or reared livestock</t>
  </si>
  <si>
    <t>AD9A</t>
  </si>
  <si>
    <t>IF AD9=1</t>
  </si>
  <si>
    <t>AD9B</t>
  </si>
  <si>
    <t>AD9.18</t>
  </si>
  <si>
    <t>AD9.19</t>
  </si>
  <si>
    <t>AD9.20</t>
  </si>
  <si>
    <t>AD9.21</t>
  </si>
  <si>
    <t>AD9.22</t>
  </si>
  <si>
    <t>AD9.23</t>
  </si>
  <si>
    <t>AD9.24</t>
  </si>
  <si>
    <t>AD10</t>
  </si>
  <si>
    <t>AD10.1</t>
  </si>
  <si>
    <t>IF AD10=1</t>
  </si>
  <si>
    <t>AD10.2</t>
  </si>
  <si>
    <t>AD10.3</t>
  </si>
  <si>
    <t>AD10.4</t>
  </si>
  <si>
    <t>AD10.5</t>
  </si>
  <si>
    <t>AD10.6</t>
  </si>
  <si>
    <t>AD10.7</t>
  </si>
  <si>
    <t>AD10.8</t>
  </si>
  <si>
    <t>IF AD10_1=1</t>
  </si>
  <si>
    <t>AD10.9</t>
  </si>
  <si>
    <t>IF AD10_2=1</t>
  </si>
  <si>
    <t>AD10.10</t>
  </si>
  <si>
    <t>IF AD10_3=1</t>
  </si>
  <si>
    <t>AD10.11</t>
  </si>
  <si>
    <t>IF AD10_4=1</t>
  </si>
  <si>
    <t>AD10.12</t>
  </si>
  <si>
    <t>IF AD10_5=1</t>
  </si>
  <si>
    <t>AD10.13</t>
  </si>
  <si>
    <t>IF AD10_6=1</t>
  </si>
  <si>
    <t>AD10.14</t>
  </si>
  <si>
    <t>IF AD10_7=1</t>
  </si>
  <si>
    <t>AD10.15</t>
  </si>
  <si>
    <t>IF AD10_8=1</t>
  </si>
  <si>
    <t>AD10.16</t>
  </si>
  <si>
    <t>AD10.17</t>
  </si>
  <si>
    <t>AD10.18</t>
  </si>
  <si>
    <t>AD11</t>
  </si>
  <si>
    <t>AD11.1</t>
  </si>
  <si>
    <t>IF AD11=1</t>
  </si>
  <si>
    <t>AD11.2</t>
  </si>
  <si>
    <t>AD11.3</t>
  </si>
  <si>
    <t>AD11.4</t>
  </si>
  <si>
    <t>AD11.5</t>
  </si>
  <si>
    <t>AD11.6</t>
  </si>
  <si>
    <t>AD11.7</t>
  </si>
  <si>
    <t>AD11.8</t>
  </si>
  <si>
    <t>AD11.9</t>
  </si>
  <si>
    <t>AD11.10</t>
  </si>
  <si>
    <t>AD11.11</t>
  </si>
  <si>
    <t>AD11.12</t>
  </si>
  <si>
    <t>AD11.13</t>
  </si>
  <si>
    <t>AD11.14</t>
  </si>
  <si>
    <t>AD11.15</t>
  </si>
  <si>
    <t>AD11.16</t>
  </si>
  <si>
    <t>IF AD11_1=1</t>
  </si>
  <si>
    <t>AD11.17</t>
  </si>
  <si>
    <t>IF AD11_2=1</t>
  </si>
  <si>
    <t>AD11.18</t>
  </si>
  <si>
    <t>IF AD11_3=1</t>
  </si>
  <si>
    <t>AD11.19</t>
  </si>
  <si>
    <t>IF AD11_4=1</t>
  </si>
  <si>
    <t>AD11.20</t>
  </si>
  <si>
    <t>IF AD11_5=1</t>
  </si>
  <si>
    <t>AD11.21</t>
  </si>
  <si>
    <t>IF AD11_6=1</t>
  </si>
  <si>
    <t>AD11.22</t>
  </si>
  <si>
    <t>IF AD11_7=1</t>
  </si>
  <si>
    <t>AD11.23</t>
  </si>
  <si>
    <t>IF AD11_8=1</t>
  </si>
  <si>
    <t>AD11.24</t>
  </si>
  <si>
    <t>AD11.25</t>
  </si>
  <si>
    <t>AD11.26</t>
  </si>
  <si>
    <t>AD11.27</t>
  </si>
  <si>
    <t>AD11.28</t>
  </si>
  <si>
    <t>FB19.1</t>
  </si>
  <si>
    <t>FB19.2</t>
  </si>
  <si>
    <t>FB19.3</t>
  </si>
  <si>
    <t>FB19.4</t>
  </si>
  <si>
    <t>FB19.5</t>
  </si>
  <si>
    <t>IFI14.1</t>
  </si>
  <si>
    <t>1=Less than .5 km
2=Between .5 km and 1km
3=Between 1km and 5km
4=More than 5km 
-2=DK [DO NOT READ]</t>
  </si>
  <si>
    <t>IFI14.2</t>
  </si>
  <si>
    <t>IFI14.3</t>
  </si>
  <si>
    <t>IFI14.4</t>
  </si>
  <si>
    <t>IFI14.5</t>
  </si>
  <si>
    <t>IFI14.6</t>
  </si>
  <si>
    <t>IFI14.7</t>
  </si>
  <si>
    <t>IFI14.8</t>
  </si>
  <si>
    <t>IFI14.9</t>
  </si>
  <si>
    <t>FL13</t>
  </si>
  <si>
    <t>FL14</t>
  </si>
  <si>
    <t>1=One business or investment
2=Multiple businesses or investments
-2=DK [DO NOT READ]</t>
  </si>
  <si>
    <t>FL15</t>
  </si>
  <si>
    <t>1=Less
2=The same
3=More
-2=DK [DO NOT READ]</t>
  </si>
  <si>
    <t>FL16</t>
  </si>
  <si>
    <t>FL17</t>
  </si>
  <si>
    <t>1=The same 
2=More
-2=DK [DO NOT READ]</t>
  </si>
  <si>
    <t>FL18</t>
  </si>
  <si>
    <t>1=Respondent read the informed consent form fluently and without any help from the interviewer
2=Respondent read the informed consent form well but had a little help from the interviewer
3=Respondent struggled to read the informed consent form and had a lot of help from the interviewer
4=Respondent was unable to read the consent form and requested the interviewer read it to them</t>
  </si>
  <si>
    <t>LN2.1</t>
  </si>
  <si>
    <t>1=Cannot do this at all
2=Very badly
3=Somewhat badly
4=Good
5=Excellent</t>
  </si>
  <si>
    <t>LN2.2</t>
  </si>
  <si>
    <t>SECTION XXV:  RESPONDENT INFORMATION</t>
  </si>
  <si>
    <t>RI4</t>
  </si>
  <si>
    <t>RI5.1</t>
  </si>
  <si>
    <t>N/A
-2=DK [DO NOT READ]</t>
  </si>
  <si>
    <t>RI5.2</t>
  </si>
  <si>
    <t>RI5.3</t>
  </si>
  <si>
    <t>Section 5: PROGRESS OUT OF POVERTY INDEX</t>
  </si>
  <si>
    <t>1=Yes
2=No
-3=REF [DO NOT READ]</t>
  </si>
  <si>
    <t>IF UP2_6=1 AND AD8=1</t>
  </si>
  <si>
    <t>AD8.16</t>
  </si>
  <si>
    <t>IF AD8_8=1</t>
  </si>
  <si>
    <t>DL14. How many household members are there?</t>
  </si>
  <si>
    <t>DG1. What year were you born?</t>
  </si>
  <si>
    <t>DG3. What is your marital status?</t>
  </si>
  <si>
    <t>DG4. What is your highest level of education?</t>
  </si>
  <si>
    <t>DG6. What is your relationship to the household head? The household head is _____.</t>
  </si>
  <si>
    <t>DL2. What is your primary job (i.e., the job where you spend most of your time)?</t>
  </si>
  <si>
    <t>DL24. Now I’m going to read several statements. Please tell me which one best describes your family’s financial situation?</t>
  </si>
  <si>
    <t>AA4. District</t>
  </si>
  <si>
    <t xml:space="preserve">DL7. Do you work on the farm yourself?  </t>
  </si>
  <si>
    <t>DL18. Does the household possess a pressure cooker/pressure pan?</t>
  </si>
  <si>
    <t>DL19. Does the household possess a television?</t>
  </si>
  <si>
    <t>DL20. Does the household possess an electric fan?</t>
  </si>
  <si>
    <t>DL21. Does the household possess an almirah/dressing table?</t>
  </si>
  <si>
    <t>DL22. Does the household possess a chair, stool, bench, or table?</t>
  </si>
  <si>
    <t>DL23. Does the household possess a motorcycle, scooter, motor car, or jeep?</t>
  </si>
  <si>
    <t>MT2. Do you personally own a mobile phone?</t>
  </si>
  <si>
    <t>IF MT2=1 AND (FN1_2=1 OR FN1_3=1)</t>
  </si>
  <si>
    <t>AB4. Interviewer Number</t>
  </si>
  <si>
    <t>AB5. Interviewer Name</t>
  </si>
  <si>
    <t>AB8. Interviewer gender</t>
  </si>
  <si>
    <t>DG2. Is the respondent a male or a female?</t>
  </si>
  <si>
    <t>DL1. In the past 12 months, what were you mainly doing for work?</t>
  </si>
  <si>
    <t>Section 3: KNOW YOUR CUSTOMER DOCUMENTS
[READ OUT] My next questions are about documents that can be used to open a bank account.</t>
  </si>
  <si>
    <t>Section 6: GENDER
[READ OUT] My next questions are about spending decisions in your household.</t>
  </si>
  <si>
    <t>IF AD9_7=1</t>
  </si>
  <si>
    <t>IF FN1_1=1 AND AD9=1</t>
  </si>
  <si>
    <t>IF FN2_1=1 AND AD9=1</t>
  </si>
  <si>
    <t>IF FN3_1=1 AND AD9=1</t>
  </si>
  <si>
    <t>IF FN4_1=1 AND AD9=1</t>
  </si>
  <si>
    <t>IF FN5_1=1 AND AD9=1</t>
  </si>
  <si>
    <t>IF FN6_1=1 AND AD9=1</t>
  </si>
  <si>
    <t>IF UP2_3=1 AND AD9=1</t>
  </si>
  <si>
    <t>IF UP2_4=1 AND AD9=1</t>
  </si>
  <si>
    <t>IF UP2_5=1 AND AD9=1</t>
  </si>
  <si>
    <t>IF AD9_1=1</t>
  </si>
  <si>
    <t>IF AD9_2=1</t>
  </si>
  <si>
    <t>IF AD9_3=1</t>
  </si>
  <si>
    <t>IF AD9_4=1</t>
  </si>
  <si>
    <t>IF AD9_5=1</t>
  </si>
  <si>
    <t>IF AD9_6=1</t>
  </si>
  <si>
    <t>IF AD9_12=1</t>
  </si>
  <si>
    <t>IF AD9_13=1</t>
  </si>
  <si>
    <t>IF AD9_14=1</t>
  </si>
  <si>
    <t>AD10.19</t>
  </si>
  <si>
    <t>AD10.20</t>
  </si>
  <si>
    <t>AD10.21</t>
  </si>
  <si>
    <t>AD10.22</t>
  </si>
  <si>
    <t>AD10.23</t>
  </si>
  <si>
    <t>AD10.24</t>
  </si>
  <si>
    <t>AD10.25</t>
  </si>
  <si>
    <t>AD10.26</t>
  </si>
  <si>
    <t>AD10.27</t>
  </si>
  <si>
    <t>AD10.28</t>
  </si>
  <si>
    <t>AD10.29</t>
  </si>
  <si>
    <t>AD10.30</t>
  </si>
  <si>
    <t>AD10.31</t>
  </si>
  <si>
    <t>AD10.32</t>
  </si>
  <si>
    <t>AD10.33</t>
  </si>
  <si>
    <t>AD10.34</t>
  </si>
  <si>
    <t>AD10.35</t>
  </si>
  <si>
    <t>AD10.36</t>
  </si>
  <si>
    <t>AD10.37</t>
  </si>
  <si>
    <t>If FN1_1=1 AND AD10=1</t>
  </si>
  <si>
    <t>If FN2_1=1 AND AD10=1</t>
  </si>
  <si>
    <t>If FN3_1=1 AND AD10=1</t>
  </si>
  <si>
    <t>If FN4_1=1 AND AD10=1</t>
  </si>
  <si>
    <t>IF UP2_3=1 AND AD10=1</t>
  </si>
  <si>
    <t>IF UP2_4=1 AND AD10=1</t>
  </si>
  <si>
    <t>IF UP2_5=1 AND AD10=1</t>
  </si>
  <si>
    <t>IF UP2_6=1 AND AD10=1</t>
  </si>
  <si>
    <t>IF FN5_1=1 AND AD10=1</t>
  </si>
  <si>
    <t>IF FN6_1=1 AND AD10=1</t>
  </si>
  <si>
    <t>If AD10_19=1</t>
  </si>
  <si>
    <t>If AD10_20=1</t>
  </si>
  <si>
    <t>If AD10_21=1</t>
  </si>
  <si>
    <t>If AD10_22=1</t>
  </si>
  <si>
    <t>If AD10_23=1</t>
  </si>
  <si>
    <t>If AD10_24=1</t>
  </si>
  <si>
    <t>If AD10_25=1</t>
  </si>
  <si>
    <t>If AD10_26=1</t>
  </si>
  <si>
    <t>AD8.17</t>
  </si>
  <si>
    <t>IF AD8=1</t>
  </si>
  <si>
    <t>IF AD11_10=1</t>
  </si>
  <si>
    <t>IF AD11_11=1</t>
  </si>
  <si>
    <t>IF AD11_12=1</t>
  </si>
  <si>
    <t>IF AD11_13=1</t>
  </si>
  <si>
    <t>IF AD11_14=1</t>
  </si>
  <si>
    <t>IF AD11=1 AND FN5_1=1</t>
  </si>
  <si>
    <t>IF AD11=1 AND FN6_1=1</t>
  </si>
  <si>
    <t>IF AD11=1 AND FN1_1=1</t>
  </si>
  <si>
    <t>IF AD11=1 AND FN2_1=1</t>
  </si>
  <si>
    <t>IF AD11=1 AND FN3_1=1</t>
  </si>
  <si>
    <t>IF AD11=1 AND FN4_1=1</t>
  </si>
  <si>
    <t>IF AD11=1 AND UP2_3=1</t>
  </si>
  <si>
    <t>IF AD11=1 AND UP2_4=1</t>
  </si>
  <si>
    <t>IF AD11=1 AND UP2_5=1</t>
  </si>
  <si>
    <t>IF AD11=1 AND FN1_15=1</t>
  </si>
  <si>
    <t>1=Christianity
2=Islam
3=Sikhism
4=Hinduism
5=Buddhism
6=No religion
96=Other
-2=DK [DO NOT READ]</t>
  </si>
  <si>
    <t>DK [DO NOT READ]</t>
  </si>
  <si>
    <t>REF [DO NOT READ]</t>
  </si>
  <si>
    <t>FN1.16</t>
  </si>
  <si>
    <t>1=Primary or below, or not literate_x000D_
2=Middle_x000D_
3=Secondary or higher_x000D_
4=No female head/spouse_x000D_</t>
  </si>
  <si>
    <t xml:space="preserve">N/A
-2=DK </t>
  </si>
  <si>
    <t>MT6E</t>
  </si>
  <si>
    <t>1=Yes
2=No
-2=DK [DO NOT READ]</t>
  </si>
  <si>
    <t>UP15</t>
  </si>
  <si>
    <t>UP16</t>
  </si>
  <si>
    <t>FH1</t>
  </si>
  <si>
    <t>FH2</t>
  </si>
  <si>
    <t>FH3</t>
  </si>
  <si>
    <t>FH4</t>
  </si>
  <si>
    <t>FH5</t>
  </si>
  <si>
    <t>FH6</t>
  </si>
  <si>
    <t>FH7</t>
  </si>
  <si>
    <t>FH8</t>
  </si>
  <si>
    <t>FH9</t>
  </si>
  <si>
    <t>FH10</t>
  </si>
  <si>
    <t>FH11</t>
  </si>
  <si>
    <t>FH12</t>
  </si>
  <si>
    <t>Section HH: Definition of Household</t>
  </si>
  <si>
    <t>I.1.D2</t>
  </si>
  <si>
    <t>I.1.D3</t>
  </si>
  <si>
    <t>I.1.D4</t>
  </si>
  <si>
    <t>1=Male
2=Female</t>
  </si>
  <si>
    <t>I.2.D2</t>
  </si>
  <si>
    <t>I.2.D3</t>
  </si>
  <si>
    <t>I.2.D4</t>
  </si>
  <si>
    <t>I.3.D2</t>
  </si>
  <si>
    <t>I.3.D3</t>
  </si>
  <si>
    <t>I.3.D4</t>
  </si>
  <si>
    <t>I.4.D2</t>
  </si>
  <si>
    <t>I.4.D3</t>
  </si>
  <si>
    <t>I.4.D4</t>
  </si>
  <si>
    <t>I.5.D2</t>
  </si>
  <si>
    <t>I.5.D3</t>
  </si>
  <si>
    <t>I.5.D4</t>
  </si>
  <si>
    <t>I.6.D2</t>
  </si>
  <si>
    <t>I.6.D3</t>
  </si>
  <si>
    <t>I.6.D4</t>
  </si>
  <si>
    <t>I.7.D2</t>
  </si>
  <si>
    <t>I.7.D3</t>
  </si>
  <si>
    <t>I.7.D4</t>
  </si>
  <si>
    <t>I.8.D2</t>
  </si>
  <si>
    <t>I.8.D3</t>
  </si>
  <si>
    <t>I.8.D4</t>
  </si>
  <si>
    <t>I.9.D2</t>
  </si>
  <si>
    <t>I.9.D3</t>
  </si>
  <si>
    <t>I.9.D4</t>
  </si>
  <si>
    <t>I.10.D2</t>
  </si>
  <si>
    <t>I.10.D3</t>
  </si>
  <si>
    <t>I.10.D4</t>
  </si>
  <si>
    <t xml:space="preserve">1=Completed
2=Not at home at time of visit 
3=Refused
4=Incapacitated
96=Other (Specify) </t>
  </si>
  <si>
    <t>HH1</t>
  </si>
  <si>
    <t>HH2</t>
  </si>
  <si>
    <t>IF DL12A_1=1</t>
  </si>
  <si>
    <t>IF DL12A_2=1</t>
  </si>
  <si>
    <t>IF DL12A_3=1</t>
  </si>
  <si>
    <t>IF DL12A_4=1</t>
  </si>
  <si>
    <t>IF DL12_4=1 AND DG5_1=1</t>
  </si>
  <si>
    <t>IF DL12_3=1 AND DG5_1=1</t>
  </si>
  <si>
    <t>IF DL12_2=1 AND DG5_1=1</t>
  </si>
  <si>
    <t>IF DL12_1=1 AND DG5_1=1</t>
  </si>
  <si>
    <t>Section 1: DEMOGRAPHICS
[READ OUT] First I have a few basic questions.</t>
  </si>
  <si>
    <t>IF FN3_1=1</t>
  </si>
  <si>
    <t>MA3</t>
  </si>
  <si>
    <t>MA4</t>
  </si>
  <si>
    <t>MA5</t>
  </si>
  <si>
    <t>MA6</t>
  </si>
  <si>
    <t>MA7</t>
  </si>
  <si>
    <t>MA8</t>
  </si>
  <si>
    <t>MA9</t>
  </si>
  <si>
    <t>MA10</t>
  </si>
  <si>
    <t>PA1</t>
  </si>
  <si>
    <t>PA2</t>
  </si>
  <si>
    <t>PA3</t>
  </si>
  <si>
    <t>PA4</t>
  </si>
  <si>
    <t>PA5</t>
  </si>
  <si>
    <t>PA6</t>
  </si>
  <si>
    <t>PA7</t>
  </si>
  <si>
    <t>PA8</t>
  </si>
  <si>
    <t>PA9</t>
  </si>
  <si>
    <t>PA10</t>
  </si>
  <si>
    <t>FL19</t>
  </si>
  <si>
    <t>FL20</t>
  </si>
  <si>
    <t>FL21</t>
  </si>
  <si>
    <t>1=600
2=Other number
-2=DK</t>
  </si>
  <si>
    <t>NA</t>
  </si>
  <si>
    <t>IFI15.1A</t>
  </si>
  <si>
    <t>IFI15.1B</t>
  </si>
  <si>
    <t>IFI15.2A</t>
  </si>
  <si>
    <t>IFI15.2B</t>
  </si>
  <si>
    <t>IFI15.3A</t>
  </si>
  <si>
    <t>IFI15.3B</t>
  </si>
  <si>
    <t>IFI15.4A</t>
  </si>
  <si>
    <t>IFI15.4B</t>
  </si>
  <si>
    <t>IFI15.5A</t>
  </si>
  <si>
    <t>IFI15.5B</t>
  </si>
  <si>
    <t>IFI15.6A</t>
  </si>
  <si>
    <t>IFI15.6B</t>
  </si>
  <si>
    <t>IFI15.7A</t>
  </si>
  <si>
    <t>IFI15.7B</t>
  </si>
  <si>
    <t>IFI15.8A</t>
  </si>
  <si>
    <t>IFI15.8B</t>
  </si>
  <si>
    <t>IFI15.9A</t>
  </si>
  <si>
    <t>IFI15.9B</t>
  </si>
  <si>
    <t>1=Minutes
2=Hours
-2=DK [DO NOT READ]</t>
  </si>
  <si>
    <t>Section 4: HOUSEHOLD CHARACTERISTICS
[READ OUT] My next questions are about your household income and financial situation.</t>
  </si>
  <si>
    <t>Section 7: FINANCIAL HEALTH
[READ OUT] Now I have several more general questions about your financial situation.</t>
  </si>
  <si>
    <t>Section 8:  FINANCIAL LITERACY
[READ OUT] My next questions are about counting money.</t>
  </si>
  <si>
    <t>Section 9: MOBILE TECHNOLOGY
[READ OUT] My next questions are about mobile phones and technology.</t>
  </si>
  <si>
    <t xml:space="preserve">Section 12: FINANCIAL INSTITUTIONS
[READ OUT] My next questions are about different financial institutions and providers of financial services. These financial service providers include banks, the India Post Office Bank, payments banks, mobile money services, microfinance institutions (MFIs), self-help groups, and other ways that you might get financial services. </t>
  </si>
  <si>
    <t>Section 11: BASIC AND ADVANCED PHONE USE AND PROFICIENCY</t>
  </si>
  <si>
    <t>Section 10: SIM CARDS AND MOBILE NETWORKS</t>
  </si>
  <si>
    <t>Section 14: DIGITAL FINANCIAL SERVICES EXPERIENCE
[READ OUT] My next questions are about your experience using a mobile phone for payments.</t>
  </si>
  <si>
    <t>Section 15: MOBILE MONEY AGENT EXPERIENCE
[READ OUT] My next questions are about your experience using mobile money services.</t>
  </si>
  <si>
    <t>Section 16: PAYMENTS BANK EXPERIENCE
[READ OUT] My next questions are about your experience using payments bank services.</t>
  </si>
  <si>
    <t>Section 17: BANKING AGENT EXPERIENCE
[READ OUT] My next questions are about bank agents or business correspondents who work outside of regular bank branches. Bank agents use mobile phones, card readers and other mobile devices, computers, or Aadhaar technology to provide financial services. They can be used to deposit and withdraw cash and other bank services.</t>
  </si>
  <si>
    <t>You prefer to use other financial services</t>
  </si>
  <si>
    <t>You don't know enough about payments banks</t>
  </si>
  <si>
    <t>You don't need to use a payments bank</t>
  </si>
  <si>
    <t>You don't have enough money to use a payments bank</t>
  </si>
  <si>
    <t>You don't trust payments banks</t>
  </si>
  <si>
    <t>Fees and expenses for using payments banks are too high</t>
  </si>
  <si>
    <t>Section 19: PAYMENTS BANKS NON-USE
[READ OUT] Now I will read a list of reasons for why some people may decide to not use payments banks. For each one that I mention, please tell me whether or not this is a reason why you do not use mobile money.</t>
  </si>
  <si>
    <t>PB</t>
  </si>
  <si>
    <t>PB4.1</t>
  </si>
  <si>
    <t>PB4.2</t>
  </si>
  <si>
    <t>PB4.3</t>
  </si>
  <si>
    <t>PB4.4</t>
  </si>
  <si>
    <t>PB4.5</t>
  </si>
  <si>
    <t>PB4.6</t>
  </si>
  <si>
    <t>PB4.7</t>
  </si>
  <si>
    <t>LN1</t>
  </si>
  <si>
    <t xml:space="preserve">LN1.Can you read this text for me, please? </t>
  </si>
  <si>
    <t>PB4.8</t>
  </si>
  <si>
    <t>FN3_1=2</t>
  </si>
  <si>
    <t>Section 20: BANK NON-USE
[READ OUT] Now I will read a list of reasons why some people do not have bank accounts. For each one that I mention, please tell me whether or not it is a reason why you do not have a bank account.</t>
  </si>
  <si>
    <t>Section 22: MERCHANT PAYMENT
[READ OUT] Now I have some questions about how you buy goods and services.</t>
  </si>
  <si>
    <t>Section 23: BILL PAYMENT
[READ OUT] My next questions are about paying bills for the services that you use. I am interested in all types of bills that you pay, including ones that you pay monthly or at other regular times, and ones that you pay less frequently. Such bills might be for medical treatment, rent or housing, trash collection, electricity, water, solar power, satellite or cable television, or any other bill. Please think about all of the different bills you pay and the way that you pay them when you answer the next questions.</t>
  </si>
  <si>
    <t>Section 24: SCHOOL FEES
[READ OUT] My next questions are about paying fees for school, education, or training. The payments I have in mind include the cost of tuition for attending a school or taking a training course, or the cost of books, uniforms, supplies, payments to teachers or other educational expenses. Please keep all of these expenses in mind when you answer the following questions.</t>
  </si>
  <si>
    <t xml:space="preserve">Section 25: PAYMENTS TO THE GOVERNMENT
[READ OUT] Now I have some questions about payments to the government. These payment include all types of taxes, fines, fees, or other payments that the government requires. </t>
  </si>
  <si>
    <t>Section 26: PAYMENTS FROM THE GOVERNMENT
[READ OUT] The next questions are about receiving money from the government. Many people in India recieve money from the government for many different reasons. Payments could include government scheme benefits, tax refunds, educational stipends, subsidies, pensions, or other types of government payments. Please think about all the ways you have received money from the government when you answer the next questions.</t>
  </si>
  <si>
    <t>Section 27: RECEIVE WAGES
[READ OUT] The next question are about receiving payments or wages from an employer. Payments from employers include any money paid to you for work that you perform. I am interested in all kinds of payments from employers, including regular payments that you might recieve every week or month, and payments that you might recieve for specific tasks or jobs that you do when work is available or offered to you by an employer. Please keep all of these types of payments from employers in mind when you answer the next questions.</t>
  </si>
  <si>
    <t>Section 28: INSURANCE
[READ OUT] Now I would like to ask some questions about protecting oneself from risks to your health, life, and property. Some people have a pension or insurance to get income in their old age. Some people have insurance to pay for medical expenses or get income if they cannot work because they are sick or hurt. Others have insurance to protect valuable assets, such as crops, cars, property, cattle, and so on. Insurance may be provided through several different government schemes as well as purchased from private sources. Please think about all of these different ways of insuring yourself when you answer the next questions.</t>
  </si>
  <si>
    <t>Section 29: SAVING 
[READ OUT] Now I would like to ask some questions about saving money. There are many ways to save. Some people use banks or other financial institutions. Some keep cash somewhere at home, hidden in a safe place, or give it to a friend, family member, or other trusted person for safekeeping. Others buy things such as gold, property, livestock or other assets as a way to save. Please think about all of these ways of saving when you answer the next questions.</t>
  </si>
  <si>
    <t xml:space="preserve">Section 30: INVESTING
[READ OUT] The next questions are on investing, or putting money into a place where you expect it to increase as time goes by. There are many ways to invest money. Some people invest in their own business or the businesses of family, friends, or other acquaintances when they expect that the business will grow. Other people invest money by buying property, stocks, bonds, gold, artwork, or other things that they expect will increase in value in the future. Please think about all these types of investments when you answer the next questions. </t>
  </si>
  <si>
    <t>Section 31: BORROWING
[READ OUT] Many people borrow money from various sources such as friends, family, banks or other financial institutions to help meet their goals. Furthermore, people often purchase goods and services on credit and defer the payment to a later time. Please think about all these ways of borrowing when you answer the following questions.</t>
  </si>
  <si>
    <t>Section 32: PROXIMITY TO FINANCIAL POINTS OF SERVICE
[READ OUT] Now I have a few questions about the location of different financial service providers.</t>
  </si>
  <si>
    <t>SECTION 33. LITERACY
[READ OUT] I have just a few questions remaining before we finish.</t>
  </si>
  <si>
    <t>1=2,200 Rs
2=Any other answer
-2=DK</t>
  </si>
  <si>
    <t>1=200 Rs
2= Any other answer
-2=DK</t>
  </si>
  <si>
    <t>AA6. Town/village</t>
  </si>
  <si>
    <t>AA7. Town/village class</t>
  </si>
  <si>
    <t xml:space="preserve">1=105 Rs
2=100 Rs plus 3 percent
-2=DK [DO NOT READ] </t>
  </si>
  <si>
    <t>1=Never
2=Rarely
3=A few times a month
4=A few times a week
5=Every day</t>
  </si>
  <si>
    <t>Make a financial transaction such as send or receive money, or make a payment, or a bank transaction</t>
  </si>
  <si>
    <t>PB0</t>
  </si>
  <si>
    <t>BA2</t>
  </si>
  <si>
    <t>BA3.1</t>
  </si>
  <si>
    <t>BA3.2</t>
  </si>
  <si>
    <t>BA3.3</t>
  </si>
  <si>
    <t>BA3.4</t>
  </si>
  <si>
    <t>BA3.5</t>
  </si>
  <si>
    <t>BA3.6</t>
  </si>
  <si>
    <t>BA3.7</t>
  </si>
  <si>
    <t>BA3.8</t>
  </si>
  <si>
    <t>BA3.9</t>
  </si>
  <si>
    <t>BA3.10</t>
  </si>
  <si>
    <t>Agent’s place was not secure or there were suspicious people at agent’s place</t>
  </si>
  <si>
    <t>Agent shared your personal or account information with other people without your knowledge or permission</t>
  </si>
  <si>
    <t>MM12.8</t>
  </si>
  <si>
    <t>FGN1</t>
  </si>
  <si>
    <t>FGN2</t>
  </si>
  <si>
    <t xml:space="preserve">Section 13: UNIFIED PAYMENTS INTERFACE
[READ OUT] Now I have some questions about technology and payments. By a payment I mean giving, sending or receiving any amount of money to or from someone else, including friends, family and other people or institutions. Payment also means paying for things or services. Please think of all the ways that you use money when you answer the following questions. </t>
  </si>
  <si>
    <t xml:space="preserve">1=Exactly 150 Rs
2=More than 150 Rs
3=Less than 150 Rs
-2=DK [DO NOT READ] </t>
  </si>
  <si>
    <t>MT17.4</t>
  </si>
  <si>
    <t>MT17.8</t>
  </si>
  <si>
    <t>IF FN3_2=1 AND sysmis(FN3_3_1) AND sysmis(FN3_3_2) AND sysmis(FN3_3_3) AND sysmis(FN3_3_4) AND sysmis(FN3_3_5) AND sysmis(FN3_3_6)</t>
  </si>
  <si>
    <t>IF FN3_2=1 AND PB1_1=1</t>
  </si>
  <si>
    <t>IF DL1&lt;=5 AND DL1&gt;0</t>
  </si>
  <si>
    <t>IF FN3_2=1 AND PB1_2=1</t>
  </si>
  <si>
    <t>IF FN3_2=1 AND PB1_3=1</t>
  </si>
  <si>
    <t>IF FN3_2=1 AND PB1_4=1</t>
  </si>
  <si>
    <t>IF FN3_2=1 AND PB1_5=1</t>
  </si>
  <si>
    <t>IF FN3_2=1 AND PB1_6=1</t>
  </si>
  <si>
    <t>MM0</t>
  </si>
  <si>
    <t>a chit fund</t>
  </si>
  <si>
    <t xml:space="preserve">1=Almost always
2=Often
3=Sometimes
4=Rarely
5=Almost never
6=No deadline [DO NOT READ]
-3=REF [DO NOT READ]
-2=DK [DO NOT READ] </t>
  </si>
  <si>
    <t>AD9.25</t>
  </si>
  <si>
    <t>AD9.26</t>
  </si>
  <si>
    <t>AD9.27</t>
  </si>
  <si>
    <t>AD9.28</t>
  </si>
  <si>
    <t>IF AD9_8=1</t>
  </si>
  <si>
    <t>IF AD9_9=1</t>
  </si>
  <si>
    <t>IF AD9_10=1</t>
  </si>
  <si>
    <t>IF AD9_11=1</t>
  </si>
  <si>
    <t>Section 18: MOBILE MONEY NON-USE
[READ OUT] Now I will read a list of reasons for why some people may decide not to use mobile money services. For each one that I mention, please tell me whether or not this is a reason why you do not use mobile money.</t>
  </si>
  <si>
    <t>Section 21: SEND AND RECEIVE MONEY
[READ OUT] Now I have some questions about sending money to, or receiving money from other people. The sender or recipient can be anywhere in India or in a foreign country.</t>
  </si>
  <si>
    <t>AD10.38</t>
  </si>
  <si>
    <t>AD10.39</t>
  </si>
  <si>
    <t>IF AD10_9=1</t>
  </si>
  <si>
    <t>If AD10_27=1</t>
  </si>
  <si>
    <t>If AD10_28=1</t>
  </si>
  <si>
    <t>IF IFI15_1A&gt;0</t>
  </si>
  <si>
    <t>IF IFI15_2A&gt;0</t>
  </si>
  <si>
    <t>IF IFI15_3A&gt;0</t>
  </si>
  <si>
    <t>IF IFI15_7A&gt;0</t>
  </si>
  <si>
    <t>IF IFI15_8A&gt;0</t>
  </si>
  <si>
    <t>IF IFI15_4A&gt;0</t>
  </si>
  <si>
    <t>IF IFI15_5A&gt;0</t>
  </si>
  <si>
    <t>IF IFI15_6A&gt;0</t>
  </si>
  <si>
    <t>IF IFI15_9A&gt;0</t>
  </si>
  <si>
    <t>1=Single/never married
2=Married
3=Divorced/Separated
4=Widowed
5=Living together/Cohabiting
96=Other
-2=DK [DO NOT READ]</t>
  </si>
  <si>
    <t>1=Me
2=My spouse
3=My son/daughter (including in-laws)
4=My father/mother (including in-laws)
5=My sister/brother (including in-laws)
6=My grandchild
7=My grandfather/grandmother
8=My other relative
9=My non-relative
-2=DK [DO NOT READ]</t>
  </si>
  <si>
    <t>IF FN4_2=1 AND sysmis(FN4_3_1) AND sysmis(FN4_3_2)</t>
  </si>
  <si>
    <t>MA0</t>
  </si>
  <si>
    <t>IF MA0=1</t>
  </si>
  <si>
    <t>PA0</t>
  </si>
  <si>
    <t>IF PA0=1</t>
  </si>
  <si>
    <t>Unemployment or income insurance to pay you if you lose your job</t>
  </si>
  <si>
    <t>IF (MM1_1=1 OR MM1_2=1 OR MM1_3=1) AND FN4_1=2</t>
  </si>
  <si>
    <t>AA5.Ward</t>
  </si>
  <si>
    <t>AA9.Cluster number</t>
  </si>
  <si>
    <t>AA10.(To be) Accompanied by supervisor</t>
  </si>
  <si>
    <t>AA8.Location number</t>
  </si>
  <si>
    <t>IF PB1_1=1 OR PB1_2=1 OR PB1_3=1 OR PB1_4=1 OR PB1_5=1 OR PB1_6=1 OR PB1_7=1</t>
  </si>
  <si>
    <t>IF MM1_1=1 OR MM1_2=1 OR MM1_3=1</t>
  </si>
  <si>
    <t>IF UP2_1=1 AND (UP1_1=1 OR UP1_2=1 OR UP1_3=1 OR UP1_4=1 OR UP1_5=1 OR UP1_6=1 OR UP1_7=1 OR UP1_8=1)</t>
  </si>
  <si>
    <t>I.1.D2.Names of Household Member</t>
  </si>
  <si>
    <t>I.2.D2.Names of Household Member</t>
  </si>
  <si>
    <t>I.3.D2.Names of Household Member</t>
  </si>
  <si>
    <t>I.4.D2.Names of Household Member</t>
  </si>
  <si>
    <t>I.5.D2.Names of Household Member</t>
  </si>
  <si>
    <t>I.6.D2.Names of Household Member</t>
  </si>
  <si>
    <t>I.8.D2.Names of Household Member</t>
  </si>
  <si>
    <t>I.9.D2.Names of Household Member</t>
  </si>
  <si>
    <t>I.10.D2.Names of Household Member</t>
  </si>
  <si>
    <t>I.7.D2.Names of Household Member</t>
  </si>
  <si>
    <t>1=5
2=3
3=7
4=2
5=9
6=4
-2=DK</t>
  </si>
  <si>
    <t>1=1080 Rs.
2=10800 Rs.
3=1008 Rs.
4=80010 Rs.
5=8100 Rs.
-2=DK</t>
  </si>
  <si>
    <t>1=We don't have enough money for food
2=We have enough money for food, but buying clothes is difficult
3=We have enough money for food and clothes, and can save a bit, but not enough to buy expensive goods such as a TV set or a refrigerator
4=We can afford to buy certain expensive goods such as a TV set or a refrigerator
5=We can afford to buy whatever we want
-2=DK</t>
  </si>
  <si>
    <t>1=Completed
2=No household member or no competent respondent at home at time of visit
3=Entire household absent for extended period of time
4=Refused
96=Other (Specify)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</si>
</sst>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0"/>
      <name val="Arial"/>
      <family val="2"/>
    </font>
    <font>
      <b/>
      <sz val="11"/>
      <color theme="1"/>
      <name val="Calibri"/>
      <family val="2"/>
      <scheme val="minor"/>
    </font>
    <font>
      <b/>
      <sz val="10"/>
      <color theme="1"/>
      <name val="Arial"/>
      <family val="2"/>
    </font>
    <font>
      <sz val="10"/>
      <color theme="1"/>
      <name val="Arial"/>
      <family val="2"/>
    </font>
    <font>
      <sz val="9"/>
      <color theme="1"/>
      <name val="Arial"/>
      <family val="2"/>
    </font>
    <font>
      <sz val="11"/>
      <color theme="1"/>
      <name val="Arial"/>
      <family val="2"/>
    </font>
    <font>
      <sz val="10"/>
      <name val="Arial"/>
      <family val="2"/>
    </font>
    <font>
      <b/>
      <sz val="10"/>
      <color rgb="FF000000"/>
      <name val="Arial"/>
      <family val="2"/>
    </font>
    <font>
      <sz val="10"/>
      <color rgb="FF000000"/>
      <name val="Arial"/>
      <family val="2"/>
    </font>
    <font>
      <sz val="11"/>
      <color rgb="FF000000"/>
      <name val="Arial"/>
      <family val="2"/>
    </font>
    <font>
      <sz val="11"/>
      <name val="Calibri"/>
      <family val="2"/>
      <scheme val="minor"/>
    </font>
    <font>
      <u/>
      <sz val="11"/>
      <color theme="10"/>
      <name val="Calibri"/>
      <family val="2"/>
      <scheme val="minor"/>
    </font>
    <font>
      <sz val="11"/>
      <color rgb="FF000000"/>
      <name val="Calibri"/>
      <family val="2"/>
      <scheme val="minor"/>
    </font>
    <font>
      <sz val="11"/>
      <color rgb="FF000000"/>
      <name val="Shonar Bangla"/>
      <family val="2"/>
    </font>
    <font>
      <sz val="10"/>
      <color theme="1"/>
      <name val="Calibri"/>
      <family val="2"/>
      <scheme val="minor"/>
    </font>
    <font>
      <u/>
      <sz val="10"/>
      <color theme="10"/>
      <name val="Calibri"/>
      <family val="2"/>
      <scheme val="minor"/>
    </font>
    <font>
      <sz val="11"/>
      <name val="Arial"/>
      <family val="2"/>
    </font>
    <font>
      <b/>
      <sz val="11"/>
      <color theme="1"/>
      <name val="Arial"/>
      <family val="2"/>
    </font>
    <font>
      <sz val="9"/>
      <color rgb="FFFF0000"/>
      <name val="Arial"/>
      <family val="2"/>
    </font>
    <font>
      <sz val="11"/>
      <color rgb="FFFF0000"/>
      <name val="Arial"/>
      <family val="2"/>
    </font>
    <font>
      <sz val="9"/>
      <color indexed="81"/>
      <name val="Tahoma"/>
      <family val="2"/>
    </font>
    <font>
      <b/>
      <sz val="9"/>
      <color indexed="81"/>
      <name val="Tahoma"/>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92D050"/>
        <bgColor indexed="64"/>
      </patternFill>
    </fill>
    <fill>
      <patternFill patternType="solid">
        <fgColor theme="7"/>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00B0F0"/>
        <bgColor indexed="64"/>
      </patternFill>
    </fill>
    <fill>
      <patternFill patternType="solid">
        <fgColor rgb="FFFFCCCC"/>
        <bgColor indexed="64"/>
      </patternFill>
    </fill>
    <fill>
      <patternFill patternType="solid">
        <fgColor rgb="FFCCCCFF"/>
        <bgColor indexed="64"/>
      </patternFill>
    </fill>
    <fill>
      <patternFill patternType="solid">
        <fgColor rgb="FFCCECFF"/>
        <bgColor indexed="64"/>
      </patternFill>
    </fill>
  </fills>
  <borders count="19">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73">
    <xf numFmtId="0" fontId="0" fillId="0" borderId="0" xfId="0"/>
    <xf numFmtId="0" fontId="5" fillId="0" borderId="0" xfId="0" applyFont="1" applyAlignment="1">
      <alignment vertical="center"/>
    </xf>
    <xf numFmtId="0" fontId="2" fillId="4" borderId="0" xfId="0" applyFont="1" applyFill="1"/>
    <xf numFmtId="0" fontId="6" fillId="0" borderId="0" xfId="0" applyFont="1" applyAlignment="1">
      <alignment vertical="center"/>
    </xf>
    <xf numFmtId="0" fontId="3" fillId="0" borderId="1" xfId="0" applyFont="1" applyBorder="1" applyAlignment="1">
      <alignment horizontal="center" vertical="center"/>
    </xf>
    <xf numFmtId="0" fontId="4" fillId="0" borderId="1" xfId="0" applyFont="1" applyBorder="1" applyAlignment="1">
      <alignment horizontal="left"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0" fillId="4" borderId="0" xfId="0" applyFill="1"/>
    <xf numFmtId="0" fontId="10" fillId="0" borderId="0" xfId="0" applyFont="1" applyAlignment="1">
      <alignment vertical="center" wrapText="1"/>
    </xf>
    <xf numFmtId="0" fontId="11" fillId="0" borderId="0" xfId="0" applyFont="1"/>
    <xf numFmtId="0" fontId="10" fillId="0" borderId="0" xfId="0" applyFont="1" applyAlignment="1">
      <alignment vertical="center"/>
    </xf>
    <xf numFmtId="0" fontId="0" fillId="0" borderId="0" xfId="0" applyAlignment="1">
      <alignment wrapText="1"/>
    </xf>
    <xf numFmtId="0" fontId="4" fillId="0" borderId="0" xfId="0" applyFont="1" applyAlignment="1">
      <alignment vertical="center" wrapText="1"/>
    </xf>
    <xf numFmtId="0" fontId="13" fillId="0" borderId="0" xfId="0" applyFont="1"/>
    <xf numFmtId="0" fontId="13" fillId="5" borderId="0" xfId="0" applyFont="1" applyFill="1"/>
    <xf numFmtId="0" fontId="0" fillId="5" borderId="0" xfId="0" applyFill="1"/>
    <xf numFmtId="0" fontId="14" fillId="0" borderId="0" xfId="0" applyFont="1"/>
    <xf numFmtId="0" fontId="13" fillId="8" borderId="0" xfId="0" applyFont="1" applyFill="1"/>
    <xf numFmtId="0" fontId="4" fillId="0" borderId="0" xfId="0" applyFont="1" applyAlignment="1">
      <alignment vertical="center"/>
    </xf>
    <xf numFmtId="0" fontId="15" fillId="0" borderId="0" xfId="0" applyFont="1"/>
    <xf numFmtId="0" fontId="17" fillId="0" borderId="0" xfId="0" applyFont="1" applyAlignment="1">
      <alignment vertical="center"/>
    </xf>
    <xf numFmtId="0" fontId="5" fillId="0" borderId="0" xfId="0" applyFont="1" applyAlignment="1">
      <alignment horizontal="center" vertical="center"/>
    </xf>
    <xf numFmtId="0" fontId="3" fillId="2" borderId="0" xfId="0" applyFont="1" applyFill="1" applyAlignment="1">
      <alignment horizontal="left" vertical="center"/>
    </xf>
    <xf numFmtId="0" fontId="3" fillId="2" borderId="0" xfId="0" applyFont="1" applyFill="1" applyAlignment="1">
      <alignment horizontal="center" vertical="center"/>
    </xf>
    <xf numFmtId="0" fontId="5" fillId="0" borderId="0" xfId="0" applyFont="1"/>
    <xf numFmtId="0" fontId="5" fillId="0" borderId="0" xfId="0" applyFont="1" applyAlignment="1">
      <alignment horizontal="left" vertical="center"/>
    </xf>
    <xf numFmtId="0" fontId="6" fillId="0" borderId="0" xfId="0" applyFont="1" applyAlignment="1">
      <alignment vertical="center" wrapText="1"/>
    </xf>
    <xf numFmtId="0" fontId="18" fillId="0" borderId="0" xfId="0" applyFont="1" applyAlignment="1">
      <alignment horizontal="center" vertical="center" wrapText="1"/>
    </xf>
    <xf numFmtId="0" fontId="15" fillId="0" borderId="0" xfId="0" applyFont="1" applyAlignment="1">
      <alignment wrapText="1"/>
    </xf>
    <xf numFmtId="0" fontId="11" fillId="0" borderId="0" xfId="0" applyFont="1" applyAlignment="1">
      <alignment wrapText="1"/>
    </xf>
    <xf numFmtId="0" fontId="19" fillId="0" borderId="0" xfId="0" applyFont="1" applyAlignment="1">
      <alignment horizontal="center" vertical="center"/>
    </xf>
    <xf numFmtId="0" fontId="0" fillId="9" borderId="0" xfId="0" applyFill="1" applyAlignment="1">
      <alignment wrapText="1"/>
    </xf>
    <xf numFmtId="0" fontId="0" fillId="9" borderId="0" xfId="0" applyFill="1"/>
    <xf numFmtId="0" fontId="6" fillId="0" borderId="0" xfId="0" applyFont="1" applyBorder="1" applyAlignment="1">
      <alignment vertical="center" wrapText="1"/>
    </xf>
    <xf numFmtId="0" fontId="4" fillId="0" borderId="0" xfId="0" applyFont="1" applyBorder="1" applyAlignment="1">
      <alignment vertical="center" wrapText="1"/>
    </xf>
    <xf numFmtId="0" fontId="6" fillId="0" borderId="0" xfId="0" applyFont="1" applyBorder="1" applyAlignment="1">
      <alignment vertical="center"/>
    </xf>
    <xf numFmtId="0" fontId="0" fillId="7" borderId="0" xfId="0" applyFill="1" applyBorder="1"/>
    <xf numFmtId="0" fontId="15" fillId="0" borderId="0" xfId="0" applyFont="1" applyBorder="1" applyAlignment="1">
      <alignment wrapText="1"/>
    </xf>
    <xf numFmtId="0" fontId="15" fillId="0" borderId="0" xfId="0" applyFont="1" applyBorder="1"/>
    <xf numFmtId="0" fontId="4" fillId="0" borderId="0" xfId="0" applyFont="1" applyBorder="1" applyAlignment="1">
      <alignment vertical="center"/>
    </xf>
    <xf numFmtId="0" fontId="6" fillId="0" borderId="0" xfId="0" applyFont="1" applyFill="1" applyBorder="1" applyAlignment="1">
      <alignment vertical="center" wrapText="1"/>
    </xf>
    <xf numFmtId="0" fontId="0" fillId="0" borderId="0" xfId="0" applyFill="1" applyBorder="1" applyAlignment="1">
      <alignment wrapText="1"/>
    </xf>
    <xf numFmtId="0" fontId="6" fillId="0" borderId="0" xfId="0" applyFont="1" applyFill="1" applyAlignment="1">
      <alignment vertical="center" wrapText="1"/>
    </xf>
    <xf numFmtId="0" fontId="4" fillId="0" borderId="1" xfId="0" applyFont="1" applyFill="1" applyBorder="1" applyAlignment="1">
      <alignment vertical="center" wrapText="1"/>
    </xf>
    <xf numFmtId="0" fontId="2" fillId="4" borderId="0" xfId="0" applyFont="1" applyFill="1" applyAlignment="1"/>
    <xf numFmtId="0" fontId="0" fillId="0" borderId="0" xfId="0" applyAlignment="1"/>
    <xf numFmtId="0" fontId="0" fillId="5" borderId="0" xfId="0" applyFill="1" applyAlignment="1"/>
    <xf numFmtId="0" fontId="0" fillId="0" borderId="0" xfId="0" applyFont="1" applyFill="1" applyAlignment="1"/>
    <xf numFmtId="0" fontId="5" fillId="0" borderId="0" xfId="0" applyFont="1" applyBorder="1" applyAlignment="1">
      <alignment vertical="center"/>
    </xf>
    <xf numFmtId="0" fontId="13" fillId="0" borderId="0" xfId="0" applyFont="1" applyAlignment="1"/>
    <xf numFmtId="0" fontId="5" fillId="0" borderId="3" xfId="0" applyFont="1" applyBorder="1" applyAlignment="1">
      <alignment vertical="center"/>
    </xf>
    <xf numFmtId="0" fontId="0" fillId="0" borderId="0" xfId="0" applyBorder="1" applyAlignment="1">
      <alignment horizontal="left" wrapText="1"/>
    </xf>
    <xf numFmtId="0" fontId="5" fillId="0" borderId="5" xfId="0" applyFont="1" applyBorder="1" applyAlignment="1">
      <alignment vertical="center"/>
    </xf>
    <xf numFmtId="0" fontId="5" fillId="0" borderId="7" xfId="0" applyFont="1" applyBorder="1" applyAlignment="1">
      <alignment vertical="center"/>
    </xf>
    <xf numFmtId="0" fontId="0" fillId="0" borderId="0" xfId="0" applyBorder="1" applyAlignment="1">
      <alignment horizontal="left" vertical="top" wrapText="1"/>
    </xf>
    <xf numFmtId="0" fontId="5" fillId="0" borderId="0" xfId="0" applyFont="1" applyBorder="1" applyAlignment="1">
      <alignment vertical="center" wrapText="1"/>
    </xf>
    <xf numFmtId="0" fontId="5" fillId="0" borderId="11" xfId="0" applyFont="1" applyBorder="1" applyAlignment="1">
      <alignment vertical="center"/>
    </xf>
    <xf numFmtId="0" fontId="5" fillId="0" borderId="13" xfId="0" applyFont="1" applyBorder="1" applyAlignment="1">
      <alignment vertical="center"/>
    </xf>
    <xf numFmtId="0" fontId="5" fillId="0" borderId="14" xfId="0" applyFont="1" applyBorder="1" applyAlignment="1">
      <alignment vertical="center"/>
    </xf>
    <xf numFmtId="0" fontId="3" fillId="0" borderId="1" xfId="0" applyFont="1" applyFill="1" applyBorder="1" applyAlignment="1">
      <alignment horizontal="center" vertical="center"/>
    </xf>
    <xf numFmtId="0" fontId="4" fillId="0" borderId="1"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0" fontId="15" fillId="0" borderId="0" xfId="0" applyFont="1" applyFill="1" applyBorder="1"/>
    <xf numFmtId="0" fontId="0" fillId="0" borderId="0" xfId="0" applyBorder="1" applyAlignment="1">
      <alignment wrapText="1"/>
    </xf>
    <xf numFmtId="0" fontId="0" fillId="0" borderId="0" xfId="0" applyBorder="1"/>
    <xf numFmtId="0" fontId="6" fillId="0" borderId="2" xfId="0" applyFont="1" applyFill="1" applyBorder="1" applyAlignment="1">
      <alignment vertical="center" wrapText="1"/>
    </xf>
    <xf numFmtId="0" fontId="6" fillId="0" borderId="2" xfId="0" applyFont="1" applyBorder="1" applyAlignment="1">
      <alignment vertical="center" wrapText="1"/>
    </xf>
    <xf numFmtId="0" fontId="10" fillId="0" borderId="0" xfId="0" applyFont="1" applyFill="1" applyBorder="1" applyAlignment="1">
      <alignment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9"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7" fillId="0" borderId="1" xfId="0" applyFont="1" applyFill="1" applyBorder="1" applyAlignment="1">
      <alignment horizontal="left" vertical="center" wrapText="1"/>
    </xf>
    <xf numFmtId="0" fontId="0" fillId="0" borderId="0" xfId="0" applyFill="1" applyBorder="1" applyAlignment="1">
      <alignment vertical="center" wrapText="1"/>
    </xf>
    <xf numFmtId="0" fontId="1" fillId="0" borderId="1" xfId="0" applyFont="1" applyBorder="1" applyAlignment="1">
      <alignment horizontal="center" vertical="center"/>
    </xf>
    <xf numFmtId="0" fontId="7" fillId="0" borderId="1" xfId="0" applyFont="1" applyFill="1" applyBorder="1" applyAlignment="1">
      <alignment vertical="center" wrapText="1"/>
    </xf>
    <xf numFmtId="0" fontId="4" fillId="0" borderId="0" xfId="0" applyFont="1" applyFill="1" applyAlignment="1">
      <alignment vertical="center" wrapText="1"/>
    </xf>
    <xf numFmtId="0" fontId="4" fillId="0" borderId="0" xfId="0" applyFont="1" applyFill="1" applyAlignment="1">
      <alignment vertical="center"/>
    </xf>
    <xf numFmtId="0" fontId="10" fillId="0" borderId="0" xfId="0" applyFont="1" applyFill="1" applyAlignment="1">
      <alignment vertical="center" wrapText="1"/>
    </xf>
    <xf numFmtId="0" fontId="20" fillId="0" borderId="0" xfId="0" applyFont="1" applyFill="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9" borderId="1" xfId="0" applyFont="1" applyFill="1" applyBorder="1" applyAlignment="1">
      <alignment vertical="center" wrapText="1"/>
    </xf>
    <xf numFmtId="0" fontId="7" fillId="0" borderId="1" xfId="0" applyFont="1" applyBorder="1" applyAlignment="1">
      <alignment vertical="center" wrapText="1"/>
    </xf>
    <xf numFmtId="0" fontId="16" fillId="0" borderId="1" xfId="1" applyFont="1" applyBorder="1" applyAlignment="1">
      <alignment vertical="center" wrapText="1"/>
    </xf>
    <xf numFmtId="0" fontId="3" fillId="2" borderId="1" xfId="0" applyFont="1" applyFill="1" applyBorder="1" applyAlignment="1">
      <alignment vertical="center"/>
    </xf>
    <xf numFmtId="0" fontId="4" fillId="0" borderId="1" xfId="0" applyFont="1" applyFill="1" applyBorder="1" applyAlignment="1">
      <alignment horizontal="left" vertical="center" wrapText="1"/>
    </xf>
    <xf numFmtId="0" fontId="3" fillId="6" borderId="1" xfId="0" applyFont="1" applyFill="1" applyBorder="1" applyAlignment="1">
      <alignment horizontal="center" vertical="center"/>
    </xf>
    <xf numFmtId="0" fontId="4" fillId="6" borderId="1" xfId="0" applyFont="1" applyFill="1" applyBorder="1" applyAlignment="1">
      <alignment vertical="center" wrapText="1"/>
    </xf>
    <xf numFmtId="0" fontId="16" fillId="0" borderId="1" xfId="1" applyFont="1" applyFill="1" applyBorder="1" applyAlignment="1">
      <alignment vertical="center" wrapText="1"/>
    </xf>
    <xf numFmtId="0" fontId="16" fillId="0" borderId="1" xfId="1" applyFont="1" applyFill="1" applyBorder="1" applyAlignment="1">
      <alignment vertical="center"/>
    </xf>
    <xf numFmtId="0" fontId="4" fillId="7" borderId="1" xfId="0" applyFont="1" applyFill="1" applyBorder="1" applyAlignment="1">
      <alignment vertical="center" wrapText="1"/>
    </xf>
    <xf numFmtId="0" fontId="4" fillId="0" borderId="1" xfId="0" applyFont="1" applyFill="1" applyBorder="1" applyAlignment="1">
      <alignment horizontal="left" vertical="center"/>
    </xf>
    <xf numFmtId="0" fontId="7" fillId="0" borderId="1" xfId="0" applyFont="1" applyBorder="1" applyAlignment="1">
      <alignment horizontal="left" vertical="center" wrapText="1"/>
    </xf>
    <xf numFmtId="0" fontId="9" fillId="0" borderId="1" xfId="0" applyFont="1" applyBorder="1" applyAlignment="1">
      <alignment vertical="center" wrapText="1"/>
    </xf>
    <xf numFmtId="0" fontId="3" fillId="9"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left" vertical="center" wrapText="1"/>
    </xf>
    <xf numFmtId="0" fontId="7" fillId="0" borderId="1" xfId="0" applyFont="1" applyFill="1" applyBorder="1" applyAlignment="1">
      <alignment horizontal="left" vertical="center"/>
    </xf>
    <xf numFmtId="0" fontId="0" fillId="0" borderId="1" xfId="0" applyBorder="1"/>
    <xf numFmtId="0" fontId="4" fillId="1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0" xfId="0" applyFont="1" applyBorder="1" applyAlignment="1">
      <alignment horizontal="center" vertical="center"/>
    </xf>
    <xf numFmtId="0" fontId="3" fillId="0" borderId="16" xfId="0" applyFont="1" applyFill="1" applyBorder="1" applyAlignment="1">
      <alignment horizontal="center" vertical="center"/>
    </xf>
    <xf numFmtId="0" fontId="4" fillId="0" borderId="16" xfId="0" applyFont="1" applyBorder="1" applyAlignment="1">
      <alignment vertical="center"/>
    </xf>
    <xf numFmtId="0" fontId="3" fillId="0" borderId="16" xfId="0" applyFont="1" applyBorder="1" applyAlignment="1">
      <alignment horizontal="center" vertical="center"/>
    </xf>
    <xf numFmtId="0" fontId="4" fillId="0" borderId="17"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horizontal="center" vertical="center"/>
    </xf>
    <xf numFmtId="0" fontId="4" fillId="8" borderId="1" xfId="0" applyFont="1" applyFill="1" applyBorder="1" applyAlignment="1">
      <alignment vertical="center" wrapText="1"/>
    </xf>
    <xf numFmtId="0" fontId="4" fillId="8" borderId="16" xfId="0" applyFont="1" applyFill="1" applyBorder="1" applyAlignment="1">
      <alignment vertical="center" wrapText="1"/>
    </xf>
    <xf numFmtId="0" fontId="7" fillId="8" borderId="1" xfId="0" applyFont="1" applyFill="1" applyBorder="1" applyAlignment="1">
      <alignment vertical="center" wrapText="1"/>
    </xf>
    <xf numFmtId="0" fontId="1" fillId="8" borderId="1" xfId="0" applyFont="1" applyFill="1" applyBorder="1" applyAlignment="1">
      <alignment horizontal="center" vertical="center"/>
    </xf>
    <xf numFmtId="0" fontId="7"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3" fillId="8" borderId="1" xfId="0" applyFont="1" applyFill="1" applyBorder="1" applyAlignment="1">
      <alignment horizontal="center" vertical="center"/>
    </xf>
    <xf numFmtId="0" fontId="4" fillId="8" borderId="18" xfId="0" applyFont="1" applyFill="1" applyBorder="1" applyAlignment="1">
      <alignment vertical="center" wrapText="1"/>
    </xf>
    <xf numFmtId="0" fontId="7" fillId="8" borderId="18" xfId="0" applyFont="1" applyFill="1" applyBorder="1" applyAlignment="1">
      <alignment vertical="center" wrapText="1"/>
    </xf>
    <xf numFmtId="0" fontId="1" fillId="8" borderId="18" xfId="0" applyFont="1" applyFill="1" applyBorder="1" applyAlignment="1">
      <alignment horizontal="center" vertical="center"/>
    </xf>
    <xf numFmtId="0" fontId="0" fillId="8" borderId="0" xfId="0" applyFill="1" applyAlignment="1"/>
    <xf numFmtId="0" fontId="9" fillId="8" borderId="1" xfId="0" applyFont="1" applyFill="1" applyBorder="1" applyAlignment="1">
      <alignment vertical="center" wrapText="1"/>
    </xf>
    <xf numFmtId="0" fontId="7" fillId="4" borderId="1" xfId="0" applyFont="1" applyFill="1" applyBorder="1" applyAlignment="1">
      <alignment horizontal="left" vertical="center" wrapText="1"/>
    </xf>
    <xf numFmtId="0" fontId="8" fillId="4" borderId="1" xfId="0" applyFont="1" applyFill="1" applyBorder="1" applyAlignment="1">
      <alignment horizontal="center" vertical="center"/>
    </xf>
    <xf numFmtId="0" fontId="9" fillId="4" borderId="1" xfId="0" applyFont="1" applyFill="1" applyBorder="1" applyAlignment="1">
      <alignment vertical="center" wrapText="1"/>
    </xf>
    <xf numFmtId="0" fontId="7" fillId="4" borderId="1" xfId="0" applyFont="1" applyFill="1" applyBorder="1" applyAlignment="1">
      <alignment vertical="center" wrapText="1"/>
    </xf>
    <xf numFmtId="0" fontId="1" fillId="4" borderId="1" xfId="0" applyFont="1" applyFill="1" applyBorder="1" applyAlignment="1">
      <alignment horizontal="center" vertical="center"/>
    </xf>
    <xf numFmtId="0" fontId="4" fillId="4" borderId="1" xfId="0" applyFont="1" applyFill="1" applyBorder="1" applyAlignment="1">
      <alignment horizontal="left" vertical="center" wrapText="1"/>
    </xf>
    <xf numFmtId="0" fontId="4" fillId="11" borderId="1" xfId="0" applyFont="1" applyFill="1" applyBorder="1" applyAlignment="1">
      <alignment vertical="center" wrapText="1"/>
    </xf>
    <xf numFmtId="0" fontId="4" fillId="12" borderId="1" xfId="0" applyFont="1" applyFill="1" applyBorder="1" applyAlignment="1">
      <alignment vertical="center" wrapText="1"/>
    </xf>
    <xf numFmtId="0" fontId="9" fillId="12" borderId="1" xfId="0" applyFont="1" applyFill="1" applyBorder="1" applyAlignment="1">
      <alignment vertical="center" wrapText="1"/>
    </xf>
    <xf numFmtId="0" fontId="7" fillId="12" borderId="1" xfId="0" applyFont="1" applyFill="1" applyBorder="1" applyAlignment="1">
      <alignment horizontal="left" vertical="center" wrapText="1"/>
    </xf>
    <xf numFmtId="0" fontId="8"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4" fillId="13" borderId="1" xfId="0" applyFont="1" applyFill="1" applyBorder="1" applyAlignment="1">
      <alignment vertical="center" wrapText="1"/>
    </xf>
    <xf numFmtId="0" fontId="9" fillId="13" borderId="1" xfId="0" applyFont="1" applyFill="1" applyBorder="1" applyAlignment="1">
      <alignment vertical="center" wrapText="1"/>
    </xf>
    <xf numFmtId="0" fontId="8" fillId="13" borderId="1"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3" fillId="13" borderId="1" xfId="0" applyFont="1" applyFill="1" applyBorder="1" applyAlignment="1">
      <alignment horizontal="center" vertical="center"/>
    </xf>
    <xf numFmtId="0" fontId="7" fillId="14" borderId="1" xfId="0" applyFont="1" applyFill="1" applyBorder="1" applyAlignment="1">
      <alignment vertical="center" wrapText="1"/>
    </xf>
    <xf numFmtId="0" fontId="1" fillId="14" borderId="1" xfId="0" applyFont="1" applyFill="1" applyBorder="1" applyAlignment="1">
      <alignment horizontal="center" vertical="center"/>
    </xf>
    <xf numFmtId="0" fontId="7" fillId="14" borderId="1" xfId="0" applyFont="1" applyFill="1" applyBorder="1" applyAlignment="1">
      <alignment horizontal="left" vertical="center" wrapText="1"/>
    </xf>
    <xf numFmtId="0" fontId="3" fillId="14" borderId="1" xfId="0" applyFont="1" applyFill="1" applyBorder="1" applyAlignment="1">
      <alignment horizontal="center" vertical="center" wrapText="1"/>
    </xf>
    <xf numFmtId="0" fontId="4" fillId="14" borderId="1" xfId="0" applyFont="1" applyFill="1" applyBorder="1" applyAlignment="1">
      <alignment vertical="center" wrapText="1"/>
    </xf>
    <xf numFmtId="0" fontId="8" fillId="14" borderId="1" xfId="0" applyFont="1" applyFill="1" applyBorder="1" applyAlignment="1">
      <alignment horizontal="center" vertical="center"/>
    </xf>
    <xf numFmtId="0" fontId="9" fillId="14" borderId="1" xfId="0" applyFont="1" applyFill="1" applyBorder="1" applyAlignment="1">
      <alignment vertical="center" wrapText="1"/>
    </xf>
    <xf numFmtId="0" fontId="3" fillId="14" borderId="1" xfId="0" applyFont="1" applyFill="1" applyBorder="1" applyAlignment="1">
      <alignment horizontal="center" vertical="center"/>
    </xf>
    <xf numFmtId="0" fontId="4" fillId="14" borderId="1" xfId="0" applyFont="1" applyFill="1" applyBorder="1" applyAlignment="1">
      <alignment horizontal="left" vertical="center" wrapText="1"/>
    </xf>
    <xf numFmtId="0" fontId="3" fillId="15" borderId="1" xfId="0" applyFont="1" applyFill="1" applyBorder="1" applyAlignment="1">
      <alignment horizontal="center" vertical="center"/>
    </xf>
    <xf numFmtId="0" fontId="4" fillId="15" borderId="1" xfId="0" applyFont="1" applyFill="1" applyBorder="1" applyAlignment="1">
      <alignment vertical="center" wrapText="1"/>
    </xf>
    <xf numFmtId="0" fontId="4" fillId="15" borderId="1" xfId="0" applyFont="1" applyFill="1" applyBorder="1" applyAlignment="1">
      <alignment vertical="center"/>
    </xf>
    <xf numFmtId="0" fontId="4" fillId="15" borderId="1" xfId="0" applyFont="1" applyFill="1" applyBorder="1" applyAlignment="1">
      <alignment horizontal="left" vertical="center" wrapText="1"/>
    </xf>
    <xf numFmtId="0" fontId="7" fillId="15" borderId="1" xfId="0" applyFont="1" applyFill="1" applyBorder="1" applyAlignment="1">
      <alignment horizontal="left" vertical="center" wrapText="1"/>
    </xf>
    <xf numFmtId="0" fontId="4" fillId="16" borderId="1" xfId="0" applyFont="1" applyFill="1" applyBorder="1" applyAlignment="1">
      <alignment vertical="center" wrapText="1"/>
    </xf>
    <xf numFmtId="0" fontId="4" fillId="16" borderId="0" xfId="0" applyFont="1" applyFill="1" applyBorder="1" applyAlignment="1">
      <alignment vertical="center" wrapText="1"/>
    </xf>
    <xf numFmtId="0" fontId="3" fillId="2"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18" fillId="2" borderId="1" xfId="0" applyFont="1" applyFill="1" applyBorder="1" applyAlignment="1">
      <alignment horizontal="center" vertical="center"/>
    </xf>
    <xf numFmtId="0" fontId="3" fillId="2" borderId="1" xfId="0" applyFont="1" applyFill="1" applyBorder="1" applyAlignment="1">
      <alignment horizontal="left" vertical="center"/>
    </xf>
    <xf numFmtId="0" fontId="3" fillId="11" borderId="1" xfId="0" applyFont="1" applyFill="1" applyBorder="1" applyAlignment="1">
      <alignment horizontal="left" vertical="center" wrapText="1"/>
    </xf>
    <xf numFmtId="0" fontId="0" fillId="0" borderId="4" xfId="0" applyBorder="1" applyAlignment="1">
      <alignment horizontal="left" wrapText="1"/>
    </xf>
    <xf numFmtId="0" fontId="0" fillId="0" borderId="6"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CCECFF"/>
      <color rgb="FF99CCFF"/>
      <color rgb="FFCC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46"/>
  <sheetViews>
    <sheetView tabSelected="1" topLeftCell="A734" zoomScaleNormal="100" workbookViewId="0">
      <selection activeCell="C744" sqref="C744"/>
    </sheetView>
  </sheetViews>
  <sheetFormatPr defaultColWidth="9.140625" defaultRowHeight="15"/>
  <cols>
    <col min="1" max="1" width="14.85546875" style="106" customWidth="1"/>
    <col min="2" max="2" width="77.42578125" style="106" customWidth="1"/>
    <col min="3" max="3" width="31.85546875" style="106" customWidth="1"/>
    <col min="4" max="4" width="11.28515625" style="106" customWidth="1"/>
    <col min="5" max="5" width="8.85546875" style="106" customWidth="1"/>
    <col min="6" max="6" width="37.42578125" style="106" customWidth="1"/>
    <col min="7" max="7" width="24.85546875" style="106" customWidth="1"/>
    <col min="8" max="8" width="35.140625" style="65" customWidth="1"/>
    <col min="9" max="16384" width="9.140625" style="66"/>
  </cols>
  <sheetData>
    <row r="1" spans="1:8" s="3" customFormat="1">
      <c r="A1" s="164" t="s">
        <v>0</v>
      </c>
      <c r="B1" s="164" t="s">
        <v>1</v>
      </c>
      <c r="C1" s="164" t="s">
        <v>1</v>
      </c>
      <c r="D1" s="164" t="s">
        <v>1</v>
      </c>
      <c r="E1" s="164" t="s">
        <v>1</v>
      </c>
      <c r="F1" s="164" t="s">
        <v>1</v>
      </c>
      <c r="G1" s="164" t="s">
        <v>1</v>
      </c>
      <c r="H1" s="28"/>
    </row>
    <row r="2" spans="1:8" s="3" customFormat="1" ht="14.25">
      <c r="A2" s="165" t="s">
        <v>2</v>
      </c>
      <c r="B2" s="165" t="s">
        <v>3</v>
      </c>
      <c r="C2" s="165" t="s">
        <v>3</v>
      </c>
      <c r="D2" s="165" t="s">
        <v>3</v>
      </c>
      <c r="E2" s="165" t="s">
        <v>3</v>
      </c>
      <c r="F2" s="165" t="s">
        <v>3</v>
      </c>
      <c r="G2" s="165" t="s">
        <v>3</v>
      </c>
      <c r="H2" s="27"/>
    </row>
    <row r="3" spans="1:8" s="3" customFormat="1" ht="14.25">
      <c r="A3" s="6" t="s">
        <v>4</v>
      </c>
      <c r="B3" s="7" t="s">
        <v>5</v>
      </c>
      <c r="C3" s="7" t="s">
        <v>6</v>
      </c>
      <c r="D3" s="6" t="s">
        <v>7</v>
      </c>
      <c r="E3" s="6" t="s">
        <v>8</v>
      </c>
      <c r="F3" s="7" t="s">
        <v>9</v>
      </c>
      <c r="G3" s="6" t="s">
        <v>10</v>
      </c>
      <c r="H3" s="27"/>
    </row>
    <row r="4" spans="1:8" s="3" customFormat="1" ht="14.25">
      <c r="A4" s="4" t="s">
        <v>11</v>
      </c>
      <c r="B4" s="82" t="s">
        <v>12</v>
      </c>
      <c r="C4" s="82" t="s">
        <v>13</v>
      </c>
      <c r="D4" s="4" t="s">
        <v>14</v>
      </c>
      <c r="E4" s="4">
        <v>10</v>
      </c>
      <c r="F4" s="5" t="s">
        <v>15</v>
      </c>
      <c r="G4" s="4" t="s">
        <v>11</v>
      </c>
      <c r="H4" s="27"/>
    </row>
    <row r="5" spans="1:8" s="3" customFormat="1" ht="14.25">
      <c r="A5" s="4" t="s">
        <v>16</v>
      </c>
      <c r="B5" s="82" t="s">
        <v>17</v>
      </c>
      <c r="C5" s="84" t="s">
        <v>13</v>
      </c>
      <c r="D5" s="4" t="s">
        <v>14</v>
      </c>
      <c r="E5" s="4">
        <v>16</v>
      </c>
      <c r="F5" s="5" t="s">
        <v>15</v>
      </c>
      <c r="G5" s="4" t="s">
        <v>18</v>
      </c>
      <c r="H5" s="27"/>
    </row>
    <row r="6" spans="1:8" s="3" customFormat="1" ht="14.25">
      <c r="A6" s="4" t="s">
        <v>19</v>
      </c>
      <c r="B6" s="82" t="s">
        <v>20</v>
      </c>
      <c r="C6" s="84" t="s">
        <v>13</v>
      </c>
      <c r="D6" s="4" t="s">
        <v>14</v>
      </c>
      <c r="E6" s="4">
        <v>16</v>
      </c>
      <c r="F6" s="5" t="s">
        <v>15</v>
      </c>
      <c r="G6" s="4" t="s">
        <v>21</v>
      </c>
      <c r="H6" s="27"/>
    </row>
    <row r="7" spans="1:8" s="3" customFormat="1" ht="14.25">
      <c r="A7" s="4" t="s">
        <v>22</v>
      </c>
      <c r="B7" s="82" t="s">
        <v>23</v>
      </c>
      <c r="C7" s="156" t="s">
        <v>13</v>
      </c>
      <c r="D7" s="155" t="s">
        <v>37</v>
      </c>
      <c r="E7" s="4">
        <v>50</v>
      </c>
      <c r="F7" s="5" t="s">
        <v>15</v>
      </c>
      <c r="G7" s="4" t="s">
        <v>22</v>
      </c>
      <c r="H7" s="27"/>
    </row>
    <row r="8" spans="1:8" s="3" customFormat="1" ht="14.25">
      <c r="A8" s="4" t="s">
        <v>24</v>
      </c>
      <c r="B8" s="82" t="s">
        <v>25</v>
      </c>
      <c r="C8" s="156" t="s">
        <v>13</v>
      </c>
      <c r="D8" s="155" t="s">
        <v>37</v>
      </c>
      <c r="E8" s="4">
        <v>50</v>
      </c>
      <c r="F8" s="5" t="s">
        <v>15</v>
      </c>
      <c r="G8" s="4" t="s">
        <v>24</v>
      </c>
      <c r="H8" s="27"/>
    </row>
    <row r="9" spans="1:8" s="3" customFormat="1" ht="14.25">
      <c r="A9" s="4" t="s">
        <v>26</v>
      </c>
      <c r="B9" s="82" t="s">
        <v>1339</v>
      </c>
      <c r="C9" s="156" t="s">
        <v>13</v>
      </c>
      <c r="D9" s="155" t="s">
        <v>37</v>
      </c>
      <c r="E9" s="4">
        <v>50</v>
      </c>
      <c r="F9" s="5" t="s">
        <v>15</v>
      </c>
      <c r="G9" s="4" t="s">
        <v>26</v>
      </c>
      <c r="H9" s="27"/>
    </row>
    <row r="10" spans="1:8" s="3" customFormat="1" ht="14.25">
      <c r="A10" s="155" t="s">
        <v>27</v>
      </c>
      <c r="B10" s="156" t="s">
        <v>1653</v>
      </c>
      <c r="C10" s="156" t="s">
        <v>13</v>
      </c>
      <c r="D10" s="155" t="s">
        <v>37</v>
      </c>
      <c r="E10" s="4">
        <v>50</v>
      </c>
      <c r="F10" s="5" t="s">
        <v>15</v>
      </c>
      <c r="G10" s="155" t="s">
        <v>27</v>
      </c>
      <c r="H10" s="27"/>
    </row>
    <row r="11" spans="1:8" s="3" customFormat="1" ht="14.25">
      <c r="A11" s="4" t="s">
        <v>28</v>
      </c>
      <c r="B11" s="82" t="s">
        <v>1583</v>
      </c>
      <c r="C11" s="156" t="s">
        <v>13</v>
      </c>
      <c r="D11" s="155" t="s">
        <v>37</v>
      </c>
      <c r="E11" s="4">
        <v>50</v>
      </c>
      <c r="F11" s="5" t="s">
        <v>15</v>
      </c>
      <c r="G11" s="4" t="s">
        <v>28</v>
      </c>
      <c r="H11" s="27"/>
    </row>
    <row r="12" spans="1:8" s="3" customFormat="1" ht="14.25">
      <c r="A12" s="4" t="s">
        <v>29</v>
      </c>
      <c r="B12" s="82" t="s">
        <v>1584</v>
      </c>
      <c r="C12" s="156" t="s">
        <v>13</v>
      </c>
      <c r="D12" s="155" t="s">
        <v>37</v>
      </c>
      <c r="E12" s="4">
        <v>50</v>
      </c>
      <c r="F12" s="5" t="s">
        <v>15</v>
      </c>
      <c r="G12" s="4" t="s">
        <v>29</v>
      </c>
      <c r="H12" s="27"/>
    </row>
    <row r="13" spans="1:8" s="3" customFormat="1" ht="14.25">
      <c r="A13" s="155" t="s">
        <v>31</v>
      </c>
      <c r="B13" s="156" t="s">
        <v>1656</v>
      </c>
      <c r="C13" s="83" t="s">
        <v>13</v>
      </c>
      <c r="D13" s="4" t="s">
        <v>14</v>
      </c>
      <c r="E13" s="4">
        <v>10</v>
      </c>
      <c r="F13" s="5" t="s">
        <v>15</v>
      </c>
      <c r="G13" s="155" t="s">
        <v>31</v>
      </c>
      <c r="H13" s="27"/>
    </row>
    <row r="14" spans="1:8" s="3" customFormat="1" ht="14.25">
      <c r="A14" s="155" t="s">
        <v>32</v>
      </c>
      <c r="B14" s="156" t="s">
        <v>1654</v>
      </c>
      <c r="C14" s="157" t="s">
        <v>13</v>
      </c>
      <c r="D14" s="155" t="s">
        <v>14</v>
      </c>
      <c r="E14" s="155">
        <v>10</v>
      </c>
      <c r="F14" s="158" t="s">
        <v>15</v>
      </c>
      <c r="G14" s="155" t="s">
        <v>32</v>
      </c>
      <c r="H14" s="27"/>
    </row>
    <row r="15" spans="1:8" s="3" customFormat="1" ht="38.25">
      <c r="A15" s="155" t="s">
        <v>33</v>
      </c>
      <c r="B15" s="156" t="s">
        <v>1655</v>
      </c>
      <c r="C15" s="85" t="s">
        <v>34</v>
      </c>
      <c r="D15" s="4" t="s">
        <v>14</v>
      </c>
      <c r="E15" s="4">
        <v>2</v>
      </c>
      <c r="F15" s="5" t="s">
        <v>15</v>
      </c>
      <c r="G15" s="155" t="s">
        <v>33</v>
      </c>
      <c r="H15" s="27"/>
    </row>
    <row r="16" spans="1:8" s="3" customFormat="1" ht="14.25">
      <c r="A16" s="4" t="s">
        <v>35</v>
      </c>
      <c r="B16" s="82" t="s">
        <v>1349</v>
      </c>
      <c r="C16" s="83" t="s">
        <v>13</v>
      </c>
      <c r="D16" s="4" t="s">
        <v>14</v>
      </c>
      <c r="E16" s="4">
        <v>4</v>
      </c>
      <c r="F16" s="5" t="s">
        <v>15</v>
      </c>
      <c r="G16" s="4" t="s">
        <v>35</v>
      </c>
      <c r="H16" s="27"/>
    </row>
    <row r="17" spans="1:8" s="3" customFormat="1" ht="14.25">
      <c r="A17" s="4" t="s">
        <v>36</v>
      </c>
      <c r="B17" s="82" t="s">
        <v>1350</v>
      </c>
      <c r="C17" s="83" t="s">
        <v>13</v>
      </c>
      <c r="D17" s="4" t="s">
        <v>37</v>
      </c>
      <c r="E17" s="4">
        <v>50</v>
      </c>
      <c r="F17" s="5" t="s">
        <v>15</v>
      </c>
      <c r="G17" s="4" t="s">
        <v>36</v>
      </c>
      <c r="H17" s="27"/>
    </row>
    <row r="18" spans="1:8" s="3" customFormat="1" ht="14.25">
      <c r="A18" s="4" t="s">
        <v>38</v>
      </c>
      <c r="B18" s="82" t="s">
        <v>39</v>
      </c>
      <c r="C18" s="83" t="s">
        <v>13</v>
      </c>
      <c r="D18" s="4" t="s">
        <v>14</v>
      </c>
      <c r="E18" s="4">
        <v>4</v>
      </c>
      <c r="F18" s="5" t="s">
        <v>15</v>
      </c>
      <c r="G18" s="4" t="s">
        <v>38</v>
      </c>
      <c r="H18" s="27"/>
    </row>
    <row r="19" spans="1:8" s="3" customFormat="1" ht="14.25">
      <c r="A19" s="4" t="s">
        <v>40</v>
      </c>
      <c r="B19" s="82" t="s">
        <v>41</v>
      </c>
      <c r="C19" s="83" t="s">
        <v>13</v>
      </c>
      <c r="D19" s="4" t="s">
        <v>37</v>
      </c>
      <c r="E19" s="4">
        <v>50</v>
      </c>
      <c r="F19" s="5" t="s">
        <v>15</v>
      </c>
      <c r="G19" s="4" t="s">
        <v>40</v>
      </c>
      <c r="H19" s="27"/>
    </row>
    <row r="20" spans="1:8" s="3" customFormat="1" ht="25.5">
      <c r="A20" s="4" t="s">
        <v>42</v>
      </c>
      <c r="B20" s="82" t="s">
        <v>1351</v>
      </c>
      <c r="C20" s="82" t="s">
        <v>43</v>
      </c>
      <c r="D20" s="4" t="s">
        <v>30</v>
      </c>
      <c r="E20" s="4">
        <v>1</v>
      </c>
      <c r="F20" s="5" t="s">
        <v>15</v>
      </c>
      <c r="G20" s="4" t="s">
        <v>42</v>
      </c>
      <c r="H20" s="27"/>
    </row>
    <row r="21" spans="1:8" s="36" customFormat="1" ht="14.25">
      <c r="A21" s="165" t="s">
        <v>1451</v>
      </c>
      <c r="B21" s="165" t="s">
        <v>44</v>
      </c>
      <c r="C21" s="165" t="s">
        <v>44</v>
      </c>
      <c r="D21" s="165" t="s">
        <v>44</v>
      </c>
      <c r="E21" s="165" t="s">
        <v>44</v>
      </c>
      <c r="F21" s="165" t="s">
        <v>44</v>
      </c>
      <c r="G21" s="165" t="s">
        <v>44</v>
      </c>
    </row>
    <row r="22" spans="1:8" s="36" customFormat="1" ht="14.25">
      <c r="A22" s="6" t="s">
        <v>4</v>
      </c>
      <c r="B22" s="7" t="s">
        <v>5</v>
      </c>
      <c r="C22" s="7" t="s">
        <v>6</v>
      </c>
      <c r="D22" s="6" t="s">
        <v>7</v>
      </c>
      <c r="E22" s="7" t="s">
        <v>8</v>
      </c>
      <c r="F22" s="7" t="s">
        <v>9</v>
      </c>
      <c r="G22" s="6" t="s">
        <v>10</v>
      </c>
    </row>
    <row r="23" spans="1:8" s="36" customFormat="1" ht="14.25">
      <c r="A23" s="4" t="s">
        <v>1452</v>
      </c>
      <c r="B23" s="160" t="s">
        <v>1660</v>
      </c>
      <c r="C23" s="83" t="s">
        <v>13</v>
      </c>
      <c r="D23" s="4" t="s">
        <v>37</v>
      </c>
      <c r="E23" s="60">
        <v>50</v>
      </c>
      <c r="F23" s="5" t="s">
        <v>15</v>
      </c>
      <c r="G23" s="4" t="str">
        <f t="shared" ref="G23:G25" si="0">SUBSTITUTE(A23,".","_")</f>
        <v>I_1_D2</v>
      </c>
    </row>
    <row r="24" spans="1:8" s="36" customFormat="1" ht="14.25">
      <c r="A24" s="4" t="s">
        <v>1453</v>
      </c>
      <c r="B24" s="82" t="str">
        <f>A24&amp;".Age of Household Member(in years)"</f>
        <v>I.1.D3.Age of Household Member(in years)</v>
      </c>
      <c r="C24" s="83" t="s">
        <v>13</v>
      </c>
      <c r="D24" s="4" t="s">
        <v>14</v>
      </c>
      <c r="E24" s="60">
        <v>3</v>
      </c>
      <c r="F24" s="5" t="s">
        <v>15</v>
      </c>
      <c r="G24" s="4" t="str">
        <f t="shared" si="0"/>
        <v>I_1_D3</v>
      </c>
    </row>
    <row r="25" spans="1:8" s="36" customFormat="1" ht="25.5">
      <c r="A25" s="4" t="s">
        <v>1454</v>
      </c>
      <c r="B25" s="82" t="str">
        <f>A25&amp;".Gender of Household Member"</f>
        <v>I.1.D4.Gender of Household Member</v>
      </c>
      <c r="C25" s="82" t="s">
        <v>1455</v>
      </c>
      <c r="D25" s="4" t="s">
        <v>30</v>
      </c>
      <c r="E25" s="60">
        <v>1</v>
      </c>
      <c r="F25" s="5" t="s">
        <v>15</v>
      </c>
      <c r="G25" s="4" t="str">
        <f t="shared" si="0"/>
        <v>I_1_D4</v>
      </c>
    </row>
    <row r="26" spans="1:8" s="36" customFormat="1" ht="14.25">
      <c r="A26" s="4" t="s">
        <v>1456</v>
      </c>
      <c r="B26" s="160" t="s">
        <v>1661</v>
      </c>
      <c r="C26" s="83" t="s">
        <v>13</v>
      </c>
      <c r="D26" s="4" t="s">
        <v>37</v>
      </c>
      <c r="E26" s="60">
        <v>50</v>
      </c>
      <c r="F26" s="5" t="s">
        <v>15</v>
      </c>
      <c r="G26" s="4" t="str">
        <f t="shared" ref="G26:G28" si="1">SUBSTITUTE(A26,".","_")</f>
        <v>I_2_D2</v>
      </c>
    </row>
    <row r="27" spans="1:8" s="36" customFormat="1" ht="14.25">
      <c r="A27" s="4" t="s">
        <v>1457</v>
      </c>
      <c r="B27" s="82" t="str">
        <f>A27&amp;".Age of Household Member(in years)"</f>
        <v>I.2.D3.Age of Household Member(in years)</v>
      </c>
      <c r="C27" s="83" t="s">
        <v>13</v>
      </c>
      <c r="D27" s="4" t="s">
        <v>14</v>
      </c>
      <c r="E27" s="60">
        <v>3</v>
      </c>
      <c r="F27" s="5" t="s">
        <v>15</v>
      </c>
      <c r="G27" s="4" t="str">
        <f t="shared" si="1"/>
        <v>I_2_D3</v>
      </c>
    </row>
    <row r="28" spans="1:8" s="36" customFormat="1" ht="25.5">
      <c r="A28" s="4" t="s">
        <v>1458</v>
      </c>
      <c r="B28" s="82" t="str">
        <f>A28&amp;".Gender of Household Member"</f>
        <v>I.2.D4.Gender of Household Member</v>
      </c>
      <c r="C28" s="82" t="s">
        <v>1455</v>
      </c>
      <c r="D28" s="4" t="s">
        <v>30</v>
      </c>
      <c r="E28" s="60">
        <v>1</v>
      </c>
      <c r="F28" s="5" t="s">
        <v>15</v>
      </c>
      <c r="G28" s="4" t="str">
        <f t="shared" si="1"/>
        <v>I_2_D4</v>
      </c>
    </row>
    <row r="29" spans="1:8" s="36" customFormat="1" ht="14.25">
      <c r="A29" s="4" t="s">
        <v>1459</v>
      </c>
      <c r="B29" s="160" t="s">
        <v>1662</v>
      </c>
      <c r="C29" s="83" t="s">
        <v>13</v>
      </c>
      <c r="D29" s="4" t="s">
        <v>37</v>
      </c>
      <c r="E29" s="60">
        <v>50</v>
      </c>
      <c r="F29" s="5" t="s">
        <v>15</v>
      </c>
      <c r="G29" s="4" t="str">
        <f t="shared" ref="G29:G52" si="2">SUBSTITUTE(A29,".","_")</f>
        <v>I_3_D2</v>
      </c>
    </row>
    <row r="30" spans="1:8" s="36" customFormat="1" ht="14.25">
      <c r="A30" s="4" t="s">
        <v>1460</v>
      </c>
      <c r="B30" s="82" t="str">
        <f>A30&amp;".Age of Household Member(in years)"</f>
        <v>I.3.D3.Age of Household Member(in years)</v>
      </c>
      <c r="C30" s="83" t="s">
        <v>13</v>
      </c>
      <c r="D30" s="4" t="s">
        <v>14</v>
      </c>
      <c r="E30" s="60">
        <v>3</v>
      </c>
      <c r="F30" s="5" t="s">
        <v>15</v>
      </c>
      <c r="G30" s="4" t="str">
        <f t="shared" si="2"/>
        <v>I_3_D3</v>
      </c>
    </row>
    <row r="31" spans="1:8" s="36" customFormat="1" ht="25.5">
      <c r="A31" s="4" t="s">
        <v>1461</v>
      </c>
      <c r="B31" s="82" t="str">
        <f>A31&amp;".Gender of Household Member"</f>
        <v>I.3.D4.Gender of Household Member</v>
      </c>
      <c r="C31" s="82" t="s">
        <v>1455</v>
      </c>
      <c r="D31" s="4" t="s">
        <v>30</v>
      </c>
      <c r="E31" s="60">
        <v>1</v>
      </c>
      <c r="F31" s="5" t="s">
        <v>15</v>
      </c>
      <c r="G31" s="4" t="str">
        <f t="shared" si="2"/>
        <v>I_3_D4</v>
      </c>
    </row>
    <row r="32" spans="1:8" s="36" customFormat="1" ht="14.25">
      <c r="A32" s="4" t="s">
        <v>1462</v>
      </c>
      <c r="B32" s="160" t="s">
        <v>1663</v>
      </c>
      <c r="C32" s="83" t="s">
        <v>13</v>
      </c>
      <c r="D32" s="4" t="s">
        <v>37</v>
      </c>
      <c r="E32" s="60">
        <v>50</v>
      </c>
      <c r="F32" s="5" t="s">
        <v>15</v>
      </c>
      <c r="G32" s="4" t="str">
        <f t="shared" si="2"/>
        <v>I_4_D2</v>
      </c>
    </row>
    <row r="33" spans="1:7" s="36" customFormat="1" ht="14.25">
      <c r="A33" s="4" t="s">
        <v>1463</v>
      </c>
      <c r="B33" s="82" t="str">
        <f>A33&amp;".Age of Household Member(in years)"</f>
        <v>I.4.D3.Age of Household Member(in years)</v>
      </c>
      <c r="C33" s="83" t="s">
        <v>13</v>
      </c>
      <c r="D33" s="4" t="s">
        <v>14</v>
      </c>
      <c r="E33" s="60">
        <v>3</v>
      </c>
      <c r="F33" s="5" t="s">
        <v>15</v>
      </c>
      <c r="G33" s="4" t="str">
        <f t="shared" si="2"/>
        <v>I_4_D3</v>
      </c>
    </row>
    <row r="34" spans="1:7" s="36" customFormat="1" ht="25.5">
      <c r="A34" s="4" t="s">
        <v>1464</v>
      </c>
      <c r="B34" s="82" t="str">
        <f>A34&amp;".Gender of Household Member"</f>
        <v>I.4.D4.Gender of Household Member</v>
      </c>
      <c r="C34" s="82" t="s">
        <v>1455</v>
      </c>
      <c r="D34" s="4" t="s">
        <v>30</v>
      </c>
      <c r="E34" s="60">
        <v>1</v>
      </c>
      <c r="F34" s="5" t="s">
        <v>15</v>
      </c>
      <c r="G34" s="4" t="str">
        <f t="shared" si="2"/>
        <v>I_4_D4</v>
      </c>
    </row>
    <row r="35" spans="1:7" s="36" customFormat="1" ht="14.25">
      <c r="A35" s="4" t="s">
        <v>1465</v>
      </c>
      <c r="B35" s="160" t="s">
        <v>1664</v>
      </c>
      <c r="C35" s="83" t="s">
        <v>13</v>
      </c>
      <c r="D35" s="4" t="s">
        <v>37</v>
      </c>
      <c r="E35" s="60">
        <v>50</v>
      </c>
      <c r="F35" s="5" t="s">
        <v>15</v>
      </c>
      <c r="G35" s="4" t="str">
        <f t="shared" si="2"/>
        <v>I_5_D2</v>
      </c>
    </row>
    <row r="36" spans="1:7" s="36" customFormat="1" ht="14.25">
      <c r="A36" s="4" t="s">
        <v>1466</v>
      </c>
      <c r="B36" s="82" t="str">
        <f>A36&amp;".Age of Household Member(in years)"</f>
        <v>I.5.D3.Age of Household Member(in years)</v>
      </c>
      <c r="C36" s="83" t="s">
        <v>13</v>
      </c>
      <c r="D36" s="4" t="s">
        <v>14</v>
      </c>
      <c r="E36" s="60">
        <v>3</v>
      </c>
      <c r="F36" s="5" t="s">
        <v>15</v>
      </c>
      <c r="G36" s="4" t="str">
        <f t="shared" si="2"/>
        <v>I_5_D3</v>
      </c>
    </row>
    <row r="37" spans="1:7" s="36" customFormat="1" ht="25.5">
      <c r="A37" s="4" t="s">
        <v>1467</v>
      </c>
      <c r="B37" s="82" t="str">
        <f>A37&amp;".Gender of Household Member"</f>
        <v>I.5.D4.Gender of Household Member</v>
      </c>
      <c r="C37" s="82" t="s">
        <v>1455</v>
      </c>
      <c r="D37" s="4" t="s">
        <v>30</v>
      </c>
      <c r="E37" s="60">
        <v>1</v>
      </c>
      <c r="F37" s="5" t="s">
        <v>15</v>
      </c>
      <c r="G37" s="4" t="str">
        <f t="shared" si="2"/>
        <v>I_5_D4</v>
      </c>
    </row>
    <row r="38" spans="1:7" s="36" customFormat="1" ht="14.25">
      <c r="A38" s="4" t="s">
        <v>1468</v>
      </c>
      <c r="B38" s="160" t="s">
        <v>1665</v>
      </c>
      <c r="C38" s="83" t="s">
        <v>13</v>
      </c>
      <c r="D38" s="4" t="s">
        <v>37</v>
      </c>
      <c r="E38" s="60">
        <v>50</v>
      </c>
      <c r="F38" s="5" t="s">
        <v>15</v>
      </c>
      <c r="G38" s="4" t="str">
        <f t="shared" si="2"/>
        <v>I_6_D2</v>
      </c>
    </row>
    <row r="39" spans="1:7" s="36" customFormat="1" ht="14.25">
      <c r="A39" s="4" t="s">
        <v>1469</v>
      </c>
      <c r="B39" s="82" t="str">
        <f>A39&amp;".Age of Household Member(in years)"</f>
        <v>I.6.D3.Age of Household Member(in years)</v>
      </c>
      <c r="C39" s="83" t="s">
        <v>13</v>
      </c>
      <c r="D39" s="4" t="s">
        <v>14</v>
      </c>
      <c r="E39" s="60">
        <v>3</v>
      </c>
      <c r="F39" s="5" t="s">
        <v>15</v>
      </c>
      <c r="G39" s="4" t="str">
        <f t="shared" si="2"/>
        <v>I_6_D3</v>
      </c>
    </row>
    <row r="40" spans="1:7" s="36" customFormat="1" ht="25.5">
      <c r="A40" s="4" t="s">
        <v>1470</v>
      </c>
      <c r="B40" s="82" t="str">
        <f>A40&amp;".Gender of Household Member"</f>
        <v>I.6.D4.Gender of Household Member</v>
      </c>
      <c r="C40" s="82" t="s">
        <v>1455</v>
      </c>
      <c r="D40" s="4" t="s">
        <v>30</v>
      </c>
      <c r="E40" s="60">
        <v>1</v>
      </c>
      <c r="F40" s="5" t="s">
        <v>15</v>
      </c>
      <c r="G40" s="4" t="str">
        <f t="shared" si="2"/>
        <v>I_6_D4</v>
      </c>
    </row>
    <row r="41" spans="1:7" s="36" customFormat="1" ht="14.25">
      <c r="A41" s="4" t="s">
        <v>1471</v>
      </c>
      <c r="B41" s="160" t="s">
        <v>1669</v>
      </c>
      <c r="C41" s="83" t="s">
        <v>13</v>
      </c>
      <c r="D41" s="4" t="s">
        <v>37</v>
      </c>
      <c r="E41" s="60">
        <v>50</v>
      </c>
      <c r="F41" s="5" t="s">
        <v>15</v>
      </c>
      <c r="G41" s="4" t="str">
        <f t="shared" si="2"/>
        <v>I_7_D2</v>
      </c>
    </row>
    <row r="42" spans="1:7" s="36" customFormat="1" ht="14.25">
      <c r="A42" s="4" t="s">
        <v>1472</v>
      </c>
      <c r="B42" s="82" t="str">
        <f>A42&amp;".Age of Household Member(in years)"</f>
        <v>I.7.D3.Age of Household Member(in years)</v>
      </c>
      <c r="C42" s="83" t="s">
        <v>13</v>
      </c>
      <c r="D42" s="4" t="s">
        <v>14</v>
      </c>
      <c r="E42" s="60">
        <v>3</v>
      </c>
      <c r="F42" s="5" t="s">
        <v>15</v>
      </c>
      <c r="G42" s="4" t="str">
        <f t="shared" si="2"/>
        <v>I_7_D3</v>
      </c>
    </row>
    <row r="43" spans="1:7" s="36" customFormat="1" ht="25.5">
      <c r="A43" s="4" t="s">
        <v>1473</v>
      </c>
      <c r="B43" s="82" t="str">
        <f>A43&amp;".Gender of Household Member"</f>
        <v>I.7.D4.Gender of Household Member</v>
      </c>
      <c r="C43" s="82" t="s">
        <v>1455</v>
      </c>
      <c r="D43" s="4" t="s">
        <v>30</v>
      </c>
      <c r="E43" s="60">
        <v>1</v>
      </c>
      <c r="F43" s="5" t="s">
        <v>15</v>
      </c>
      <c r="G43" s="4" t="str">
        <f t="shared" si="2"/>
        <v>I_7_D4</v>
      </c>
    </row>
    <row r="44" spans="1:7" s="36" customFormat="1" ht="14.25">
      <c r="A44" s="4" t="s">
        <v>1474</v>
      </c>
      <c r="B44" s="160" t="s">
        <v>1666</v>
      </c>
      <c r="C44" s="83" t="s">
        <v>13</v>
      </c>
      <c r="D44" s="4" t="s">
        <v>37</v>
      </c>
      <c r="E44" s="60">
        <v>50</v>
      </c>
      <c r="F44" s="5" t="s">
        <v>15</v>
      </c>
      <c r="G44" s="4" t="str">
        <f t="shared" si="2"/>
        <v>I_8_D2</v>
      </c>
    </row>
    <row r="45" spans="1:7" s="36" customFormat="1" ht="14.25">
      <c r="A45" s="4" t="s">
        <v>1475</v>
      </c>
      <c r="B45" s="82" t="str">
        <f>A45&amp;".Age of Household Member(in years)"</f>
        <v>I.8.D3.Age of Household Member(in years)</v>
      </c>
      <c r="C45" s="83" t="s">
        <v>13</v>
      </c>
      <c r="D45" s="4" t="s">
        <v>14</v>
      </c>
      <c r="E45" s="60">
        <v>3</v>
      </c>
      <c r="F45" s="5" t="s">
        <v>15</v>
      </c>
      <c r="G45" s="4" t="str">
        <f t="shared" si="2"/>
        <v>I_8_D3</v>
      </c>
    </row>
    <row r="46" spans="1:7" s="36" customFormat="1" ht="25.5">
      <c r="A46" s="4" t="s">
        <v>1476</v>
      </c>
      <c r="B46" s="82" t="str">
        <f>A46&amp;".Gender of Household Member"</f>
        <v>I.8.D4.Gender of Household Member</v>
      </c>
      <c r="C46" s="82" t="s">
        <v>1455</v>
      </c>
      <c r="D46" s="4" t="s">
        <v>30</v>
      </c>
      <c r="E46" s="60">
        <v>1</v>
      </c>
      <c r="F46" s="5" t="s">
        <v>15</v>
      </c>
      <c r="G46" s="4" t="str">
        <f t="shared" si="2"/>
        <v>I_8_D4</v>
      </c>
    </row>
    <row r="47" spans="1:7" s="36" customFormat="1" ht="14.25">
      <c r="A47" s="4" t="s">
        <v>1477</v>
      </c>
      <c r="B47" s="160" t="s">
        <v>1667</v>
      </c>
      <c r="C47" s="83" t="s">
        <v>13</v>
      </c>
      <c r="D47" s="4" t="s">
        <v>37</v>
      </c>
      <c r="E47" s="60">
        <v>50</v>
      </c>
      <c r="F47" s="5" t="s">
        <v>15</v>
      </c>
      <c r="G47" s="4" t="str">
        <f t="shared" si="2"/>
        <v>I_9_D2</v>
      </c>
    </row>
    <row r="48" spans="1:7" s="36" customFormat="1" ht="14.25">
      <c r="A48" s="4" t="s">
        <v>1478</v>
      </c>
      <c r="B48" s="82" t="str">
        <f>A48&amp;".Age of Household Member(in years)"</f>
        <v>I.9.D3.Age of Household Member(in years)</v>
      </c>
      <c r="C48" s="83" t="s">
        <v>13</v>
      </c>
      <c r="D48" s="4" t="s">
        <v>14</v>
      </c>
      <c r="E48" s="60">
        <v>3</v>
      </c>
      <c r="F48" s="5" t="s">
        <v>15</v>
      </c>
      <c r="G48" s="4" t="str">
        <f t="shared" si="2"/>
        <v>I_9_D3</v>
      </c>
    </row>
    <row r="49" spans="1:8" s="36" customFormat="1" ht="25.5">
      <c r="A49" s="4" t="s">
        <v>1479</v>
      </c>
      <c r="B49" s="82" t="str">
        <f>A49&amp;".Gender of Household Member"</f>
        <v>I.9.D4.Gender of Household Member</v>
      </c>
      <c r="C49" s="82" t="s">
        <v>1455</v>
      </c>
      <c r="D49" s="4" t="s">
        <v>30</v>
      </c>
      <c r="E49" s="60">
        <v>1</v>
      </c>
      <c r="F49" s="5" t="s">
        <v>15</v>
      </c>
      <c r="G49" s="4" t="str">
        <f t="shared" si="2"/>
        <v>I_9_D4</v>
      </c>
    </row>
    <row r="50" spans="1:8" s="36" customFormat="1" ht="14.25">
      <c r="A50" s="4" t="s">
        <v>1480</v>
      </c>
      <c r="B50" s="160" t="s">
        <v>1668</v>
      </c>
      <c r="C50" s="83" t="s">
        <v>13</v>
      </c>
      <c r="D50" s="4" t="s">
        <v>37</v>
      </c>
      <c r="E50" s="60">
        <v>50</v>
      </c>
      <c r="F50" s="5" t="s">
        <v>15</v>
      </c>
      <c r="G50" s="4" t="str">
        <f t="shared" si="2"/>
        <v>I_10_D2</v>
      </c>
    </row>
    <row r="51" spans="1:8" s="36" customFormat="1" ht="14.25">
      <c r="A51" s="4" t="s">
        <v>1481</v>
      </c>
      <c r="B51" s="82" t="str">
        <f>A51&amp;".Age of Household Member(in years)"</f>
        <v>I.10.D3.Age of Household Member(in years)</v>
      </c>
      <c r="C51" s="83" t="s">
        <v>13</v>
      </c>
      <c r="D51" s="4" t="s">
        <v>14</v>
      </c>
      <c r="E51" s="60">
        <v>3</v>
      </c>
      <c r="F51" s="5" t="s">
        <v>15</v>
      </c>
      <c r="G51" s="4" t="str">
        <f t="shared" si="2"/>
        <v>I_10_D3</v>
      </c>
    </row>
    <row r="52" spans="1:8" s="36" customFormat="1" ht="25.5">
      <c r="A52" s="4" t="s">
        <v>1482</v>
      </c>
      <c r="B52" s="82" t="str">
        <f>A52&amp;".Gender of Household Member"</f>
        <v>I.10.D4.Gender of Household Member</v>
      </c>
      <c r="C52" s="82" t="s">
        <v>1455</v>
      </c>
      <c r="D52" s="4" t="s">
        <v>30</v>
      </c>
      <c r="E52" s="60">
        <v>1</v>
      </c>
      <c r="F52" s="5" t="s">
        <v>15</v>
      </c>
      <c r="G52" s="4" t="str">
        <f t="shared" si="2"/>
        <v>I_10_D4</v>
      </c>
    </row>
    <row r="53" spans="1:8" s="3" customFormat="1" ht="30.75" customHeight="1">
      <c r="A53" s="162" t="s">
        <v>1494</v>
      </c>
      <c r="B53" s="165"/>
      <c r="C53" s="165"/>
      <c r="D53" s="165"/>
      <c r="E53" s="165"/>
      <c r="F53" s="165"/>
      <c r="G53" s="165"/>
      <c r="H53" s="27"/>
    </row>
    <row r="54" spans="1:8" s="3" customFormat="1" ht="14.25">
      <c r="A54" s="6" t="s">
        <v>4</v>
      </c>
      <c r="B54" s="7" t="s">
        <v>5</v>
      </c>
      <c r="C54" s="7" t="s">
        <v>6</v>
      </c>
      <c r="D54" s="6" t="s">
        <v>7</v>
      </c>
      <c r="E54" s="7" t="s">
        <v>8</v>
      </c>
      <c r="F54" s="7" t="s">
        <v>9</v>
      </c>
      <c r="G54" s="6" t="s">
        <v>10</v>
      </c>
      <c r="H54" s="27"/>
    </row>
    <row r="55" spans="1:8" s="3" customFormat="1" ht="14.25">
      <c r="A55" s="4" t="s">
        <v>45</v>
      </c>
      <c r="B55" s="82" t="s">
        <v>1333</v>
      </c>
      <c r="C55" s="77" t="s">
        <v>46</v>
      </c>
      <c r="D55" s="4" t="s">
        <v>14</v>
      </c>
      <c r="E55" s="4">
        <v>4</v>
      </c>
      <c r="F55" s="5" t="s">
        <v>15</v>
      </c>
      <c r="G55" s="4" t="s">
        <v>45</v>
      </c>
      <c r="H55" s="27"/>
    </row>
    <row r="56" spans="1:8" s="3" customFormat="1" ht="25.5">
      <c r="A56" s="4" t="s">
        <v>47</v>
      </c>
      <c r="B56" s="82" t="s">
        <v>1352</v>
      </c>
      <c r="C56" s="82" t="s">
        <v>43</v>
      </c>
      <c r="D56" s="4" t="s">
        <v>30</v>
      </c>
      <c r="E56" s="4">
        <v>1</v>
      </c>
      <c r="F56" s="5" t="s">
        <v>15</v>
      </c>
      <c r="G56" s="4" t="s">
        <v>47</v>
      </c>
      <c r="H56" s="27"/>
    </row>
    <row r="57" spans="1:8" s="3" customFormat="1" ht="89.25">
      <c r="A57" s="4" t="s">
        <v>48</v>
      </c>
      <c r="B57" s="82" t="s">
        <v>1334</v>
      </c>
      <c r="C57" s="146" t="s">
        <v>1644</v>
      </c>
      <c r="D57" s="4" t="s">
        <v>30</v>
      </c>
      <c r="E57" s="4">
        <v>2</v>
      </c>
      <c r="F57" s="5" t="s">
        <v>15</v>
      </c>
      <c r="G57" s="4" t="s">
        <v>48</v>
      </c>
      <c r="H57" s="27"/>
    </row>
    <row r="58" spans="1:8" s="21" customFormat="1" ht="102">
      <c r="A58" s="76" t="s">
        <v>49</v>
      </c>
      <c r="B58" s="85" t="str">
        <f>A58&amp;". What is your religion?"</f>
        <v>DG3A. What is your religion?</v>
      </c>
      <c r="C58" s="85" t="s">
        <v>1429</v>
      </c>
      <c r="D58" s="4" t="s">
        <v>30</v>
      </c>
      <c r="E58" s="76">
        <v>2</v>
      </c>
      <c r="F58" s="5" t="s">
        <v>15</v>
      </c>
      <c r="G58" s="76" t="str">
        <f>A58</f>
        <v>DG3A</v>
      </c>
      <c r="H58" s="27"/>
    </row>
    <row r="59" spans="1:8" s="3" customFormat="1" ht="14.25">
      <c r="A59" s="4" t="s">
        <v>50</v>
      </c>
      <c r="B59" s="82" t="s">
        <v>1335</v>
      </c>
      <c r="C59" s="86" t="s">
        <v>51</v>
      </c>
      <c r="D59" s="4" t="s">
        <v>30</v>
      </c>
      <c r="E59" s="4">
        <v>2</v>
      </c>
      <c r="F59" s="5" t="s">
        <v>15</v>
      </c>
      <c r="G59" s="4" t="s">
        <v>50</v>
      </c>
      <c r="H59" s="27"/>
    </row>
    <row r="60" spans="1:8" s="20" customFormat="1" ht="45" customHeight="1">
      <c r="A60" s="162" t="s">
        <v>1215</v>
      </c>
      <c r="B60" s="162"/>
      <c r="C60" s="162"/>
      <c r="D60" s="162"/>
      <c r="E60" s="162"/>
      <c r="F60" s="87" t="s">
        <v>15</v>
      </c>
      <c r="G60" s="87"/>
      <c r="H60" s="29"/>
    </row>
    <row r="61" spans="1:8" s="19" customFormat="1" ht="12.75">
      <c r="A61" s="6" t="s">
        <v>4</v>
      </c>
      <c r="B61" s="7" t="s">
        <v>5</v>
      </c>
      <c r="C61" s="7" t="s">
        <v>6</v>
      </c>
      <c r="D61" s="6" t="s">
        <v>7</v>
      </c>
      <c r="E61" s="7" t="s">
        <v>8</v>
      </c>
      <c r="F61" s="7" t="s">
        <v>9</v>
      </c>
      <c r="G61" s="6" t="s">
        <v>10</v>
      </c>
      <c r="H61" s="13"/>
    </row>
    <row r="62" spans="1:8" s="36" customFormat="1" ht="63.75">
      <c r="A62" s="4" t="s">
        <v>52</v>
      </c>
      <c r="B62" s="82" t="str">
        <f>A62&amp;". Taking all things together, would you say that you are very happy, somewhat happy, neither happy nor unhappy, somewhat unhappy, or very unhappy?"</f>
        <v>WB1. Taking all things together, would you say that you are very happy, somewhat happy, neither happy nor unhappy, somewhat unhappy, or very unhappy?</v>
      </c>
      <c r="C62" s="82" t="s">
        <v>53</v>
      </c>
      <c r="D62" s="4" t="s">
        <v>30</v>
      </c>
      <c r="E62" s="4">
        <v>1</v>
      </c>
      <c r="F62" s="5" t="s">
        <v>15</v>
      </c>
      <c r="G62" s="4" t="str">
        <f t="shared" ref="G62:G68" si="3">SUBSTITUTE(A62,".","_")</f>
        <v>WB1</v>
      </c>
      <c r="H62" s="41"/>
    </row>
    <row r="63" spans="1:8" s="37" customFormat="1" ht="63.75">
      <c r="A63" s="4" t="s">
        <v>54</v>
      </c>
      <c r="B63" s="82" t="str">
        <f>A63&amp;". Overall, how satisfied are you with your life as a whole these days? Would you say that you are very satisfied, somewhat satisfied, neither satisfied nor unsatisfied, somewhat unsatisfied or very unsatisfied?"</f>
        <v>WB2. Overall, how satisfied are you with your life as a whole these days? Would you say that you are very satisfied, somewhat satisfied, neither satisfied nor unsatisfied, somewhat unsatisfied or very unsatisfied?</v>
      </c>
      <c r="C63" s="82" t="s">
        <v>55</v>
      </c>
      <c r="D63" s="4" t="s">
        <v>30</v>
      </c>
      <c r="E63" s="4">
        <v>1</v>
      </c>
      <c r="F63" s="5" t="s">
        <v>15</v>
      </c>
      <c r="G63" s="4" t="str">
        <f t="shared" si="3"/>
        <v>WB2</v>
      </c>
      <c r="H63" s="42"/>
    </row>
    <row r="64" spans="1:8" s="37" customFormat="1" ht="63.75">
      <c r="A64" s="4" t="s">
        <v>56</v>
      </c>
      <c r="B64" s="82" t="str">
        <f>A64&amp;". How satisfied are you with your financial situation presently? Would you say that you are very satisfied, somewhat satisfied, neither satisfied nor unsatisfied, somewhat unsatisfied or very unsatisfied?"</f>
        <v>WB2A. How satisfied are you with your financial situation presently? Would you say that you are very satisfied, somewhat satisfied, neither satisfied nor unsatisfied, somewhat unsatisfied or very unsatisfied?</v>
      </c>
      <c r="C64" s="82" t="s">
        <v>55</v>
      </c>
      <c r="D64" s="4" t="s">
        <v>30</v>
      </c>
      <c r="E64" s="4">
        <v>1</v>
      </c>
      <c r="F64" s="5" t="s">
        <v>15</v>
      </c>
      <c r="G64" s="4" t="str">
        <f t="shared" si="3"/>
        <v>WB2A</v>
      </c>
      <c r="H64" s="42"/>
    </row>
    <row r="65" spans="1:8" s="37" customFormat="1" ht="63.75">
      <c r="A65" s="4" t="s">
        <v>57</v>
      </c>
      <c r="B65" s="82" t="str">
        <f>A65&amp;". In the past 12 months, would you say that your financial situation has improved, worsened, or stayed the same? Is that ‘improved/worsened a little or a lot’?"</f>
        <v>WB2B. In the past 12 months, would you say that your financial situation has improved, worsened, or stayed the same? Is that ‘improved/worsened a little or a lot’?</v>
      </c>
      <c r="C65" s="82" t="s">
        <v>58</v>
      </c>
      <c r="D65" s="4" t="s">
        <v>30</v>
      </c>
      <c r="E65" s="4">
        <v>1</v>
      </c>
      <c r="F65" s="5" t="s">
        <v>15</v>
      </c>
      <c r="G65" s="4" t="str">
        <f t="shared" si="3"/>
        <v>WB2B</v>
      </c>
      <c r="H65" s="42"/>
    </row>
    <row r="66" spans="1:8" s="37" customFormat="1" ht="63.75">
      <c r="A66" s="4" t="s">
        <v>59</v>
      </c>
      <c r="B66" s="82" t="str">
        <f>A66&amp;". Overall, how worried are you about the future? Would you say that you are very worried, somewhat worried, neither worried nor unworried, somewhat unworried, or very unworried?"</f>
        <v>WB3. Overall, how worried are you about the future? Would you say that you are very worried, somewhat worried, neither worried nor unworried, somewhat unworried, or very unworried?</v>
      </c>
      <c r="C66" s="82" t="s">
        <v>60</v>
      </c>
      <c r="D66" s="4" t="s">
        <v>30</v>
      </c>
      <c r="E66" s="4">
        <v>1</v>
      </c>
      <c r="F66" s="5" t="s">
        <v>15</v>
      </c>
      <c r="G66" s="4" t="str">
        <f t="shared" si="3"/>
        <v>WB3</v>
      </c>
      <c r="H66" s="42"/>
    </row>
    <row r="67" spans="1:8" s="37" customFormat="1" ht="38.25">
      <c r="A67" s="4" t="s">
        <v>61</v>
      </c>
      <c r="B67" s="82" t="str">
        <f>A67&amp;". Thinking about yesterday, were you feeling depressed at all?"</f>
        <v>WB4. Thinking about yesterday, were you feeling depressed at all?</v>
      </c>
      <c r="C67" s="85" t="s">
        <v>1121</v>
      </c>
      <c r="D67" s="4" t="s">
        <v>30</v>
      </c>
      <c r="E67" s="4">
        <v>2</v>
      </c>
      <c r="F67" s="5" t="s">
        <v>15</v>
      </c>
      <c r="G67" s="4" t="str">
        <f t="shared" si="3"/>
        <v>WB4</v>
      </c>
      <c r="H67" s="41"/>
    </row>
    <row r="68" spans="1:8" s="37" customFormat="1" ht="76.5">
      <c r="A68" s="4" t="s">
        <v>62</v>
      </c>
      <c r="B68" s="82" t="str">
        <f>A68&amp;". Would you say that you were feeling depressed the whole day, most of the day, a few hours of the day, a few minutes of the day, or just momentarily?"</f>
        <v>WB4A. Would you say that you were feeling depressed the whole day, most of the day, a few hours of the day, a few minutes of the day, or just momentarily?</v>
      </c>
      <c r="C68" s="85" t="s">
        <v>1122</v>
      </c>
      <c r="D68" s="4" t="s">
        <v>30</v>
      </c>
      <c r="E68" s="4">
        <v>2</v>
      </c>
      <c r="F68" s="5" t="s">
        <v>63</v>
      </c>
      <c r="G68" s="4" t="str">
        <f t="shared" si="3"/>
        <v>WB4A</v>
      </c>
      <c r="H68" s="34"/>
    </row>
    <row r="69" spans="1:8" s="39" customFormat="1" ht="43.5" customHeight="1">
      <c r="A69" s="162" t="s">
        <v>1354</v>
      </c>
      <c r="B69" s="165" t="s">
        <v>44</v>
      </c>
      <c r="C69" s="165" t="s">
        <v>44</v>
      </c>
      <c r="D69" s="165" t="s">
        <v>44</v>
      </c>
      <c r="E69" s="165" t="s">
        <v>44</v>
      </c>
      <c r="F69" s="165" t="s">
        <v>44</v>
      </c>
      <c r="G69" s="165" t="s">
        <v>44</v>
      </c>
      <c r="H69" s="38"/>
    </row>
    <row r="70" spans="1:8" s="40" customFormat="1" ht="12.75">
      <c r="A70" s="6" t="s">
        <v>4</v>
      </c>
      <c r="B70" s="7" t="s">
        <v>5</v>
      </c>
      <c r="C70" s="7" t="s">
        <v>6</v>
      </c>
      <c r="D70" s="6" t="s">
        <v>7</v>
      </c>
      <c r="E70" s="7" t="s">
        <v>8</v>
      </c>
      <c r="F70" s="7" t="s">
        <v>9</v>
      </c>
      <c r="G70" s="6" t="s">
        <v>10</v>
      </c>
      <c r="H70" s="35"/>
    </row>
    <row r="71" spans="1:8" s="36" customFormat="1" ht="25.5">
      <c r="A71" s="4" t="s">
        <v>64</v>
      </c>
      <c r="B71" s="82" t="str">
        <f>A71&amp;". Please tell me whether or not you have the following documents: "&amp;Other!A2</f>
        <v>DG5.1. Please tell me whether or not you have the following documents: Aadhaar letter, card, or unique ID number</v>
      </c>
      <c r="C71" s="82" t="s">
        <v>65</v>
      </c>
      <c r="D71" s="4" t="s">
        <v>30</v>
      </c>
      <c r="E71" s="4">
        <v>1</v>
      </c>
      <c r="F71" s="5" t="s">
        <v>15</v>
      </c>
      <c r="G71" s="4" t="str">
        <f t="shared" ref="G71:G88" si="4">SUBSTITUTE(A71,".","_")</f>
        <v>DG5_1</v>
      </c>
      <c r="H71" s="34"/>
    </row>
    <row r="72" spans="1:8" s="36" customFormat="1" ht="25.5">
      <c r="A72" s="4" t="s">
        <v>66</v>
      </c>
      <c r="B72" s="82" t="str">
        <f>A72&amp;". Please tell me whether or not you have the following documents: "&amp;Other!A3</f>
        <v>DG5.2. Please tell me whether or not you have the following documents: PAN card</v>
      </c>
      <c r="C72" s="82" t="s">
        <v>65</v>
      </c>
      <c r="D72" s="4" t="s">
        <v>30</v>
      </c>
      <c r="E72" s="4">
        <v>1</v>
      </c>
      <c r="F72" s="5" t="s">
        <v>15</v>
      </c>
      <c r="G72" s="4" t="str">
        <f t="shared" si="4"/>
        <v>DG5_2</v>
      </c>
      <c r="H72" s="34"/>
    </row>
    <row r="73" spans="1:8" s="36" customFormat="1" ht="25.5">
      <c r="A73" s="4" t="s">
        <v>67</v>
      </c>
      <c r="B73" s="82" t="str">
        <f>A73&amp;". Please tell me whether or not you have the following documents: "&amp;Other!A4</f>
        <v>DG5.3. Please tell me whether or not you have the following documents: Passport</v>
      </c>
      <c r="C73" s="82" t="s">
        <v>65</v>
      </c>
      <c r="D73" s="4" t="s">
        <v>30</v>
      </c>
      <c r="E73" s="4">
        <v>1</v>
      </c>
      <c r="F73" s="5" t="s">
        <v>15</v>
      </c>
      <c r="G73" s="4" t="str">
        <f t="shared" si="4"/>
        <v>DG5_3</v>
      </c>
      <c r="H73" s="34"/>
    </row>
    <row r="74" spans="1:8" s="36" customFormat="1" ht="25.5">
      <c r="A74" s="4" t="s">
        <v>68</v>
      </c>
      <c r="B74" s="82" t="str">
        <f>A74&amp;". Please tell me whether or not you have the following documents: "&amp;Other!A5</f>
        <v>DG5.4. Please tell me whether or not you have the following documents: Driver’s license</v>
      </c>
      <c r="C74" s="82" t="s">
        <v>65</v>
      </c>
      <c r="D74" s="4" t="s">
        <v>30</v>
      </c>
      <c r="E74" s="4">
        <v>1</v>
      </c>
      <c r="F74" s="5" t="s">
        <v>15</v>
      </c>
      <c r="G74" s="4" t="str">
        <f t="shared" si="4"/>
        <v>DG5_4</v>
      </c>
      <c r="H74" s="34"/>
    </row>
    <row r="75" spans="1:8" s="36" customFormat="1" ht="25.5">
      <c r="A75" s="4" t="s">
        <v>69</v>
      </c>
      <c r="B75" s="82" t="str">
        <f>A75&amp;". Please tell me whether or not you have the following documents: "&amp;Other!A6</f>
        <v>DG5.5. Please tell me whether or not you have the following documents: School-issued ID, including college/university</v>
      </c>
      <c r="C75" s="82" t="s">
        <v>65</v>
      </c>
      <c r="D75" s="4" t="s">
        <v>30</v>
      </c>
      <c r="E75" s="4">
        <v>1</v>
      </c>
      <c r="F75" s="5" t="s">
        <v>15</v>
      </c>
      <c r="G75" s="4" t="str">
        <f t="shared" si="4"/>
        <v>DG5_5</v>
      </c>
      <c r="H75" s="34"/>
    </row>
    <row r="76" spans="1:8" s="36" customFormat="1" ht="25.5">
      <c r="A76" s="4" t="s">
        <v>70</v>
      </c>
      <c r="B76" s="82" t="str">
        <f>A76&amp;". Please tell me whether or not you have the following documents: "&amp;Other!A7</f>
        <v>DG5.6. Please tell me whether or not you have the following documents: Voter’s card</v>
      </c>
      <c r="C76" s="82" t="s">
        <v>65</v>
      </c>
      <c r="D76" s="4" t="s">
        <v>30</v>
      </c>
      <c r="E76" s="4">
        <v>1</v>
      </c>
      <c r="F76" s="5" t="s">
        <v>15</v>
      </c>
      <c r="G76" s="4" t="str">
        <f t="shared" si="4"/>
        <v>DG5_6</v>
      </c>
      <c r="H76" s="34"/>
    </row>
    <row r="77" spans="1:8" s="36" customFormat="1" ht="25.5">
      <c r="A77" s="4" t="s">
        <v>71</v>
      </c>
      <c r="B77" s="82" t="str">
        <f>A77&amp;". Please tell me whether or not you have the following documents: "&amp;Other!A8</f>
        <v>DG5.7. Please tell me whether or not you have the following documents: Ration card (i.e., Blue Card)</v>
      </c>
      <c r="C77" s="82" t="s">
        <v>65</v>
      </c>
      <c r="D77" s="4" t="s">
        <v>30</v>
      </c>
      <c r="E77" s="4">
        <v>1</v>
      </c>
      <c r="F77" s="5" t="s">
        <v>15</v>
      </c>
      <c r="G77" s="4" t="str">
        <f t="shared" si="4"/>
        <v>DG5_7</v>
      </c>
      <c r="H77" s="34"/>
    </row>
    <row r="78" spans="1:8" s="36" customFormat="1" ht="25.5">
      <c r="A78" s="4" t="s">
        <v>72</v>
      </c>
      <c r="B78" s="82" t="str">
        <f>A78&amp;". Please tell me whether or not you have the following documents: "&amp;Other!A9</f>
        <v xml:space="preserve">DG5.8. Please tell me whether or not you have the following documents: Employee ID (for government/civil servants) </v>
      </c>
      <c r="C78" s="82" t="s">
        <v>65</v>
      </c>
      <c r="D78" s="4" t="s">
        <v>30</v>
      </c>
      <c r="E78" s="4">
        <v>1</v>
      </c>
      <c r="F78" s="5" t="s">
        <v>15</v>
      </c>
      <c r="G78" s="4" t="str">
        <f t="shared" si="4"/>
        <v>DG5_8</v>
      </c>
      <c r="H78" s="34"/>
    </row>
    <row r="79" spans="1:8" s="36" customFormat="1" ht="25.5">
      <c r="A79" s="4" t="s">
        <v>73</v>
      </c>
      <c r="B79" s="82" t="str">
        <f>A79&amp;". Please tell me whether or not you have the following documents: "&amp;Other!A10</f>
        <v>DG5.9. Please tell me whether or not you have the following documents: Military ID</v>
      </c>
      <c r="C79" s="82" t="s">
        <v>65</v>
      </c>
      <c r="D79" s="4" t="s">
        <v>30</v>
      </c>
      <c r="E79" s="4">
        <v>1</v>
      </c>
      <c r="F79" s="5" t="s">
        <v>15</v>
      </c>
      <c r="G79" s="4" t="str">
        <f t="shared" si="4"/>
        <v>DG5_9</v>
      </c>
      <c r="H79" s="34"/>
    </row>
    <row r="80" spans="1:8" s="62" customFormat="1" ht="25.5">
      <c r="A80" s="60" t="s">
        <v>74</v>
      </c>
      <c r="B80" s="82" t="str">
        <f>A80&amp;". Please tell me whether or not you have the following documents: "&amp;Other!A11</f>
        <v>DG5.10. Please tell me whether or not you have the following documents: MGNREGA job card</v>
      </c>
      <c r="C80" s="44" t="s">
        <v>65</v>
      </c>
      <c r="D80" s="60" t="s">
        <v>30</v>
      </c>
      <c r="E80" s="60">
        <v>1</v>
      </c>
      <c r="F80" s="88" t="s">
        <v>15</v>
      </c>
      <c r="G80" s="60" t="str">
        <f t="shared" si="4"/>
        <v>DG5_10</v>
      </c>
      <c r="H80" s="41"/>
    </row>
    <row r="81" spans="1:8" s="62" customFormat="1" ht="76.5">
      <c r="A81" s="60" t="s">
        <v>75</v>
      </c>
      <c r="B81" s="44" t="str">
        <f>A81&amp;". How much do you trust the Aadhaar system to keep your personal information secure?"</f>
        <v>DG5A.1. How much do you trust the Aadhaar system to keep your personal information secure?</v>
      </c>
      <c r="C81" s="77" t="s">
        <v>76</v>
      </c>
      <c r="D81" s="73" t="s">
        <v>30</v>
      </c>
      <c r="E81" s="73">
        <v>2</v>
      </c>
      <c r="F81" s="74" t="s">
        <v>77</v>
      </c>
      <c r="G81" s="73" t="str">
        <f t="shared" si="4"/>
        <v>DG5A_1</v>
      </c>
      <c r="H81" s="41"/>
    </row>
    <row r="82" spans="1:8" s="62" customFormat="1" ht="63.75">
      <c r="A82" s="60" t="s">
        <v>78</v>
      </c>
      <c r="B82" s="44" t="str">
        <f>A82&amp;". What do you think has been the effect of Aadhaar on the delivery of assistance through government schemes? Has the delivery of assistance improved, worsened or has there been no change because of Aadhaar?"</f>
        <v>DG5A.2. What do you think has been the effect of Aadhaar on the delivery of assistance through government schemes? Has the delivery of assistance improved, worsened or has there been no change because of Aadhaar?</v>
      </c>
      <c r="C82" s="77" t="s">
        <v>79</v>
      </c>
      <c r="D82" s="73" t="s">
        <v>30</v>
      </c>
      <c r="E82" s="73">
        <v>2</v>
      </c>
      <c r="F82" s="74" t="s">
        <v>77</v>
      </c>
      <c r="G82" s="73" t="str">
        <f t="shared" si="4"/>
        <v>DG5A_2</v>
      </c>
      <c r="H82" s="41"/>
    </row>
    <row r="83" spans="1:8" s="62" customFormat="1" ht="89.25">
      <c r="A83" s="60" t="s">
        <v>80</v>
      </c>
      <c r="B83" s="44" t="str">
        <f>A83&amp;". In the past 12 months, how many times did you try to scan your fingerprint to authenticate your Aadhaar number for any purpose?"</f>
        <v>DG5B.1. In the past 12 months, how many times did you try to scan your fingerprint to authenticate your Aadhaar number for any purpose?</v>
      </c>
      <c r="C83" s="77" t="s">
        <v>81</v>
      </c>
      <c r="D83" s="73" t="s">
        <v>30</v>
      </c>
      <c r="E83" s="73">
        <v>2</v>
      </c>
      <c r="F83" s="74" t="s">
        <v>77</v>
      </c>
      <c r="G83" s="73" t="str">
        <f t="shared" si="4"/>
        <v>DG5B_1</v>
      </c>
      <c r="H83" s="41"/>
    </row>
    <row r="84" spans="1:8" s="63" customFormat="1" ht="89.25">
      <c r="A84" s="60" t="s">
        <v>82</v>
      </c>
      <c r="B84" s="44" t="str">
        <f>A84&amp;". In the past 12 months, how many times did you try to scan your iris to authenticate your Aadhaar number for any purpose?"</f>
        <v>DG5B.2. In the past 12 months, how many times did you try to scan your iris to authenticate your Aadhaar number for any purpose?</v>
      </c>
      <c r="C84" s="77" t="s">
        <v>81</v>
      </c>
      <c r="D84" s="73" t="s">
        <v>30</v>
      </c>
      <c r="E84" s="73">
        <v>2</v>
      </c>
      <c r="F84" s="74" t="s">
        <v>77</v>
      </c>
      <c r="G84" s="73" t="str">
        <f t="shared" si="4"/>
        <v>DG5B_2</v>
      </c>
      <c r="H84" s="43"/>
    </row>
    <row r="85" spans="1:8" s="63" customFormat="1" ht="89.25">
      <c r="A85" s="60" t="s">
        <v>83</v>
      </c>
      <c r="B85" s="44" t="str">
        <f>A85&amp;". In the past 12 months, how many times did you try to use a one-time password from a mobile phone to authenticate your Aadhaar number for any purpose?"</f>
        <v>DG5B.3. In the past 12 months, how many times did you try to use a one-time password from a mobile phone to authenticate your Aadhaar number for any purpose?</v>
      </c>
      <c r="C85" s="77" t="s">
        <v>81</v>
      </c>
      <c r="D85" s="73" t="s">
        <v>30</v>
      </c>
      <c r="E85" s="73">
        <v>2</v>
      </c>
      <c r="F85" s="74" t="s">
        <v>77</v>
      </c>
      <c r="G85" s="73" t="str">
        <f t="shared" si="4"/>
        <v>DG5B_3</v>
      </c>
      <c r="H85" s="43"/>
    </row>
    <row r="86" spans="1:8" s="63" customFormat="1" ht="102">
      <c r="A86" s="60" t="s">
        <v>84</v>
      </c>
      <c r="B86" s="44" t="str">
        <f>A86&amp;". When you tried to scan your fingerprint, how often did the system succeed at authenticating your Aadhaar number?"</f>
        <v>DG5C.1. When you tried to scan your fingerprint, how often did the system succeed at authenticating your Aadhaar number?</v>
      </c>
      <c r="C86" s="77" t="s">
        <v>85</v>
      </c>
      <c r="D86" s="73" t="s">
        <v>30</v>
      </c>
      <c r="E86" s="73">
        <v>2</v>
      </c>
      <c r="F86" s="74" t="s">
        <v>86</v>
      </c>
      <c r="G86" s="73" t="str">
        <f t="shared" si="4"/>
        <v>DG5C_1</v>
      </c>
      <c r="H86" s="43"/>
    </row>
    <row r="87" spans="1:8" s="63" customFormat="1" ht="102">
      <c r="A87" s="60" t="s">
        <v>87</v>
      </c>
      <c r="B87" s="44" t="str">
        <f>A87&amp;". When you tried to scan your iris, how often did the system succeed at authenticating your Aadhaar number?"</f>
        <v>DG5C.2. When you tried to scan your iris, how often did the system succeed at authenticating your Aadhaar number?</v>
      </c>
      <c r="C87" s="77" t="s">
        <v>85</v>
      </c>
      <c r="D87" s="73" t="s">
        <v>30</v>
      </c>
      <c r="E87" s="73">
        <v>2</v>
      </c>
      <c r="F87" s="74" t="s">
        <v>88</v>
      </c>
      <c r="G87" s="73" t="str">
        <f t="shared" si="4"/>
        <v>DG5C_2</v>
      </c>
      <c r="H87" s="43"/>
    </row>
    <row r="88" spans="1:8" s="63" customFormat="1" ht="102">
      <c r="A88" s="60" t="s">
        <v>89</v>
      </c>
      <c r="B88" s="44" t="str">
        <f>A88&amp;". When you tried to use a one-time password from your mobile phone, how often did the system succeed at authenticating your Aadhaar number?"</f>
        <v>DG5C.3. When you tried to use a one-time password from your mobile phone, how often did the system succeed at authenticating your Aadhaar number?</v>
      </c>
      <c r="C88" s="77" t="s">
        <v>85</v>
      </c>
      <c r="D88" s="73" t="s">
        <v>30</v>
      </c>
      <c r="E88" s="73">
        <v>2</v>
      </c>
      <c r="F88" s="74" t="s">
        <v>90</v>
      </c>
      <c r="G88" s="73" t="str">
        <f t="shared" si="4"/>
        <v>DG5C_3</v>
      </c>
      <c r="H88" s="43"/>
    </row>
    <row r="89" spans="1:8" s="20" customFormat="1" ht="40.5" customHeight="1">
      <c r="A89" s="162" t="s">
        <v>1538</v>
      </c>
      <c r="B89" s="165" t="s">
        <v>44</v>
      </c>
      <c r="C89" s="165" t="s">
        <v>44</v>
      </c>
      <c r="D89" s="165" t="s">
        <v>44</v>
      </c>
      <c r="E89" s="165" t="s">
        <v>44</v>
      </c>
      <c r="F89" s="165" t="s">
        <v>44</v>
      </c>
      <c r="G89" s="165" t="s">
        <v>44</v>
      </c>
      <c r="H89" s="29"/>
    </row>
    <row r="90" spans="1:8" s="19" customFormat="1" ht="12.75">
      <c r="A90" s="6" t="s">
        <v>4</v>
      </c>
      <c r="B90" s="7" t="s">
        <v>5</v>
      </c>
      <c r="C90" s="7" t="s">
        <v>6</v>
      </c>
      <c r="D90" s="6" t="s">
        <v>7</v>
      </c>
      <c r="E90" s="7" t="s">
        <v>8</v>
      </c>
      <c r="F90" s="7" t="s">
        <v>9</v>
      </c>
      <c r="G90" s="6" t="s">
        <v>10</v>
      </c>
      <c r="H90" s="13"/>
    </row>
    <row r="91" spans="1:8" s="62" customFormat="1" ht="165.75">
      <c r="A91" s="60" t="s">
        <v>91</v>
      </c>
      <c r="B91" s="88" t="s">
        <v>1336</v>
      </c>
      <c r="C91" s="146" t="s">
        <v>1645</v>
      </c>
      <c r="D91" s="60" t="s">
        <v>30</v>
      </c>
      <c r="E91" s="60">
        <v>2</v>
      </c>
      <c r="F91" s="88" t="s">
        <v>15</v>
      </c>
      <c r="G91" s="60" t="str">
        <f t="shared" ref="G91:G119" si="5">SUBSTITUTE(A91,".","_")</f>
        <v>DG6</v>
      </c>
      <c r="H91" s="41"/>
    </row>
    <row r="92" spans="1:8" s="62" customFormat="1" ht="89.25">
      <c r="A92" s="89" t="s">
        <v>92</v>
      </c>
      <c r="B92" s="90" t="str">
        <f>A92&amp;". In your best estimate, how much of your household’s income do you provide each month?"</f>
        <v>DL0. In your best estimate, how much of your household’s income do you provide each month?</v>
      </c>
      <c r="C92" s="90" t="s">
        <v>1204</v>
      </c>
      <c r="D92" s="60" t="s">
        <v>30</v>
      </c>
      <c r="E92" s="60">
        <v>2</v>
      </c>
      <c r="F92" s="61" t="s">
        <v>15</v>
      </c>
      <c r="G92" s="60" t="str">
        <f t="shared" si="5"/>
        <v>DL0</v>
      </c>
      <c r="H92" s="41"/>
    </row>
    <row r="93" spans="1:8" s="64" customFormat="1" ht="14.25">
      <c r="A93" s="60" t="s">
        <v>93</v>
      </c>
      <c r="B93" s="44" t="s">
        <v>1353</v>
      </c>
      <c r="C93" s="91" t="s">
        <v>94</v>
      </c>
      <c r="D93" s="60" t="s">
        <v>30</v>
      </c>
      <c r="E93" s="60">
        <v>2</v>
      </c>
      <c r="F93" s="88" t="s">
        <v>15</v>
      </c>
      <c r="G93" s="60" t="str">
        <f t="shared" si="5"/>
        <v>DL1</v>
      </c>
      <c r="H93" s="41"/>
    </row>
    <row r="94" spans="1:8" s="62" customFormat="1" ht="14.25">
      <c r="A94" s="60" t="s">
        <v>95</v>
      </c>
      <c r="B94" s="44" t="s">
        <v>1337</v>
      </c>
      <c r="C94" s="92" t="s">
        <v>96</v>
      </c>
      <c r="D94" s="60" t="s">
        <v>30</v>
      </c>
      <c r="E94" s="60">
        <v>2</v>
      </c>
      <c r="F94" s="134" t="s">
        <v>1611</v>
      </c>
      <c r="G94" s="60" t="str">
        <f t="shared" si="5"/>
        <v>DL2</v>
      </c>
      <c r="H94" s="41"/>
    </row>
    <row r="95" spans="1:8" s="62" customFormat="1" ht="25.5">
      <c r="A95" s="60" t="s">
        <v>97</v>
      </c>
      <c r="B95" s="44" t="str">
        <f>A95&amp;". Please tell me in which of the following ways you got money in the past 12 months? "&amp;Other!B2</f>
        <v>DL4.1. Please tell me in which of the following ways you got money in the past 12 months? Sold products of agriculture or reared livestock</v>
      </c>
      <c r="C95" s="44" t="s">
        <v>65</v>
      </c>
      <c r="D95" s="60" t="s">
        <v>30</v>
      </c>
      <c r="E95" s="60">
        <v>1</v>
      </c>
      <c r="F95" s="88" t="s">
        <v>15</v>
      </c>
      <c r="G95" s="60" t="str">
        <f t="shared" si="5"/>
        <v>DL4_1</v>
      </c>
      <c r="H95" s="41"/>
    </row>
    <row r="96" spans="1:8" s="62" customFormat="1" ht="25.5">
      <c r="A96" s="60" t="s">
        <v>98</v>
      </c>
      <c r="B96" s="44" t="str">
        <f>A96&amp;". Please tell me in which of the following ways you got money in the past 12 months? "&amp;Other!B3</f>
        <v xml:space="preserve">DL4.2. Please tell me in which of the following ways you got money in the past 12 months? Received assistance from the government </v>
      </c>
      <c r="C96" s="44" t="s">
        <v>65</v>
      </c>
      <c r="D96" s="60" t="s">
        <v>30</v>
      </c>
      <c r="E96" s="60">
        <v>1</v>
      </c>
      <c r="F96" s="88" t="s">
        <v>15</v>
      </c>
      <c r="G96" s="60" t="str">
        <f t="shared" si="5"/>
        <v>DL4_2</v>
      </c>
      <c r="H96" s="41"/>
    </row>
    <row r="97" spans="1:8" s="62" customFormat="1" ht="25.5">
      <c r="A97" s="60" t="s">
        <v>99</v>
      </c>
      <c r="B97" s="44" t="str">
        <f>A97&amp;". Please tell me in which of the following ways you got money in the past 12 months? "&amp;Other!B4</f>
        <v>DL4.3. Please tell me in which of the following ways you got money in the past 12 months? Received money from a relative, friend, or another person inside the country</v>
      </c>
      <c r="C97" s="44" t="s">
        <v>65</v>
      </c>
      <c r="D97" s="60" t="s">
        <v>30</v>
      </c>
      <c r="E97" s="60">
        <v>1</v>
      </c>
      <c r="F97" s="88" t="s">
        <v>15</v>
      </c>
      <c r="G97" s="60" t="str">
        <f t="shared" si="5"/>
        <v>DL4_3</v>
      </c>
      <c r="H97" s="41"/>
    </row>
    <row r="98" spans="1:8" s="62" customFormat="1" ht="38.25">
      <c r="A98" s="60" t="s">
        <v>100</v>
      </c>
      <c r="B98" s="44" t="str">
        <f>A98&amp;". Please tell me in which of the following ways you got money in the past 12 months? "&amp;Other!B5</f>
        <v>DL4.4. Please tell me in which of the following ways you got money in the past 12 months? Received money from a relative, friend, or another person sent from a foreign country</v>
      </c>
      <c r="C98" s="44" t="s">
        <v>65</v>
      </c>
      <c r="D98" s="60" t="s">
        <v>30</v>
      </c>
      <c r="E98" s="73">
        <v>1</v>
      </c>
      <c r="F98" s="88" t="s">
        <v>15</v>
      </c>
      <c r="G98" s="60" t="str">
        <f t="shared" si="5"/>
        <v>DL4_4</v>
      </c>
      <c r="H98" s="41"/>
    </row>
    <row r="99" spans="1:8" s="62" customFormat="1" ht="25.5">
      <c r="A99" s="60" t="s">
        <v>101</v>
      </c>
      <c r="B99" s="44" t="str">
        <f>A99&amp;". Please tell me in which of the following ways you got money in the past 12 months? "&amp;Other!B6</f>
        <v>DL4.5. Please tell me in which of the following ways you got money in the past 12 months? Ownership of a business, property, or assets</v>
      </c>
      <c r="C99" s="44" t="s">
        <v>65</v>
      </c>
      <c r="D99" s="60" t="s">
        <v>30</v>
      </c>
      <c r="E99" s="73">
        <v>1</v>
      </c>
      <c r="F99" s="88" t="s">
        <v>15</v>
      </c>
      <c r="G99" s="60" t="str">
        <f t="shared" si="5"/>
        <v>DL4_5</v>
      </c>
      <c r="H99" s="41"/>
    </row>
    <row r="100" spans="1:8" s="62" customFormat="1" ht="25.5">
      <c r="A100" s="60" t="s">
        <v>102</v>
      </c>
      <c r="B100" s="44" t="str">
        <f>A100&amp;". Please tell me in which of the following ways you got money in the past 12 months? "&amp;Other!B7</f>
        <v>DL4.6. Please tell me in which of the following ways you got money in the past 12 months? Employment by the government</v>
      </c>
      <c r="C100" s="44" t="s">
        <v>65</v>
      </c>
      <c r="D100" s="60" t="s">
        <v>30</v>
      </c>
      <c r="E100" s="73">
        <v>1</v>
      </c>
      <c r="F100" s="88" t="s">
        <v>15</v>
      </c>
      <c r="G100" s="60" t="str">
        <f t="shared" si="5"/>
        <v>DL4_6</v>
      </c>
      <c r="H100" s="41"/>
    </row>
    <row r="101" spans="1:8" s="62" customFormat="1" ht="25.5">
      <c r="A101" s="60" t="s">
        <v>103</v>
      </c>
      <c r="B101" s="44" t="str">
        <f>A101&amp;". Please tell me in which of the following ways you got money in the past 12 months? "&amp;Other!B8</f>
        <v>DL4.7. Please tell me in which of the following ways you got money in the past 12 months? Employment in a business with less 10 employees or less</v>
      </c>
      <c r="C101" s="44" t="s">
        <v>65</v>
      </c>
      <c r="D101" s="60" t="s">
        <v>30</v>
      </c>
      <c r="E101" s="73">
        <v>1</v>
      </c>
      <c r="F101" s="88" t="s">
        <v>15</v>
      </c>
      <c r="G101" s="60" t="str">
        <f t="shared" si="5"/>
        <v>DL4_7</v>
      </c>
      <c r="H101" s="41"/>
    </row>
    <row r="102" spans="1:8" s="62" customFormat="1" ht="25.5">
      <c r="A102" s="60" t="s">
        <v>104</v>
      </c>
      <c r="B102" s="44" t="str">
        <f>A102&amp;". Please tell me in which of the following ways you got money in the past 12 months? "&amp;Other!B9</f>
        <v>DL4.8. Please tell me in which of the following ways you got money in the past 12 months? Employment in a business with more than 10 employees</v>
      </c>
      <c r="C102" s="44" t="s">
        <v>65</v>
      </c>
      <c r="D102" s="60" t="s">
        <v>30</v>
      </c>
      <c r="E102" s="73">
        <v>1</v>
      </c>
      <c r="F102" s="88" t="s">
        <v>15</v>
      </c>
      <c r="G102" s="60" t="str">
        <f t="shared" si="5"/>
        <v>DL4_8</v>
      </c>
      <c r="H102" s="41"/>
    </row>
    <row r="103" spans="1:8" s="62" customFormat="1" ht="25.5">
      <c r="A103" s="60" t="s">
        <v>105</v>
      </c>
      <c r="B103" s="44" t="str">
        <f>A103&amp;". Please tell me in which of the following ways you got money in the past 12 months? "&amp;Other!B10</f>
        <v>DL4.9. Please tell me in which of the following ways you got money in the past 12 months? Scholarship or stipend from the government or educational institution</v>
      </c>
      <c r="C103" s="44" t="s">
        <v>65</v>
      </c>
      <c r="D103" s="60" t="s">
        <v>30</v>
      </c>
      <c r="E103" s="73">
        <v>1</v>
      </c>
      <c r="F103" s="88" t="s">
        <v>15</v>
      </c>
      <c r="G103" s="60" t="str">
        <f t="shared" si="5"/>
        <v>DL4_9</v>
      </c>
      <c r="H103" s="41"/>
    </row>
    <row r="104" spans="1:8" s="62" customFormat="1" ht="25.5">
      <c r="A104" s="60" t="s">
        <v>106</v>
      </c>
      <c r="B104" s="44" t="str">
        <f>A104&amp;". Please tell me in which of the following ways you got money in the past 12 months? "&amp;Other!B11</f>
        <v>DL4.10. Please tell me in which of the following ways you got money in the past 12 months? Pension</v>
      </c>
      <c r="C104" s="44" t="s">
        <v>65</v>
      </c>
      <c r="D104" s="60" t="s">
        <v>30</v>
      </c>
      <c r="E104" s="73">
        <v>1</v>
      </c>
      <c r="F104" s="88" t="s">
        <v>15</v>
      </c>
      <c r="G104" s="60" t="str">
        <f t="shared" si="5"/>
        <v>DL4_10</v>
      </c>
      <c r="H104" s="41"/>
    </row>
    <row r="105" spans="1:8" s="62" customFormat="1" ht="25.5">
      <c r="A105" s="60" t="s">
        <v>107</v>
      </c>
      <c r="B105" s="44" t="str">
        <f>A105 &amp; ". Does anyone in your household own a farm or farmland?"</f>
        <v>DL6. Does anyone in your household own a farm or farmland?</v>
      </c>
      <c r="C105" s="44" t="s">
        <v>65</v>
      </c>
      <c r="D105" s="60" t="s">
        <v>30</v>
      </c>
      <c r="E105" s="60">
        <v>1</v>
      </c>
      <c r="F105" s="88" t="s">
        <v>15</v>
      </c>
      <c r="G105" s="60" t="str">
        <f t="shared" si="5"/>
        <v>DL6</v>
      </c>
      <c r="H105" s="41"/>
    </row>
    <row r="106" spans="1:8" s="62" customFormat="1" ht="25.5">
      <c r="A106" s="60" t="s">
        <v>108</v>
      </c>
      <c r="B106" s="44" t="s">
        <v>1340</v>
      </c>
      <c r="C106" s="44" t="s">
        <v>65</v>
      </c>
      <c r="D106" s="60" t="s">
        <v>30</v>
      </c>
      <c r="E106" s="60">
        <v>1</v>
      </c>
      <c r="F106" s="88" t="s">
        <v>109</v>
      </c>
      <c r="G106" s="60" t="str">
        <f t="shared" si="5"/>
        <v>DL7</v>
      </c>
      <c r="H106" s="41"/>
    </row>
    <row r="107" spans="1:8" s="62" customFormat="1" ht="25.5">
      <c r="A107" s="60" t="s">
        <v>110</v>
      </c>
      <c r="B107" s="44" t="str">
        <f>A107&amp;". In the past 12 months, how many times did you move from one home to another?"</f>
        <v>DL11. In the past 12 months, how many times did you move from one home to another?</v>
      </c>
      <c r="C107" s="77" t="s">
        <v>1434</v>
      </c>
      <c r="D107" s="60" t="s">
        <v>14</v>
      </c>
      <c r="E107" s="60">
        <v>3</v>
      </c>
      <c r="F107" s="88" t="s">
        <v>15</v>
      </c>
      <c r="G107" s="60" t="str">
        <f t="shared" si="5"/>
        <v>DL11</v>
      </c>
      <c r="H107" s="41"/>
    </row>
    <row r="108" spans="1:8" s="62" customFormat="1" ht="25.5">
      <c r="A108" s="60" t="s">
        <v>111</v>
      </c>
      <c r="B108" s="156" t="str">
        <f>A108&amp;". In the past 12 months, did you receive LPG cooking gas subsidy?"</f>
        <v>DL12.1. In the past 12 months, did you receive LPG cooking gas subsidy?</v>
      </c>
      <c r="C108" s="44" t="s">
        <v>65</v>
      </c>
      <c r="D108" s="60" t="s">
        <v>30</v>
      </c>
      <c r="E108" s="60">
        <v>1</v>
      </c>
      <c r="F108" s="88" t="s">
        <v>15</v>
      </c>
      <c r="G108" s="60" t="str">
        <f t="shared" si="5"/>
        <v>DL12_1</v>
      </c>
      <c r="H108" s="41"/>
    </row>
    <row r="109" spans="1:8" s="62" customFormat="1" ht="25.5">
      <c r="A109" s="60" t="s">
        <v>112</v>
      </c>
      <c r="B109" s="44" t="str">
        <f>A109&amp;". In the past 12 months, did you receive payment from the MNREGA employment guarantee scheme?"</f>
        <v>DL12.2. In the past 12 months, did you receive payment from the MNREGA employment guarantee scheme?</v>
      </c>
      <c r="C109" s="44" t="s">
        <v>65</v>
      </c>
      <c r="D109" s="60" t="s">
        <v>30</v>
      </c>
      <c r="E109" s="60">
        <v>1</v>
      </c>
      <c r="F109" s="88" t="s">
        <v>15</v>
      </c>
      <c r="G109" s="60" t="str">
        <f t="shared" si="5"/>
        <v>DL12_2</v>
      </c>
      <c r="H109" s="41"/>
    </row>
    <row r="110" spans="1:8" s="62" customFormat="1" ht="38.25">
      <c r="A110" s="60" t="s">
        <v>113</v>
      </c>
      <c r="B110" s="44" t="str">
        <f>A110&amp;". In the past 12 months, did you receive assistance from the NSAP national social assistance scheme for any of the following conditions: old age, maternity, disability, death of breadwinner, food security, or other?"</f>
        <v>DL12.3. In the past 12 months, did you receive assistance from the NSAP national social assistance scheme for any of the following conditions: old age, maternity, disability, death of breadwinner, food security, or other?</v>
      </c>
      <c r="C110" s="44" t="s">
        <v>65</v>
      </c>
      <c r="D110" s="60" t="s">
        <v>30</v>
      </c>
      <c r="E110" s="60">
        <v>1</v>
      </c>
      <c r="F110" s="88" t="s">
        <v>15</v>
      </c>
      <c r="G110" s="60" t="str">
        <f t="shared" si="5"/>
        <v>DL12_3</v>
      </c>
      <c r="H110" s="41"/>
    </row>
    <row r="111" spans="1:8" s="62" customFormat="1" ht="25.5">
      <c r="A111" s="60" t="s">
        <v>114</v>
      </c>
      <c r="B111" s="160" t="str">
        <f>A111&amp;". In the past 12 months, did you receive food from the government's public distribution system (PDS) (e.g. ration card)?"</f>
        <v>DL12.4. In the past 12 months, did you receive food from the government's public distribution system (PDS) (e.g. ration card)?</v>
      </c>
      <c r="C111" s="44" t="s">
        <v>65</v>
      </c>
      <c r="D111" s="60" t="s">
        <v>30</v>
      </c>
      <c r="E111" s="60">
        <v>1</v>
      </c>
      <c r="F111" s="88" t="s">
        <v>15</v>
      </c>
      <c r="G111" s="60" t="str">
        <f t="shared" si="5"/>
        <v>DL12_4</v>
      </c>
      <c r="H111" s="41"/>
    </row>
    <row r="112" spans="1:8" s="62" customFormat="1" ht="25.5">
      <c r="A112" s="60" t="s">
        <v>115</v>
      </c>
      <c r="B112" s="156" t="str">
        <f>A112&amp;". Did you use your Aadhaar number to receive LPG cooking gas subsidy?"</f>
        <v>DL12A.1. Did you use your Aadhaar number to receive LPG cooking gas subsidy?</v>
      </c>
      <c r="C112" s="44" t="s">
        <v>65</v>
      </c>
      <c r="D112" s="60" t="s">
        <v>30</v>
      </c>
      <c r="E112" s="60">
        <v>1</v>
      </c>
      <c r="F112" s="74" t="s">
        <v>1493</v>
      </c>
      <c r="G112" s="60" t="str">
        <f t="shared" si="5"/>
        <v>DL12A_1</v>
      </c>
      <c r="H112" s="41"/>
    </row>
    <row r="113" spans="1:8" s="62" customFormat="1" ht="25.5">
      <c r="A113" s="60" t="s">
        <v>116</v>
      </c>
      <c r="B113" s="44" t="str">
        <f>A113&amp;". Did you use your Aadhaar number to receive wages from the MNREGA employment guarantee scheme?"</f>
        <v>DL12A.2. Did you use your Aadhaar number to receive wages from the MNREGA employment guarantee scheme?</v>
      </c>
      <c r="C113" s="44" t="s">
        <v>65</v>
      </c>
      <c r="D113" s="60" t="s">
        <v>30</v>
      </c>
      <c r="E113" s="60">
        <v>1</v>
      </c>
      <c r="F113" s="74" t="s">
        <v>1492</v>
      </c>
      <c r="G113" s="60" t="str">
        <f t="shared" si="5"/>
        <v>DL12A_2</v>
      </c>
      <c r="H113" s="41"/>
    </row>
    <row r="114" spans="1:8" s="62" customFormat="1" ht="25.5">
      <c r="A114" s="60" t="s">
        <v>117</v>
      </c>
      <c r="B114" s="44" t="str">
        <f>A114&amp;". Did you use your Aadhaar number to receive assistance from the NSAP national social assistance scheme?"</f>
        <v>DL12A.3. Did you use your Aadhaar number to receive assistance from the NSAP national social assistance scheme?</v>
      </c>
      <c r="C114" s="44" t="s">
        <v>65</v>
      </c>
      <c r="D114" s="60" t="s">
        <v>30</v>
      </c>
      <c r="E114" s="60">
        <v>1</v>
      </c>
      <c r="F114" s="74" t="s">
        <v>1491</v>
      </c>
      <c r="G114" s="60" t="str">
        <f t="shared" si="5"/>
        <v>DL12A_3</v>
      </c>
      <c r="H114" s="41"/>
    </row>
    <row r="115" spans="1:8" s="62" customFormat="1" ht="25.5">
      <c r="A115" s="60" t="s">
        <v>118</v>
      </c>
      <c r="B115" s="44" t="str">
        <f>A115&amp;". Did you use your Aadhaar number to receive food from the government's public distribution system (PDS)?"</f>
        <v>DL12A.4. Did you use your Aadhaar number to receive food from the government's public distribution system (PDS)?</v>
      </c>
      <c r="C115" s="44" t="s">
        <v>65</v>
      </c>
      <c r="D115" s="60" t="s">
        <v>30</v>
      </c>
      <c r="E115" s="60">
        <v>1</v>
      </c>
      <c r="F115" s="74" t="s">
        <v>1490</v>
      </c>
      <c r="G115" s="60" t="str">
        <f t="shared" si="5"/>
        <v>DL12A_4</v>
      </c>
      <c r="H115" s="41"/>
    </row>
    <row r="116" spans="1:8" s="62" customFormat="1" ht="38.25">
      <c r="A116" s="60" t="s">
        <v>119</v>
      </c>
      <c r="B116" s="156" t="str">
        <f>A116&amp;". When you received LPG cooking gas subsidy, were you able to authenticate your Aadhaar number by scanning your fingerprint or iris or by using a one-time password from a mobile phone?"</f>
        <v>DL12B.1. When you received LPG cooking gas subsidy, were you able to authenticate your Aadhaar number by scanning your fingerprint or iris or by using a one-time password from a mobile phone?</v>
      </c>
      <c r="C116" s="44" t="s">
        <v>65</v>
      </c>
      <c r="D116" s="60" t="s">
        <v>30</v>
      </c>
      <c r="E116" s="60">
        <v>1</v>
      </c>
      <c r="F116" s="74" t="s">
        <v>1486</v>
      </c>
      <c r="G116" s="60" t="str">
        <f t="shared" si="5"/>
        <v>DL12B_1</v>
      </c>
      <c r="H116" s="41"/>
    </row>
    <row r="117" spans="1:8" s="62" customFormat="1" ht="38.25">
      <c r="A117" s="60" t="s">
        <v>120</v>
      </c>
      <c r="B117" s="44" t="str">
        <f>A117&amp;". When you received wages from the MNREGA employment guarantee scheme, were you able to authenticate your Aadhaar number by scanning your fingerprint or iris, or by using a one-time password from your mobile phone?"</f>
        <v>DL12B.2. When you received wages from the MNREGA employment guarantee scheme, were you able to authenticate your Aadhaar number by scanning your fingerprint or iris, or by using a one-time password from your mobile phone?</v>
      </c>
      <c r="C117" s="44" t="s">
        <v>65</v>
      </c>
      <c r="D117" s="60" t="s">
        <v>30</v>
      </c>
      <c r="E117" s="60">
        <v>1</v>
      </c>
      <c r="F117" s="74" t="s">
        <v>1487</v>
      </c>
      <c r="G117" s="60" t="str">
        <f t="shared" si="5"/>
        <v>DL12B_2</v>
      </c>
      <c r="H117" s="41"/>
    </row>
    <row r="118" spans="1:8" s="62" customFormat="1" ht="38.25">
      <c r="A118" s="60" t="s">
        <v>121</v>
      </c>
      <c r="B118" s="44" t="str">
        <f>A118&amp;". When you received assistance from the NSAP national social assistance scheme, were you able to authenticate your Aadhaar number by scanning your fingerprint or iris, or by using a one-time password from your mobile phone?"</f>
        <v>DL12B.3. When you received assistance from the NSAP national social assistance scheme, were you able to authenticate your Aadhaar number by scanning your fingerprint or iris, or by using a one-time password from your mobile phone?</v>
      </c>
      <c r="C118" s="44" t="s">
        <v>65</v>
      </c>
      <c r="D118" s="60" t="s">
        <v>30</v>
      </c>
      <c r="E118" s="60">
        <v>1</v>
      </c>
      <c r="F118" s="74" t="s">
        <v>1488</v>
      </c>
      <c r="G118" s="60" t="str">
        <f t="shared" si="5"/>
        <v>DL12B_3</v>
      </c>
      <c r="H118" s="41"/>
    </row>
    <row r="119" spans="1:8" s="62" customFormat="1" ht="38.25">
      <c r="A119" s="60" t="s">
        <v>122</v>
      </c>
      <c r="B119" s="44" t="str">
        <f>A119&amp;". When you received food from the government's public distribution system (PDS), were you able to authenticate your Aadhaar number by scanning your fingerprint or iris, or by using a one-time password from your mobile phone?"</f>
        <v>DL12B.4. When you received food from the government's public distribution system (PDS), were you able to authenticate your Aadhaar number by scanning your fingerprint or iris, or by using a one-time password from your mobile phone?</v>
      </c>
      <c r="C119" s="44" t="s">
        <v>65</v>
      </c>
      <c r="D119" s="60" t="s">
        <v>30</v>
      </c>
      <c r="E119" s="60">
        <v>1</v>
      </c>
      <c r="F119" s="74" t="s">
        <v>1489</v>
      </c>
      <c r="G119" s="60" t="str">
        <f t="shared" si="5"/>
        <v>DL12B_4</v>
      </c>
      <c r="H119" s="41"/>
    </row>
    <row r="120" spans="1:8" s="20" customFormat="1" ht="23.25" customHeight="1">
      <c r="A120" s="165" t="s">
        <v>1327</v>
      </c>
      <c r="B120" s="165" t="s">
        <v>44</v>
      </c>
      <c r="C120" s="165" t="s">
        <v>44</v>
      </c>
      <c r="D120" s="165" t="s">
        <v>44</v>
      </c>
      <c r="E120" s="165" t="s">
        <v>44</v>
      </c>
      <c r="F120" s="165" t="s">
        <v>44</v>
      </c>
      <c r="G120" s="165" t="s">
        <v>44</v>
      </c>
      <c r="H120" s="29"/>
    </row>
    <row r="121" spans="1:8" s="19" customFormat="1" ht="12.75">
      <c r="A121" s="6" t="s">
        <v>4</v>
      </c>
      <c r="B121" s="7" t="s">
        <v>5</v>
      </c>
      <c r="C121" s="7" t="s">
        <v>6</v>
      </c>
      <c r="D121" s="6" t="s">
        <v>7</v>
      </c>
      <c r="E121" s="7" t="s">
        <v>8</v>
      </c>
      <c r="F121" s="7" t="s">
        <v>9</v>
      </c>
      <c r="G121" s="6" t="s">
        <v>10</v>
      </c>
      <c r="H121" s="13"/>
    </row>
    <row r="122" spans="1:8" s="3" customFormat="1" ht="102">
      <c r="A122" s="4" t="s">
        <v>123</v>
      </c>
      <c r="B122" s="93" t="s">
        <v>1332</v>
      </c>
      <c r="C122" s="82" t="s">
        <v>124</v>
      </c>
      <c r="D122" s="4" t="s">
        <v>30</v>
      </c>
      <c r="E122" s="4">
        <v>1</v>
      </c>
      <c r="F122" s="5" t="s">
        <v>15</v>
      </c>
      <c r="G122" s="4" t="str">
        <f>A122</f>
        <v>DL14</v>
      </c>
      <c r="H122" s="27"/>
    </row>
    <row r="123" spans="1:8" s="3" customFormat="1" ht="51">
      <c r="A123" s="4" t="s">
        <v>125</v>
      </c>
      <c r="B123" s="44" t="str">
        <f>A123&amp;". What is the general education level of the female head/spouse?"</f>
        <v>DL15. What is the general education level of the female head/spouse?</v>
      </c>
      <c r="C123" s="82" t="s">
        <v>1433</v>
      </c>
      <c r="D123" s="4" t="s">
        <v>30</v>
      </c>
      <c r="E123" s="4">
        <v>1</v>
      </c>
      <c r="F123" s="5" t="s">
        <v>15</v>
      </c>
      <c r="G123" s="4" t="str">
        <f>A123</f>
        <v>DL15</v>
      </c>
      <c r="H123" s="27"/>
    </row>
    <row r="124" spans="1:8" s="3" customFormat="1" ht="25.5">
      <c r="A124" s="4" t="s">
        <v>126</v>
      </c>
      <c r="B124" s="82" t="str">
        <f>A124&amp;". Does the household possess a refrigerator?"</f>
        <v>DL16. Does the household possess a refrigerator?</v>
      </c>
      <c r="C124" s="82" t="s">
        <v>127</v>
      </c>
      <c r="D124" s="4" t="s">
        <v>30</v>
      </c>
      <c r="E124" s="4">
        <v>1</v>
      </c>
      <c r="F124" s="5" t="s">
        <v>15</v>
      </c>
      <c r="G124" s="4" t="s">
        <v>126</v>
      </c>
      <c r="H124" s="27"/>
    </row>
    <row r="125" spans="1:8" s="3" customFormat="1" ht="25.5">
      <c r="A125" s="4" t="s">
        <v>128</v>
      </c>
      <c r="B125" s="82" t="str">
        <f>A125&amp;". Does the household possess a stove/gas burner?"</f>
        <v>DL17. Does the household possess a stove/gas burner?</v>
      </c>
      <c r="C125" s="82" t="s">
        <v>127</v>
      </c>
      <c r="D125" s="4" t="s">
        <v>30</v>
      </c>
      <c r="E125" s="4">
        <v>1</v>
      </c>
      <c r="F125" s="5" t="s">
        <v>15</v>
      </c>
      <c r="G125" s="4" t="s">
        <v>128</v>
      </c>
      <c r="H125" s="27"/>
    </row>
    <row r="126" spans="1:8" s="3" customFormat="1" ht="25.5">
      <c r="A126" s="4" t="s">
        <v>129</v>
      </c>
      <c r="B126" s="82" t="s">
        <v>1341</v>
      </c>
      <c r="C126" s="82" t="s">
        <v>127</v>
      </c>
      <c r="D126" s="4" t="s">
        <v>30</v>
      </c>
      <c r="E126" s="4">
        <v>1</v>
      </c>
      <c r="F126" s="5" t="s">
        <v>15</v>
      </c>
      <c r="G126" s="4" t="s">
        <v>129</v>
      </c>
      <c r="H126" s="27"/>
    </row>
    <row r="127" spans="1:8" s="3" customFormat="1" ht="25.5">
      <c r="A127" s="4" t="s">
        <v>130</v>
      </c>
      <c r="B127" s="82" t="s">
        <v>1342</v>
      </c>
      <c r="C127" s="82" t="s">
        <v>127</v>
      </c>
      <c r="D127" s="4" t="s">
        <v>30</v>
      </c>
      <c r="E127" s="4">
        <v>1</v>
      </c>
      <c r="F127" s="5" t="s">
        <v>15</v>
      </c>
      <c r="G127" s="4" t="s">
        <v>130</v>
      </c>
      <c r="H127" s="27"/>
    </row>
    <row r="128" spans="1:8" s="3" customFormat="1" ht="25.5">
      <c r="A128" s="4" t="s">
        <v>131</v>
      </c>
      <c r="B128" s="82" t="s">
        <v>1343</v>
      </c>
      <c r="C128" s="82" t="s">
        <v>127</v>
      </c>
      <c r="D128" s="4" t="s">
        <v>30</v>
      </c>
      <c r="E128" s="4">
        <v>1</v>
      </c>
      <c r="F128" s="5" t="s">
        <v>15</v>
      </c>
      <c r="G128" s="4" t="s">
        <v>131</v>
      </c>
      <c r="H128" s="27"/>
    </row>
    <row r="129" spans="1:8" s="3" customFormat="1" ht="25.5">
      <c r="A129" s="4" t="s">
        <v>132</v>
      </c>
      <c r="B129" s="82" t="s">
        <v>1344</v>
      </c>
      <c r="C129" s="82" t="s">
        <v>127</v>
      </c>
      <c r="D129" s="4" t="s">
        <v>30</v>
      </c>
      <c r="E129" s="4">
        <v>1</v>
      </c>
      <c r="F129" s="5" t="s">
        <v>15</v>
      </c>
      <c r="G129" s="4" t="s">
        <v>132</v>
      </c>
      <c r="H129" s="27"/>
    </row>
    <row r="130" spans="1:8" s="3" customFormat="1" ht="25.5">
      <c r="A130" s="4" t="s">
        <v>133</v>
      </c>
      <c r="B130" s="82" t="s">
        <v>1345</v>
      </c>
      <c r="C130" s="82" t="s">
        <v>127</v>
      </c>
      <c r="D130" s="4" t="s">
        <v>30</v>
      </c>
      <c r="E130" s="4">
        <v>1</v>
      </c>
      <c r="F130" s="5" t="s">
        <v>15</v>
      </c>
      <c r="G130" s="4" t="s">
        <v>133</v>
      </c>
      <c r="H130" s="27"/>
    </row>
    <row r="131" spans="1:8" s="3" customFormat="1" ht="25.5">
      <c r="A131" s="4" t="s">
        <v>134</v>
      </c>
      <c r="B131" s="82" t="s">
        <v>1346</v>
      </c>
      <c r="C131" s="82" t="s">
        <v>127</v>
      </c>
      <c r="D131" s="4" t="s">
        <v>30</v>
      </c>
      <c r="E131" s="4">
        <v>1</v>
      </c>
      <c r="F131" s="5" t="s">
        <v>15</v>
      </c>
      <c r="G131" s="4" t="s">
        <v>134</v>
      </c>
      <c r="H131" s="27"/>
    </row>
    <row r="132" spans="1:8" s="3" customFormat="1" ht="178.5">
      <c r="A132" s="4" t="s">
        <v>135</v>
      </c>
      <c r="B132" s="82" t="s">
        <v>1338</v>
      </c>
      <c r="C132" s="85" t="s">
        <v>1672</v>
      </c>
      <c r="D132" s="4" t="s">
        <v>30</v>
      </c>
      <c r="E132" s="4">
        <v>1</v>
      </c>
      <c r="F132" s="5" t="s">
        <v>15</v>
      </c>
      <c r="G132" s="4" t="s">
        <v>135</v>
      </c>
      <c r="H132" s="41"/>
    </row>
    <row r="133" spans="1:8" s="36" customFormat="1" ht="29.25" customHeight="1">
      <c r="A133" s="162" t="s">
        <v>1355</v>
      </c>
      <c r="B133" s="162"/>
      <c r="C133" s="162"/>
      <c r="D133" s="162"/>
      <c r="E133" s="162"/>
      <c r="F133" s="87" t="s">
        <v>15</v>
      </c>
      <c r="G133" s="87"/>
    </row>
    <row r="134" spans="1:8" s="36" customFormat="1" ht="14.25">
      <c r="A134" s="6" t="s">
        <v>4</v>
      </c>
      <c r="B134" s="7" t="s">
        <v>5</v>
      </c>
      <c r="C134" s="7" t="s">
        <v>6</v>
      </c>
      <c r="D134" s="6" t="s">
        <v>7</v>
      </c>
      <c r="E134" s="7" t="s">
        <v>8</v>
      </c>
      <c r="F134" s="7" t="s">
        <v>9</v>
      </c>
      <c r="G134" s="6" t="s">
        <v>10</v>
      </c>
    </row>
    <row r="135" spans="1:8" s="36" customFormat="1" ht="89.25">
      <c r="A135" s="60" t="s">
        <v>1203</v>
      </c>
      <c r="B135" s="44" t="str">
        <f>A135&amp;". How involved or uninvolved are you typically in deciding how to spend your household’s income?"</f>
        <v>GN1. How involved or uninvolved are you typically in deciding how to spend your household’s income?</v>
      </c>
      <c r="C135" s="44" t="s">
        <v>1206</v>
      </c>
      <c r="D135" s="60" t="s">
        <v>30</v>
      </c>
      <c r="E135" s="60">
        <v>2</v>
      </c>
      <c r="F135" s="61" t="s">
        <v>15</v>
      </c>
      <c r="G135" s="4" t="str">
        <f t="shared" ref="G135:G142" si="6">SUBSTITUTE(A135,".","_")</f>
        <v>GN1</v>
      </c>
    </row>
    <row r="136" spans="1:8" s="36" customFormat="1" ht="89.25">
      <c r="A136" s="60" t="s">
        <v>1205</v>
      </c>
      <c r="B136" s="44" t="str">
        <f>A136&amp;". How involved or uninvolved are you typically in deciding how your household’s income is spent on basic needs like food and clothing?"</f>
        <v>GN2. How involved or uninvolved are you typically in deciding how your household’s income is spent on basic needs like food and clothing?</v>
      </c>
      <c r="C136" s="44" t="s">
        <v>1206</v>
      </c>
      <c r="D136" s="60" t="s">
        <v>30</v>
      </c>
      <c r="E136" s="60">
        <v>2</v>
      </c>
      <c r="F136" s="61" t="s">
        <v>15</v>
      </c>
      <c r="G136" s="4" t="str">
        <f t="shared" si="6"/>
        <v>GN2</v>
      </c>
    </row>
    <row r="137" spans="1:8" s="36" customFormat="1" ht="89.25">
      <c r="A137" s="60" t="s">
        <v>1207</v>
      </c>
      <c r="B137" s="44" t="str">
        <f>A137&amp;". How involved or uninvolved are you typically in deciding how your household’s income is spent on other things beyond basic needs?"</f>
        <v>GN3. How involved or uninvolved are you typically in deciding how your household’s income is spent on other things beyond basic needs?</v>
      </c>
      <c r="C137" s="44" t="s">
        <v>1206</v>
      </c>
      <c r="D137" s="60" t="s">
        <v>30</v>
      </c>
      <c r="E137" s="60">
        <v>2</v>
      </c>
      <c r="F137" s="61" t="s">
        <v>15</v>
      </c>
      <c r="G137" s="4" t="str">
        <f t="shared" si="6"/>
        <v>GN3</v>
      </c>
    </row>
    <row r="138" spans="1:8" s="36" customFormat="1" ht="89.25">
      <c r="A138" s="60" t="s">
        <v>1208</v>
      </c>
      <c r="B138" s="44" t="str">
        <f>A138&amp;". If you were to speak your mind on a typical decision on how to spend your household’s income, how much influence would you have on the final decision?"</f>
        <v>GN4. If you were to speak your mind on a typical decision on how to spend your household’s income, how much influence would you have on the final decision?</v>
      </c>
      <c r="C138" s="44" t="s">
        <v>1204</v>
      </c>
      <c r="D138" s="60" t="s">
        <v>30</v>
      </c>
      <c r="E138" s="60">
        <v>2</v>
      </c>
      <c r="F138" s="61" t="s">
        <v>15</v>
      </c>
      <c r="G138" s="4" t="str">
        <f t="shared" si="6"/>
        <v>GN4</v>
      </c>
    </row>
    <row r="139" spans="1:8" s="36" customFormat="1" ht="89.25">
      <c r="A139" s="60" t="s">
        <v>1209</v>
      </c>
      <c r="B139" s="44" t="str">
        <f>A139&amp;". If you happened to disagree with a typical decision about how your household’s income is spent, how likely would you be to voice disagreement?"</f>
        <v>GN5. If you happened to disagree with a typical decision about how your household’s income is spent, how likely would you be to voice disagreement?</v>
      </c>
      <c r="C139" s="44" t="s">
        <v>1211</v>
      </c>
      <c r="D139" s="60" t="s">
        <v>30</v>
      </c>
      <c r="E139" s="60">
        <v>2</v>
      </c>
      <c r="F139" s="61" t="s">
        <v>15</v>
      </c>
      <c r="G139" s="4" t="str">
        <f t="shared" si="6"/>
        <v>GN5</v>
      </c>
    </row>
    <row r="140" spans="1:8" s="36" customFormat="1" ht="89.25">
      <c r="A140" s="60" t="s">
        <v>1210</v>
      </c>
      <c r="B140" s="84" t="str">
        <f>A140&amp;". Please tell me how much you agree or disagree with the following statements: You make the final decision on how household income is spent."</f>
        <v>GN6. Please tell me how much you agree or disagree with the following statements: You make the final decision on how household income is spent.</v>
      </c>
      <c r="C140" s="84" t="s">
        <v>1123</v>
      </c>
      <c r="D140" s="60" t="s">
        <v>30</v>
      </c>
      <c r="E140" s="60">
        <v>2</v>
      </c>
      <c r="F140" s="61" t="s">
        <v>15</v>
      </c>
      <c r="G140" s="4" t="str">
        <f t="shared" si="6"/>
        <v>GN6</v>
      </c>
    </row>
    <row r="141" spans="1:8" s="36" customFormat="1" ht="89.25">
      <c r="A141" s="60" t="s">
        <v>769</v>
      </c>
      <c r="B141" s="44" t="str">
        <f>A141&amp;". Please tell me how much you agree or disagree with the following statements: You make the final decision on how your money is spent or saved."</f>
        <v>GN7. Please tell me how much you agree or disagree with the following statements: You make the final decision on how your money is spent or saved.</v>
      </c>
      <c r="C141" s="44" t="s">
        <v>1123</v>
      </c>
      <c r="D141" s="60" t="s">
        <v>30</v>
      </c>
      <c r="E141" s="60">
        <v>2</v>
      </c>
      <c r="F141" s="61" t="s">
        <v>15</v>
      </c>
      <c r="G141" s="4" t="str">
        <f t="shared" si="6"/>
        <v>GN7</v>
      </c>
    </row>
    <row r="142" spans="1:8" s="36" customFormat="1" ht="89.25">
      <c r="A142" s="60" t="s">
        <v>1212</v>
      </c>
      <c r="B142" s="44" t="str">
        <f>A142&amp;". Please tell me how much you agree or disagree with the following statements: You trust financial service providers to keep your personal information private unless you allow it to be shared."</f>
        <v>GN8. Please tell me how much you agree or disagree with the following statements: You trust financial service providers to keep your personal information private unless you allow it to be shared.</v>
      </c>
      <c r="C142" s="44" t="s">
        <v>1123</v>
      </c>
      <c r="D142" s="60" t="s">
        <v>30</v>
      </c>
      <c r="E142" s="60">
        <v>2</v>
      </c>
      <c r="F142" s="61" t="s">
        <v>15</v>
      </c>
      <c r="G142" s="4" t="str">
        <f t="shared" si="6"/>
        <v>GN8</v>
      </c>
    </row>
    <row r="143" spans="1:8" s="36" customFormat="1" ht="29.25" customHeight="1">
      <c r="A143" s="162" t="s">
        <v>1539</v>
      </c>
      <c r="B143" s="162"/>
      <c r="C143" s="162"/>
      <c r="D143" s="162"/>
      <c r="E143" s="162"/>
      <c r="F143" s="87" t="s">
        <v>15</v>
      </c>
      <c r="G143" s="87"/>
    </row>
    <row r="144" spans="1:8" s="36" customFormat="1" ht="14.25">
      <c r="A144" s="6" t="s">
        <v>4</v>
      </c>
      <c r="B144" s="7" t="s">
        <v>5</v>
      </c>
      <c r="C144" s="7" t="s">
        <v>6</v>
      </c>
      <c r="D144" s="6" t="s">
        <v>7</v>
      </c>
      <c r="E144" s="7" t="s">
        <v>8</v>
      </c>
      <c r="F144" s="7" t="s">
        <v>9</v>
      </c>
      <c r="G144" s="6" t="s">
        <v>10</v>
      </c>
    </row>
    <row r="145" spans="1:8" s="62" customFormat="1" ht="63.75">
      <c r="A145" s="60" t="s">
        <v>1439</v>
      </c>
      <c r="B145" s="44" t="str">
        <f>A145&amp;". Please tell me how much you agree or disagree with the following statements: "&amp;Other!AG2</f>
        <v>FH1. Please tell me how much you agree or disagree with the following statements: You have a plan for how your money will be used in the next few days</v>
      </c>
      <c r="C145" s="44" t="s">
        <v>148</v>
      </c>
      <c r="D145" s="60" t="s">
        <v>30</v>
      </c>
      <c r="E145" s="60">
        <v>1</v>
      </c>
      <c r="F145" s="94" t="s">
        <v>15</v>
      </c>
      <c r="G145" s="60" t="str">
        <f t="shared" ref="G145:G156" si="7">SUBSTITUTE(A145,".","_")</f>
        <v>FH1</v>
      </c>
    </row>
    <row r="146" spans="1:8" s="62" customFormat="1" ht="63.75">
      <c r="A146" s="60" t="s">
        <v>1440</v>
      </c>
      <c r="B146" s="44" t="str">
        <f>A146&amp;". Please tell me how much you agree or disagree with the following statements: "&amp;Other!AG3</f>
        <v>FH2. Please tell me how much you agree or disagree with the following statements: You have goals for the next few months for what you want to achieve with your money</v>
      </c>
      <c r="C146" s="44" t="s">
        <v>148</v>
      </c>
      <c r="D146" s="60" t="s">
        <v>30</v>
      </c>
      <c r="E146" s="60">
        <v>1</v>
      </c>
      <c r="F146" s="94" t="s">
        <v>15</v>
      </c>
      <c r="G146" s="60" t="str">
        <f t="shared" si="7"/>
        <v>FH2</v>
      </c>
    </row>
    <row r="147" spans="1:8" s="36" customFormat="1" ht="63.75">
      <c r="A147" s="60" t="s">
        <v>1441</v>
      </c>
      <c r="B147" s="44" t="str">
        <f>A147&amp;". Please tell me how much you agree or disagree with the following statements: "&amp;Other!AG4</f>
        <v>FH3. Please tell me how much you agree or disagree with the following statements: You have enough money to pay for your living expenses</v>
      </c>
      <c r="C147" s="44" t="s">
        <v>148</v>
      </c>
      <c r="D147" s="60" t="s">
        <v>30</v>
      </c>
      <c r="E147" s="60">
        <v>1</v>
      </c>
      <c r="F147" s="94" t="s">
        <v>15</v>
      </c>
      <c r="G147" s="4" t="str">
        <f t="shared" si="7"/>
        <v>FH3</v>
      </c>
    </row>
    <row r="148" spans="1:8" s="36" customFormat="1" ht="63.75">
      <c r="A148" s="60" t="s">
        <v>1442</v>
      </c>
      <c r="B148" s="44" t="str">
        <f>A148&amp;". Please tell me how much you agree or disagree with the following statements: "&amp;Other!AG5</f>
        <v>FH4. Please tell me how much you agree or disagree with the following statements: You spend less money than you make each month</v>
      </c>
      <c r="C148" s="44" t="s">
        <v>148</v>
      </c>
      <c r="D148" s="60" t="s">
        <v>30</v>
      </c>
      <c r="E148" s="60">
        <v>1</v>
      </c>
      <c r="F148" s="94" t="s">
        <v>15</v>
      </c>
      <c r="G148" s="4" t="str">
        <f t="shared" si="7"/>
        <v>FH4</v>
      </c>
    </row>
    <row r="149" spans="1:8" s="36" customFormat="1" ht="63.75">
      <c r="A149" s="60" t="s">
        <v>1443</v>
      </c>
      <c r="B149" s="44" t="str">
        <f>A149&amp;". Please tell me how much you agree or disagree with the following statements: "&amp;Other!AG6</f>
        <v>FH5. Please tell me how much you agree or disagree with the following statements: You pay your bills on time and in full</v>
      </c>
      <c r="C149" s="44" t="s">
        <v>148</v>
      </c>
      <c r="D149" s="60" t="s">
        <v>30</v>
      </c>
      <c r="E149" s="60">
        <v>1</v>
      </c>
      <c r="F149" s="94" t="s">
        <v>15</v>
      </c>
      <c r="G149" s="4" t="str">
        <f t="shared" si="7"/>
        <v>FH5</v>
      </c>
    </row>
    <row r="150" spans="1:8" s="36" customFormat="1" ht="63.75">
      <c r="A150" s="60" t="s">
        <v>1444</v>
      </c>
      <c r="B150" s="44" t="str">
        <f>A150&amp;". Please tell me how much you agree or disagree with the following statements: "&amp;Other!AG7</f>
        <v>FH6. Please tell me how much you agree or disagree with the following statements: You have an emergency fund that is large enough to cover unplanned expenses</v>
      </c>
      <c r="C150" s="44" t="s">
        <v>148</v>
      </c>
      <c r="D150" s="60" t="s">
        <v>30</v>
      </c>
      <c r="E150" s="60">
        <v>1</v>
      </c>
      <c r="F150" s="94" t="s">
        <v>15</v>
      </c>
      <c r="G150" s="4" t="str">
        <f t="shared" si="7"/>
        <v>FH6</v>
      </c>
    </row>
    <row r="151" spans="1:8" s="36" customFormat="1" ht="63.75">
      <c r="A151" s="60" t="s">
        <v>1445</v>
      </c>
      <c r="B151" s="44" t="str">
        <f>A151&amp;". Please tell me how much you agree or disagree with the following statements: "&amp;Other!AG8</f>
        <v>FH7. Please tell me how much you agree or disagree with the following statements: You are confident that your income will grow in the future</v>
      </c>
      <c r="C151" s="44" t="s">
        <v>148</v>
      </c>
      <c r="D151" s="60" t="s">
        <v>30</v>
      </c>
      <c r="E151" s="60">
        <v>1</v>
      </c>
      <c r="F151" s="94" t="s">
        <v>15</v>
      </c>
      <c r="G151" s="4" t="str">
        <f t="shared" si="7"/>
        <v>FH7</v>
      </c>
    </row>
    <row r="152" spans="1:8" s="36" customFormat="1" ht="63.75">
      <c r="A152" s="60" t="s">
        <v>1446</v>
      </c>
      <c r="B152" s="44" t="str">
        <f>A152&amp;". Please tell me how much you agree or disagree with the following statements: "&amp;Other!AG9</f>
        <v>FH8. Please tell me how much you agree or disagree with the following statements: You earn enough money to pay back debt and also pay for living expenses</v>
      </c>
      <c r="C152" s="44" t="s">
        <v>148</v>
      </c>
      <c r="D152" s="60" t="s">
        <v>30</v>
      </c>
      <c r="E152" s="60">
        <v>1</v>
      </c>
      <c r="F152" s="94" t="s">
        <v>15</v>
      </c>
      <c r="G152" s="4" t="str">
        <f t="shared" si="7"/>
        <v>FH8</v>
      </c>
    </row>
    <row r="153" spans="1:8" s="36" customFormat="1" ht="63.75">
      <c r="A153" s="60" t="s">
        <v>1447</v>
      </c>
      <c r="B153" s="44" t="str">
        <f>A153&amp;". Please tell me how much you agree or disagree with the following statements: "&amp;Other!AG10</f>
        <v>FH9. Please tell me how much you agree or disagree with the following statements: Friends and family rely on you to help with their finances</v>
      </c>
      <c r="C153" s="44" t="s">
        <v>148</v>
      </c>
      <c r="D153" s="60" t="s">
        <v>30</v>
      </c>
      <c r="E153" s="60">
        <v>1</v>
      </c>
      <c r="F153" s="94" t="s">
        <v>15</v>
      </c>
      <c r="G153" s="4" t="str">
        <f t="shared" si="7"/>
        <v>FH9</v>
      </c>
      <c r="H153" s="67"/>
    </row>
    <row r="154" spans="1:8" s="40" customFormat="1" ht="63.75">
      <c r="A154" s="60" t="s">
        <v>1448</v>
      </c>
      <c r="B154" s="44" t="str">
        <f>A154&amp;". Please tell me how much you agree or disagree with the following statements: "&amp;Other!AG11</f>
        <v>FH10. Please tell me how much you agree or disagree with the following statements: You have savings or assets that will keep you financially secure in the future</v>
      </c>
      <c r="C154" s="44" t="s">
        <v>148</v>
      </c>
      <c r="D154" s="60" t="s">
        <v>30</v>
      </c>
      <c r="E154" s="60">
        <v>1</v>
      </c>
      <c r="F154" s="94" t="s">
        <v>15</v>
      </c>
      <c r="G154" s="4" t="str">
        <f t="shared" si="7"/>
        <v>FH10</v>
      </c>
    </row>
    <row r="155" spans="1:8" s="36" customFormat="1" ht="63.75">
      <c r="A155" s="60" t="s">
        <v>1449</v>
      </c>
      <c r="B155" s="44" t="str">
        <f>A155&amp;". Please tell me how much you agree or disagree with the following statements: "&amp;Other!AG12</f>
        <v>FH11. Please tell me how much you agree or disagree with the following statements: You have the skills and knowledge to manage your finances well</v>
      </c>
      <c r="C155" s="44" t="s">
        <v>148</v>
      </c>
      <c r="D155" s="60" t="s">
        <v>30</v>
      </c>
      <c r="E155" s="60">
        <v>1</v>
      </c>
      <c r="F155" s="94" t="s">
        <v>15</v>
      </c>
      <c r="G155" s="4" t="str">
        <f t="shared" si="7"/>
        <v>FH11</v>
      </c>
    </row>
    <row r="156" spans="1:8" s="36" customFormat="1" ht="76.5">
      <c r="A156" s="60" t="s">
        <v>1450</v>
      </c>
      <c r="B156" s="136" t="str">
        <f>A156&amp;". Now, imagine that you have a medical emergency and you need to pay 6,000 rupees. How easy or difficult would it be for you to get the 6,000 rupees within the next month?"</f>
        <v>FH12. Now, imagine that you have a medical emergency and you need to pay 6,000 rupees. How easy or difficult would it be for you to get the 6,000 rupees within the next month?</v>
      </c>
      <c r="C156" s="82" t="s">
        <v>337</v>
      </c>
      <c r="D156" s="60" t="s">
        <v>30</v>
      </c>
      <c r="E156" s="60">
        <v>2</v>
      </c>
      <c r="F156" s="94" t="s">
        <v>15</v>
      </c>
      <c r="G156" s="4" t="str">
        <f t="shared" si="7"/>
        <v>FH12</v>
      </c>
    </row>
    <row r="157" spans="1:8" s="36" customFormat="1" ht="25.5" customHeight="1">
      <c r="A157" s="162" t="s">
        <v>1540</v>
      </c>
      <c r="B157" s="165" t="s">
        <v>336</v>
      </c>
      <c r="C157" s="165" t="s">
        <v>336</v>
      </c>
      <c r="D157" s="165" t="s">
        <v>336</v>
      </c>
      <c r="E157" s="165" t="s">
        <v>336</v>
      </c>
      <c r="F157" s="165" t="s">
        <v>336</v>
      </c>
      <c r="G157" s="165" t="s">
        <v>336</v>
      </c>
    </row>
    <row r="158" spans="1:8" s="36" customFormat="1" ht="14.25">
      <c r="A158" s="6" t="s">
        <v>4</v>
      </c>
      <c r="B158" s="7" t="s">
        <v>5</v>
      </c>
      <c r="C158" s="7" t="s">
        <v>6</v>
      </c>
      <c r="D158" s="6" t="s">
        <v>7</v>
      </c>
      <c r="E158" s="7" t="s">
        <v>8</v>
      </c>
      <c r="F158" s="7" t="s">
        <v>9</v>
      </c>
      <c r="G158" s="6" t="s">
        <v>10</v>
      </c>
    </row>
    <row r="159" spans="1:8" s="36" customFormat="1" ht="38.25">
      <c r="A159" s="60" t="s">
        <v>1213</v>
      </c>
      <c r="B159" s="44" t="str">
        <f>A159&amp;". Imagine you have 2,000 Rs. Somebody gave you 200 Rs more. How much total money will you have? [DO NOT READ ANSWERS]"</f>
        <v>FL12. Imagine you have 2,000 Rs. Somebody gave you 200 Rs more. How much total money will you have? [DO NOT READ ANSWERS]</v>
      </c>
      <c r="C159" s="82" t="s">
        <v>1581</v>
      </c>
      <c r="D159" s="60" t="s">
        <v>30</v>
      </c>
      <c r="E159" s="60">
        <v>2</v>
      </c>
      <c r="F159" s="83" t="s">
        <v>15</v>
      </c>
      <c r="G159" s="4" t="str">
        <f t="shared" ref="G159:G168" si="8">SUBSTITUTE(A159,".","_")</f>
        <v>FL12</v>
      </c>
    </row>
    <row r="160" spans="1:8" s="36" customFormat="1" ht="38.25">
      <c r="A160" s="60" t="s">
        <v>1308</v>
      </c>
      <c r="B160" s="44" t="str">
        <f>A160&amp;". Imagine you have 1,000 Rs and you have to divide it among 5 people. How much money will each person receive if you divide it equally? [DO NOT READ ANSWERS]"</f>
        <v>FL13. Imagine you have 1,000 Rs and you have to divide it among 5 people. How much money will each person receive if you divide it equally? [DO NOT READ ANSWERS]</v>
      </c>
      <c r="C160" s="82" t="s">
        <v>1582</v>
      </c>
      <c r="D160" s="60" t="s">
        <v>30</v>
      </c>
      <c r="E160" s="60">
        <v>2</v>
      </c>
      <c r="F160" s="83" t="s">
        <v>15</v>
      </c>
      <c r="G160" s="4" t="str">
        <f t="shared" si="8"/>
        <v>FL13</v>
      </c>
    </row>
    <row r="161" spans="1:8" s="36" customFormat="1" ht="51">
      <c r="A161" s="60" t="s">
        <v>1309</v>
      </c>
      <c r="B161" s="44" t="str">
        <f>A161&amp;". Is it safer to put your money into one business or investment, or to put your money into multiple businesses or investments?"</f>
        <v>FL14. Is it safer to put your money into one business or investment, or to put your money into multiple businesses or investments?</v>
      </c>
      <c r="C161" s="82" t="s">
        <v>1310</v>
      </c>
      <c r="D161" s="60" t="s">
        <v>30</v>
      </c>
      <c r="E161" s="60">
        <v>2</v>
      </c>
      <c r="F161" s="83" t="s">
        <v>15</v>
      </c>
      <c r="G161" s="4" t="str">
        <f t="shared" si="8"/>
        <v>FL14</v>
      </c>
    </row>
    <row r="162" spans="1:8" s="36" customFormat="1" ht="51">
      <c r="A162" s="60" t="s">
        <v>1311</v>
      </c>
      <c r="B162" s="44" t="str">
        <f>A162&amp;".Suppose over the next 10 years the prices of the things you buy double. If your income also doubles, will you be able to buy less than you can buy today, the same as you can buy today, or more than you can buy today?"</f>
        <v>FL15.Suppose over the next 10 years the prices of the things you buy double. If your income also doubles, will you be able to buy less than you can buy today, the same as you can buy today, or more than you can buy today?</v>
      </c>
      <c r="C162" s="82" t="s">
        <v>1312</v>
      </c>
      <c r="D162" s="60" t="s">
        <v>30</v>
      </c>
      <c r="E162" s="60">
        <v>2</v>
      </c>
      <c r="F162" s="83" t="s">
        <v>15</v>
      </c>
      <c r="G162" s="4" t="str">
        <f t="shared" si="8"/>
        <v>FL15</v>
      </c>
      <c r="H162" s="67"/>
    </row>
    <row r="163" spans="1:8" s="40" customFormat="1" ht="38.25">
      <c r="A163" s="60" t="s">
        <v>1313</v>
      </c>
      <c r="B163" s="117" t="str">
        <f>A163&amp;".Suppose you need to borrow 100 Rs. Which is the lower amount to pay back: 105 Rs or 100 Rs plus 3 percent?"</f>
        <v>FL16.Suppose you need to borrow 100 Rs. Which is the lower amount to pay back: 105 Rs or 100 Rs plus 3 percent?</v>
      </c>
      <c r="C163" s="82" t="s">
        <v>1585</v>
      </c>
      <c r="D163" s="60" t="s">
        <v>30</v>
      </c>
      <c r="E163" s="60">
        <v>2</v>
      </c>
      <c r="F163" s="83" t="s">
        <v>15</v>
      </c>
      <c r="G163" s="4" t="str">
        <f t="shared" si="8"/>
        <v>FL16</v>
      </c>
    </row>
    <row r="164" spans="1:8" s="36" customFormat="1" ht="38.25">
      <c r="A164" s="60" t="s">
        <v>1314</v>
      </c>
      <c r="B164" s="44" t="str">
        <f>A164&amp;".Suppose you put money in the bank for two years and the bank agrees to add 15 percent per year to your account. Will the bank add more money to your account the second year than it did the first year, or will it add the same amount of money both years?"</f>
        <v>FL17.Suppose you put money in the bank for two years and the bank agrees to add 15 percent per year to your account. Will the bank add more money to your account the second year than it did the first year, or will it add the same amount of money both years?</v>
      </c>
      <c r="C164" s="82" t="s">
        <v>1315</v>
      </c>
      <c r="D164" s="60" t="s">
        <v>30</v>
      </c>
      <c r="E164" s="60">
        <v>2</v>
      </c>
      <c r="F164" s="83" t="s">
        <v>15</v>
      </c>
      <c r="G164" s="4" t="str">
        <f t="shared" si="8"/>
        <v>FL17</v>
      </c>
    </row>
    <row r="165" spans="1:8" s="36" customFormat="1" ht="51">
      <c r="A165" s="60" t="s">
        <v>1316</v>
      </c>
      <c r="B165" s="118" t="str">
        <f>A165&amp;".Suppose you had 100 Rs. in a savings account and the bank adds 10 percent per year to the account. How much money would you have in the account after five years if you did not remove any money from the account?"</f>
        <v>FL18.Suppose you had 100 Rs. in a savings account and the bank adds 10 percent per year to the account. How much money would you have in the account after five years if you did not remove any money from the account?</v>
      </c>
      <c r="C165" s="118" t="s">
        <v>1606</v>
      </c>
      <c r="D165" s="111" t="s">
        <v>30</v>
      </c>
      <c r="E165" s="111">
        <v>2</v>
      </c>
      <c r="F165" s="112" t="s">
        <v>15</v>
      </c>
      <c r="G165" s="113" t="str">
        <f t="shared" si="8"/>
        <v>FL18</v>
      </c>
    </row>
    <row r="166" spans="1:8" s="36" customFormat="1" ht="89.25">
      <c r="A166" s="109" t="s">
        <v>1514</v>
      </c>
      <c r="B166" s="115" t="str">
        <f>A166&amp;". Please look at the screen and select the number of dots shown in the picture. [TURN THE SCREEN TO THE RESPONDENT AND ALLOW THE RESPONDENT TO SELECT THE ANSWER.]"</f>
        <v>FL19. Please look at the screen and select the number of dots shown in the picture. [TURN THE SCREEN TO THE RESPONDENT AND ALLOW THE RESPONDENT TO SELECT THE ANSWER.]</v>
      </c>
      <c r="C166" s="161" t="s">
        <v>1670</v>
      </c>
      <c r="D166" s="116" t="s">
        <v>30</v>
      </c>
      <c r="E166" s="116">
        <v>1</v>
      </c>
      <c r="F166" s="40" t="s">
        <v>15</v>
      </c>
      <c r="G166" s="110" t="str">
        <f t="shared" si="8"/>
        <v>FL19</v>
      </c>
    </row>
    <row r="167" spans="1:8" s="36" customFormat="1" ht="76.5">
      <c r="A167" s="60" t="s">
        <v>1515</v>
      </c>
      <c r="B167" s="114" t="str">
        <f>A167&amp;". [READ OUT 1080 Rs.] Please identify the sum of money I just read by selecting your answer. [ADVANCE TO THE NEXT SCREEN. TURN THE SCREEN TO THE RESPONDENT AND ALLOW THE RESPONDENT TO SELECT THE ANSWER.]"</f>
        <v>FL20. [READ OUT 1080 Rs.] Please identify the sum of money I just read by selecting your answer. [ADVANCE TO THE NEXT SCREEN. TURN THE SCREEN TO THE RESPONDENT AND ALLOW THE RESPONDENT TO SELECT THE ANSWER.]</v>
      </c>
      <c r="C167" s="161" t="s">
        <v>1671</v>
      </c>
      <c r="D167" s="116" t="s">
        <v>30</v>
      </c>
      <c r="E167" s="116">
        <v>1</v>
      </c>
      <c r="F167" s="40" t="s">
        <v>15</v>
      </c>
      <c r="G167" s="110" t="str">
        <f t="shared" si="8"/>
        <v>FL20</v>
      </c>
    </row>
    <row r="168" spans="1:8" s="36" customFormat="1" ht="38.25">
      <c r="A168" s="60" t="s">
        <v>1516</v>
      </c>
      <c r="B168" s="114" t="str">
        <f>A168&amp;". If you saved 200 Rs. per month, how many rupees would you have after three months? [DO NOT READ ANSWERS]"</f>
        <v>FL21. If you saved 200 Rs. per month, how many rupees would you have after three months? [DO NOT READ ANSWERS]</v>
      </c>
      <c r="C168" s="35" t="s">
        <v>1517</v>
      </c>
      <c r="D168" s="116" t="s">
        <v>338</v>
      </c>
      <c r="E168" s="116">
        <v>2</v>
      </c>
      <c r="F168" s="40" t="s">
        <v>15</v>
      </c>
      <c r="G168" s="110" t="str">
        <f t="shared" si="8"/>
        <v>FL21</v>
      </c>
    </row>
    <row r="169" spans="1:8" s="20" customFormat="1" ht="34.5" customHeight="1">
      <c r="A169" s="162" t="s">
        <v>1541</v>
      </c>
      <c r="B169" s="162"/>
      <c r="C169" s="162"/>
      <c r="D169" s="162"/>
      <c r="E169" s="162"/>
      <c r="F169" s="87" t="s">
        <v>15</v>
      </c>
      <c r="G169" s="87"/>
      <c r="H169" s="29"/>
    </row>
    <row r="170" spans="1:8" s="19" customFormat="1" ht="12.75">
      <c r="A170" s="6" t="s">
        <v>4</v>
      </c>
      <c r="B170" s="7" t="s">
        <v>5</v>
      </c>
      <c r="C170" s="7" t="s">
        <v>6</v>
      </c>
      <c r="D170" s="6" t="s">
        <v>7</v>
      </c>
      <c r="E170" s="7" t="s">
        <v>8</v>
      </c>
      <c r="F170" s="7" t="s">
        <v>9</v>
      </c>
      <c r="G170" s="6" t="s">
        <v>10</v>
      </c>
      <c r="H170" s="13"/>
    </row>
    <row r="171" spans="1:8" s="63" customFormat="1" ht="25.5">
      <c r="A171" s="60" t="s">
        <v>136</v>
      </c>
      <c r="B171" s="44" t="s">
        <v>1347</v>
      </c>
      <c r="C171" s="44" t="s">
        <v>137</v>
      </c>
      <c r="D171" s="60" t="s">
        <v>30</v>
      </c>
      <c r="E171" s="60">
        <v>1</v>
      </c>
      <c r="F171" s="88" t="s">
        <v>15</v>
      </c>
      <c r="G171" s="60" t="str">
        <f t="shared" ref="G171:G187" si="9">SUBSTITUTE(A171,".","_")</f>
        <v>MT2</v>
      </c>
      <c r="H171" s="43"/>
    </row>
    <row r="172" spans="1:8" s="63" customFormat="1" ht="25.5">
      <c r="A172" s="60" t="s">
        <v>138</v>
      </c>
      <c r="B172" s="44" t="str">
        <f>A172&amp;". Do you own a "&amp;Other!D2&amp;"?"</f>
        <v>MT2A.1. Do you own a basic phone (only allows calling, messaging, and saving phone numbers)?</v>
      </c>
      <c r="C172" s="44" t="s">
        <v>137</v>
      </c>
      <c r="D172" s="60" t="s">
        <v>30</v>
      </c>
      <c r="E172" s="60">
        <v>1</v>
      </c>
      <c r="F172" s="88" t="s">
        <v>139</v>
      </c>
      <c r="G172" s="60" t="str">
        <f t="shared" si="9"/>
        <v>MT2A_1</v>
      </c>
      <c r="H172" s="43"/>
    </row>
    <row r="173" spans="1:8" s="63" customFormat="1" ht="25.5">
      <c r="A173" s="60" t="s">
        <v>140</v>
      </c>
      <c r="B173" s="44" t="str">
        <f>A173&amp;". Do you own a "&amp;Other!D3&amp;"?"</f>
        <v>MT2A.2. Do you own a feature phone (has a camera, radio)?</v>
      </c>
      <c r="C173" s="44" t="s">
        <v>137</v>
      </c>
      <c r="D173" s="60" t="s">
        <v>30</v>
      </c>
      <c r="E173" s="60">
        <v>1</v>
      </c>
      <c r="F173" s="88" t="s">
        <v>139</v>
      </c>
      <c r="G173" s="60" t="str">
        <f t="shared" si="9"/>
        <v>MT2A_2</v>
      </c>
      <c r="H173" s="43"/>
    </row>
    <row r="174" spans="1:8" s="63" customFormat="1" ht="25.5">
      <c r="A174" s="60" t="s">
        <v>141</v>
      </c>
      <c r="B174" s="44" t="str">
        <f>A174&amp;". Do you own a "&amp;Other!D4&amp;"?"</f>
        <v>MT2A.3. Do you own a smartphone (has a touch screen, apps) ?</v>
      </c>
      <c r="C174" s="44" t="s">
        <v>137</v>
      </c>
      <c r="D174" s="60" t="s">
        <v>30</v>
      </c>
      <c r="E174" s="60">
        <v>1</v>
      </c>
      <c r="F174" s="88" t="s">
        <v>139</v>
      </c>
      <c r="G174" s="60" t="str">
        <f t="shared" si="9"/>
        <v>MT2A_3</v>
      </c>
      <c r="H174" s="43"/>
    </row>
    <row r="175" spans="1:8" s="63" customFormat="1" ht="63.75">
      <c r="A175" s="60" t="s">
        <v>142</v>
      </c>
      <c r="B175" s="117" t="str">
        <f>A175&amp;". How often do you share your mobile phone or allow it to be used by other people?"</f>
        <v>MT2B. How often do you share your mobile phone or allow it to be used by other people?</v>
      </c>
      <c r="C175" s="117" t="s">
        <v>1586</v>
      </c>
      <c r="D175" s="60" t="s">
        <v>30</v>
      </c>
      <c r="E175" s="60">
        <v>1</v>
      </c>
      <c r="F175" s="88" t="s">
        <v>139</v>
      </c>
      <c r="G175" s="60" t="str">
        <f t="shared" si="9"/>
        <v>MT2B</v>
      </c>
      <c r="H175" s="43"/>
    </row>
    <row r="176" spans="1:8" s="63" customFormat="1" ht="63.75">
      <c r="A176" s="60" t="s">
        <v>143</v>
      </c>
      <c r="B176" s="44" t="str">
        <f>A176&amp;". How often do you have a problem charging your phone because of a lack of electrical power?"</f>
        <v>MT6B. How often do you have a problem charging your phone because of a lack of electrical power?</v>
      </c>
      <c r="C176" s="44" t="s">
        <v>144</v>
      </c>
      <c r="D176" s="60" t="s">
        <v>30</v>
      </c>
      <c r="E176" s="60">
        <v>1</v>
      </c>
      <c r="F176" s="88" t="s">
        <v>139</v>
      </c>
      <c r="G176" s="60" t="str">
        <f t="shared" si="9"/>
        <v>MT6B</v>
      </c>
      <c r="H176" s="43"/>
    </row>
    <row r="177" spans="1:8" s="63" customFormat="1" ht="63.75">
      <c r="A177" s="60" t="s">
        <v>145</v>
      </c>
      <c r="B177" s="44" t="str">
        <f>A177&amp;". How often do you have a problem using your phone because of a network failure?"</f>
        <v>MT6C. How often do you have a problem using your phone because of a network failure?</v>
      </c>
      <c r="C177" s="44" t="s">
        <v>144</v>
      </c>
      <c r="D177" s="60" t="s">
        <v>30</v>
      </c>
      <c r="E177" s="60">
        <v>1</v>
      </c>
      <c r="F177" s="88" t="s">
        <v>139</v>
      </c>
      <c r="G177" s="60" t="str">
        <f t="shared" si="9"/>
        <v>MT6C</v>
      </c>
      <c r="H177" s="43"/>
    </row>
    <row r="178" spans="1:8" s="63" customFormat="1" ht="63.75">
      <c r="A178" s="60" t="s">
        <v>146</v>
      </c>
      <c r="B178" s="44" t="str">
        <f>A178&amp;". How often do you have a problem using your phone because there is no network coverage?"</f>
        <v>MT6D. How often do you have a problem using your phone because there is no network coverage?</v>
      </c>
      <c r="C178" s="44" t="s">
        <v>144</v>
      </c>
      <c r="D178" s="60" t="s">
        <v>30</v>
      </c>
      <c r="E178" s="60">
        <v>1</v>
      </c>
      <c r="F178" s="88" t="s">
        <v>139</v>
      </c>
      <c r="G178" s="60" t="str">
        <f t="shared" si="9"/>
        <v>MT6D</v>
      </c>
      <c r="H178" s="43"/>
    </row>
    <row r="179" spans="1:8" s="63" customFormat="1" ht="63.75">
      <c r="A179" s="60" t="s">
        <v>1435</v>
      </c>
      <c r="B179" s="44" t="str">
        <f>A179&amp;". How often do you have a problem using your phone because you cannot buy more airtime?"</f>
        <v>MT6E. How often do you have a problem using your phone because you cannot buy more airtime?</v>
      </c>
      <c r="C179" s="44" t="s">
        <v>144</v>
      </c>
      <c r="D179" s="60" t="s">
        <v>30</v>
      </c>
      <c r="E179" s="60">
        <v>1</v>
      </c>
      <c r="F179" s="88" t="s">
        <v>139</v>
      </c>
      <c r="G179" s="60" t="str">
        <f t="shared" si="9"/>
        <v>MT6E</v>
      </c>
      <c r="H179" s="43"/>
    </row>
    <row r="180" spans="1:8" s="63" customFormat="1" ht="89.25">
      <c r="A180" s="60" t="s">
        <v>147</v>
      </c>
      <c r="B180" s="44" t="str">
        <f>A180&amp;". Please tell me how much you agree or disagree with the following statement on how your phone is used: I make the final decision on how my phone is used."</f>
        <v>MTGN. Please tell me how much you agree or disagree with the following statement on how your phone is used: I make the final decision on how my phone is used.</v>
      </c>
      <c r="C180" s="44" t="s">
        <v>1123</v>
      </c>
      <c r="D180" s="60" t="s">
        <v>30</v>
      </c>
      <c r="E180" s="60">
        <v>2</v>
      </c>
      <c r="F180" s="88" t="s">
        <v>139</v>
      </c>
      <c r="G180" s="60" t="str">
        <f t="shared" si="9"/>
        <v>MTGN</v>
      </c>
      <c r="H180" s="43"/>
    </row>
    <row r="181" spans="1:8" s="63" customFormat="1" ht="25.5">
      <c r="A181" s="60" t="s">
        <v>149</v>
      </c>
      <c r="B181" s="44" t="str">
        <f>A181&amp;". Do you use a mobile phone that belongs to someone else or is shared?"</f>
        <v>MT7. Do you use a mobile phone that belongs to someone else or is shared?</v>
      </c>
      <c r="C181" s="44" t="s">
        <v>137</v>
      </c>
      <c r="D181" s="60" t="s">
        <v>30</v>
      </c>
      <c r="E181" s="60">
        <v>1</v>
      </c>
      <c r="F181" s="88" t="s">
        <v>15</v>
      </c>
      <c r="G181" s="60" t="str">
        <f t="shared" si="9"/>
        <v>MT7</v>
      </c>
      <c r="H181" s="43"/>
    </row>
    <row r="182" spans="1:8" s="63" customFormat="1" ht="38.25">
      <c r="A182" s="60" t="s">
        <v>150</v>
      </c>
      <c r="B182" s="44" t="str">
        <f>A182&amp;". Do you use mobile data, or only voice and text?"</f>
        <v>MT8. Do you use mobile data, or only voice and text?</v>
      </c>
      <c r="C182" s="77" t="s">
        <v>151</v>
      </c>
      <c r="D182" s="60" t="s">
        <v>30</v>
      </c>
      <c r="E182" s="60">
        <v>2</v>
      </c>
      <c r="F182" s="88" t="s">
        <v>152</v>
      </c>
      <c r="G182" s="60" t="str">
        <f t="shared" si="9"/>
        <v>MT8</v>
      </c>
      <c r="H182" s="43"/>
    </row>
    <row r="183" spans="1:8" s="63" customFormat="1" ht="38.25">
      <c r="A183" s="60" t="s">
        <v>153</v>
      </c>
      <c r="B183" s="44" t="str">
        <f>A183&amp;". Now I will read a list of reasons why some people do not own mobile phones. For each one that I read, please tell me whether or not it is a reason why you do not own a phone? "&amp;Other!F2</f>
        <v>MT9.1. Now I will read a list of reasons why some people do not own mobile phones. For each one that I read, please tell me whether or not it is a reason why you do not own a phone? Lack of money to buy a mobile phone</v>
      </c>
      <c r="C183" s="44" t="s">
        <v>137</v>
      </c>
      <c r="D183" s="60" t="s">
        <v>30</v>
      </c>
      <c r="E183" s="60">
        <v>1</v>
      </c>
      <c r="F183" s="88" t="s">
        <v>154</v>
      </c>
      <c r="G183" s="60" t="str">
        <f t="shared" si="9"/>
        <v>MT9_1</v>
      </c>
      <c r="H183" s="43"/>
    </row>
    <row r="184" spans="1:8" s="63" customFormat="1" ht="38.25">
      <c r="A184" s="60" t="s">
        <v>155</v>
      </c>
      <c r="B184" s="44" t="str">
        <f>A184&amp;". Now I will read a list of reasons why some people do not own mobile phones. For each one that I read, please tell me whether or not it is a reason why you do not own a phone? "&amp;Other!F3</f>
        <v>MT9.2. Now I will read a list of reasons why some people do not own mobile phones. For each one that I read, please tell me whether or not it is a reason why you do not own a phone? No need for a mobile phone</v>
      </c>
      <c r="C184" s="44" t="s">
        <v>137</v>
      </c>
      <c r="D184" s="60" t="s">
        <v>30</v>
      </c>
      <c r="E184" s="60">
        <v>1</v>
      </c>
      <c r="F184" s="88" t="s">
        <v>154</v>
      </c>
      <c r="G184" s="60" t="str">
        <f t="shared" si="9"/>
        <v>MT9_2</v>
      </c>
      <c r="H184" s="43"/>
    </row>
    <row r="185" spans="1:8" s="63" customFormat="1" ht="38.25">
      <c r="A185" s="60" t="s">
        <v>156</v>
      </c>
      <c r="B185" s="44" t="str">
        <f>A185&amp;". Now I will read a list of reasons why some people do not own mobile phones. For each one that I read, please tell me whether or not it is a reason why you do not own a phone? "&amp;Other!F4</f>
        <v>MT9.3. Now I will read a list of reasons why some people do not own mobile phones. For each one that I read, please tell me whether or not it is a reason why you do not own a phone? My mobile phone was lost, broken, or stopped working</v>
      </c>
      <c r="C185" s="44" t="s">
        <v>137</v>
      </c>
      <c r="D185" s="60" t="s">
        <v>30</v>
      </c>
      <c r="E185" s="60">
        <v>1</v>
      </c>
      <c r="F185" s="88" t="s">
        <v>154</v>
      </c>
      <c r="G185" s="60" t="str">
        <f t="shared" si="9"/>
        <v>MT9_3</v>
      </c>
      <c r="H185" s="43"/>
    </row>
    <row r="186" spans="1:8" s="63" customFormat="1" ht="38.25">
      <c r="A186" s="60" t="s">
        <v>157</v>
      </c>
      <c r="B186" s="44" t="str">
        <f>A186&amp;". Now I will read a list of reasons why some people do not own mobile phones. For each one that I read, please tell me whether or not it is a reason why you do not own a phone? "&amp;Other!F5</f>
        <v>MT9.4. Now I will read a list of reasons why some people do not own mobile phones. For each one that I read, please tell me whether or not it is a reason why you do not own a phone? My family members do not want me to have a mobile phone.</v>
      </c>
      <c r="C186" s="44" t="s">
        <v>137</v>
      </c>
      <c r="D186" s="60" t="s">
        <v>30</v>
      </c>
      <c r="E186" s="60">
        <v>1</v>
      </c>
      <c r="F186" s="88" t="s">
        <v>154</v>
      </c>
      <c r="G186" s="60" t="str">
        <f t="shared" si="9"/>
        <v>MT9_4</v>
      </c>
      <c r="H186" s="43"/>
    </row>
    <row r="187" spans="1:8" s="63" customFormat="1" ht="38.25">
      <c r="A187" s="60" t="s">
        <v>158</v>
      </c>
      <c r="B187" s="44" t="str">
        <f>A187&amp;". Now I will read a list of reasons why some people do not own mobile phones. For each one that I read, please tell me whether or not it is a reason why you do not own a phone? "&amp;Other!F6</f>
        <v>MT9.5. Now I will read a list of reasons why some people do not own mobile phones. For each one that I read, please tell me whether or not it is a reason why you do not own a phone? There is no mobile phone network where I live.</v>
      </c>
      <c r="C187" s="44" t="s">
        <v>137</v>
      </c>
      <c r="D187" s="60" t="s">
        <v>30</v>
      </c>
      <c r="E187" s="60">
        <v>1</v>
      </c>
      <c r="F187" s="88" t="s">
        <v>154</v>
      </c>
      <c r="G187" s="60" t="str">
        <f t="shared" si="9"/>
        <v>MT9_5</v>
      </c>
      <c r="H187" s="41"/>
    </row>
    <row r="188" spans="1:8" s="3" customFormat="1" ht="14.25">
      <c r="A188" s="165" t="s">
        <v>1544</v>
      </c>
      <c r="B188" s="165"/>
      <c r="C188" s="165"/>
      <c r="D188" s="165"/>
      <c r="E188" s="165"/>
      <c r="F188" s="165"/>
      <c r="G188" s="165"/>
      <c r="H188" s="34"/>
    </row>
    <row r="189" spans="1:8" s="19" customFormat="1" ht="12.75">
      <c r="A189" s="6" t="s">
        <v>4</v>
      </c>
      <c r="B189" s="7" t="s">
        <v>5</v>
      </c>
      <c r="C189" s="7" t="s">
        <v>6</v>
      </c>
      <c r="D189" s="6" t="s">
        <v>7</v>
      </c>
      <c r="E189" s="7" t="s">
        <v>8</v>
      </c>
      <c r="F189" s="7" t="s">
        <v>9</v>
      </c>
      <c r="G189" s="6" t="s">
        <v>10</v>
      </c>
      <c r="H189" s="13"/>
    </row>
    <row r="190" spans="1:8" s="3" customFormat="1" ht="25.5">
      <c r="A190" s="4" t="s">
        <v>159</v>
      </c>
      <c r="B190" s="82" t="str">
        <f>A190&amp;". Do you have an active/working SIM card with the following providers? " &amp;'brand name'!A2</f>
        <v>MT12.1. Do you have an active/working SIM card with the following providers? Aircel</v>
      </c>
      <c r="C190" s="82" t="s">
        <v>137</v>
      </c>
      <c r="D190" s="4" t="s">
        <v>30</v>
      </c>
      <c r="E190" s="4">
        <v>1</v>
      </c>
      <c r="F190" s="5" t="s">
        <v>15</v>
      </c>
      <c r="G190" s="4" t="str">
        <f t="shared" ref="G190:G204" si="10">SUBSTITUTE(A190,".","_")</f>
        <v>MT12_1</v>
      </c>
      <c r="H190" s="27"/>
    </row>
    <row r="191" spans="1:8" s="3" customFormat="1" ht="25.5">
      <c r="A191" s="4" t="s">
        <v>160</v>
      </c>
      <c r="B191" s="82" t="str">
        <f>A191&amp;". Do you have an active/working SIM card with the following providers? " &amp;'brand name'!A3</f>
        <v>MT12.2. Do you have an active/working SIM card with the following providers? Bharti Airtel</v>
      </c>
      <c r="C191" s="82" t="s">
        <v>137</v>
      </c>
      <c r="D191" s="4" t="s">
        <v>30</v>
      </c>
      <c r="E191" s="4">
        <v>1</v>
      </c>
      <c r="F191" s="5" t="s">
        <v>15</v>
      </c>
      <c r="G191" s="4" t="str">
        <f t="shared" si="10"/>
        <v>MT12_2</v>
      </c>
      <c r="H191" s="27"/>
    </row>
    <row r="192" spans="1:8" s="3" customFormat="1" ht="25.5">
      <c r="A192" s="4" t="s">
        <v>161</v>
      </c>
      <c r="B192" s="82" t="str">
        <f>A192&amp;". Do you have an active/working SIM card with the following providers? " &amp;'brand name'!A4</f>
        <v>MT12.3. Do you have an active/working SIM card with the following providers? BSNL Mobile</v>
      </c>
      <c r="C192" s="82" t="s">
        <v>137</v>
      </c>
      <c r="D192" s="4" t="s">
        <v>30</v>
      </c>
      <c r="E192" s="4">
        <v>1</v>
      </c>
      <c r="F192" s="5" t="s">
        <v>15</v>
      </c>
      <c r="G192" s="4" t="str">
        <f t="shared" si="10"/>
        <v>MT12_3</v>
      </c>
      <c r="H192" s="27"/>
    </row>
    <row r="193" spans="1:8" s="3" customFormat="1" ht="25.5">
      <c r="A193" s="4" t="s">
        <v>162</v>
      </c>
      <c r="B193" s="82" t="str">
        <f>A193&amp;". Do you have an active/working SIM card with the following providers? " &amp;'brand name'!A5</f>
        <v>MT12.4. Do you have an active/working SIM card with the following providers? MTNL</v>
      </c>
      <c r="C193" s="82" t="s">
        <v>137</v>
      </c>
      <c r="D193" s="4" t="s">
        <v>30</v>
      </c>
      <c r="E193" s="4">
        <v>1</v>
      </c>
      <c r="F193" s="5" t="s">
        <v>15</v>
      </c>
      <c r="G193" s="4" t="str">
        <f t="shared" si="10"/>
        <v>MT12_4</v>
      </c>
      <c r="H193" s="27"/>
    </row>
    <row r="194" spans="1:8" s="3" customFormat="1" ht="25.5">
      <c r="A194" s="4" t="s">
        <v>163</v>
      </c>
      <c r="B194" s="82" t="str">
        <f>A194&amp;". Do you have an active/working SIM card with the following providers? " &amp;'brand name'!A6</f>
        <v>MT12.5. Do you have an active/working SIM card with the following providers? Idea Cellular</v>
      </c>
      <c r="C194" s="82" t="s">
        <v>137</v>
      </c>
      <c r="D194" s="4" t="s">
        <v>30</v>
      </c>
      <c r="E194" s="4">
        <v>1</v>
      </c>
      <c r="F194" s="5" t="s">
        <v>15</v>
      </c>
      <c r="G194" s="4" t="str">
        <f t="shared" si="10"/>
        <v>MT12_5</v>
      </c>
      <c r="H194" s="27"/>
    </row>
    <row r="195" spans="1:8" s="3" customFormat="1" ht="25.5">
      <c r="A195" s="4" t="s">
        <v>164</v>
      </c>
      <c r="B195" s="82" t="str">
        <f>A195&amp;". Do you have an active/working SIM card with the following providers? " &amp;'brand name'!A7</f>
        <v>MT12.6. Do you have an active/working SIM card with the following providers? Reliance Jio</v>
      </c>
      <c r="C195" s="82" t="s">
        <v>137</v>
      </c>
      <c r="D195" s="4" t="s">
        <v>30</v>
      </c>
      <c r="E195" s="4">
        <v>1</v>
      </c>
      <c r="F195" s="5" t="s">
        <v>15</v>
      </c>
      <c r="G195" s="4" t="str">
        <f t="shared" si="10"/>
        <v>MT12_6</v>
      </c>
      <c r="H195" s="27"/>
    </row>
    <row r="196" spans="1:8" s="3" customFormat="1" ht="25.5">
      <c r="A196" s="4" t="s">
        <v>165</v>
      </c>
      <c r="B196" s="82" t="str">
        <f>A196&amp;". Do you have an active/working SIM card with the following providers? " &amp;'brand name'!A8</f>
        <v>MT12.7. Do you have an active/working SIM card with the following providers? MTS India</v>
      </c>
      <c r="C196" s="82" t="s">
        <v>137</v>
      </c>
      <c r="D196" s="4" t="s">
        <v>30</v>
      </c>
      <c r="E196" s="4">
        <v>1</v>
      </c>
      <c r="F196" s="5" t="s">
        <v>15</v>
      </c>
      <c r="G196" s="4" t="str">
        <f t="shared" si="10"/>
        <v>MT12_7</v>
      </c>
      <c r="H196" s="27"/>
    </row>
    <row r="197" spans="1:8" s="3" customFormat="1" ht="25.5">
      <c r="A197" s="4" t="s">
        <v>166</v>
      </c>
      <c r="B197" s="82" t="str">
        <f>A197&amp;". Do you have an active/working SIM card with the following providers? " &amp;'brand name'!A9</f>
        <v>MT12.8. Do you have an active/working SIM card with the following providers? Reliance Telecom</v>
      </c>
      <c r="C197" s="82" t="s">
        <v>137</v>
      </c>
      <c r="D197" s="4" t="s">
        <v>30</v>
      </c>
      <c r="E197" s="4">
        <v>1</v>
      </c>
      <c r="F197" s="5" t="s">
        <v>15</v>
      </c>
      <c r="G197" s="4" t="str">
        <f t="shared" si="10"/>
        <v>MT12_8</v>
      </c>
      <c r="H197" s="27"/>
    </row>
    <row r="198" spans="1:8" s="3" customFormat="1" ht="25.5">
      <c r="A198" s="4" t="s">
        <v>167</v>
      </c>
      <c r="B198" s="82" t="str">
        <f>A198&amp;". Do you have an active/working SIM card with the following providers? " &amp;'brand name'!A10</f>
        <v>MT12.9. Do you have an active/working SIM card with the following providers? Tata DoCoMo (Tata Teleservices)</v>
      </c>
      <c r="C198" s="82" t="s">
        <v>137</v>
      </c>
      <c r="D198" s="4" t="s">
        <v>30</v>
      </c>
      <c r="E198" s="4">
        <v>1</v>
      </c>
      <c r="F198" s="5" t="s">
        <v>15</v>
      </c>
      <c r="G198" s="4" t="str">
        <f t="shared" si="10"/>
        <v>MT12_9</v>
      </c>
      <c r="H198" s="27"/>
    </row>
    <row r="199" spans="1:8" s="3" customFormat="1" ht="25.5">
      <c r="A199" s="4" t="s">
        <v>168</v>
      </c>
      <c r="B199" s="82" t="str">
        <f>A199&amp;". Do you have an active/working SIM card with the following providers? " &amp;'brand name'!A11</f>
        <v>MT12.10. Do you have an active/working SIM card with the following providers? Tata Indicom (Tata Teleservices)</v>
      </c>
      <c r="C199" s="82" t="s">
        <v>137</v>
      </c>
      <c r="D199" s="4" t="s">
        <v>30</v>
      </c>
      <c r="E199" s="4">
        <v>1</v>
      </c>
      <c r="F199" s="5" t="s">
        <v>15</v>
      </c>
      <c r="G199" s="4" t="str">
        <f t="shared" si="10"/>
        <v>MT12_10</v>
      </c>
      <c r="H199" s="27"/>
    </row>
    <row r="200" spans="1:8" s="3" customFormat="1" ht="25.5">
      <c r="A200" s="4" t="s">
        <v>169</v>
      </c>
      <c r="B200" s="82" t="str">
        <f>A200&amp;". Do you have an active/working SIM card with the following providers? " &amp;'brand name'!A12</f>
        <v>MT12.11. Do you have an active/working SIM card with the following providers? Telenor India</v>
      </c>
      <c r="C200" s="82" t="s">
        <v>137</v>
      </c>
      <c r="D200" s="4" t="s">
        <v>30</v>
      </c>
      <c r="E200" s="4">
        <v>1</v>
      </c>
      <c r="F200" s="5" t="s">
        <v>15</v>
      </c>
      <c r="G200" s="4" t="str">
        <f t="shared" si="10"/>
        <v>MT12_11</v>
      </c>
      <c r="H200" s="27"/>
    </row>
    <row r="201" spans="1:8" s="3" customFormat="1" ht="25.5">
      <c r="A201" s="4" t="s">
        <v>170</v>
      </c>
      <c r="B201" s="82" t="str">
        <f>A201&amp;". Do you have an active/working SIM card with the following providers? " &amp;'brand name'!A13</f>
        <v>MT12.12. Do you have an active/working SIM card with the following providers? Videocon Telecom</v>
      </c>
      <c r="C201" s="82" t="s">
        <v>137</v>
      </c>
      <c r="D201" s="4" t="s">
        <v>30</v>
      </c>
      <c r="E201" s="4">
        <v>1</v>
      </c>
      <c r="F201" s="5" t="s">
        <v>15</v>
      </c>
      <c r="G201" s="4" t="str">
        <f t="shared" si="10"/>
        <v>MT12_12</v>
      </c>
      <c r="H201" s="27"/>
    </row>
    <row r="202" spans="1:8" s="3" customFormat="1" ht="25.5">
      <c r="A202" s="4" t="s">
        <v>171</v>
      </c>
      <c r="B202" s="82" t="str">
        <f>A202&amp;". Do you have an active/working SIM card with the following providers? " &amp;'brand name'!A14</f>
        <v>MT12.13. Do you have an active/working SIM card with the following providers? Vodafone</v>
      </c>
      <c r="C202" s="82" t="s">
        <v>137</v>
      </c>
      <c r="D202" s="4" t="s">
        <v>30</v>
      </c>
      <c r="E202" s="4">
        <v>1</v>
      </c>
      <c r="F202" s="5" t="s">
        <v>15</v>
      </c>
      <c r="G202" s="4" t="str">
        <f t="shared" si="10"/>
        <v>MT12_13</v>
      </c>
      <c r="H202" s="27"/>
    </row>
    <row r="203" spans="1:8" s="3" customFormat="1" ht="25.5">
      <c r="A203" s="4" t="s">
        <v>172</v>
      </c>
      <c r="B203" s="82" t="str">
        <f>A203&amp;". Do you have an active/working SIM card with the following providers? " &amp;'brand name'!A15</f>
        <v>MT12.14. Do you have an active/working SIM card with the following providers? Any other provider that I did not mention?</v>
      </c>
      <c r="C203" s="82" t="s">
        <v>137</v>
      </c>
      <c r="D203" s="4" t="s">
        <v>30</v>
      </c>
      <c r="E203" s="4">
        <v>1</v>
      </c>
      <c r="F203" s="5" t="s">
        <v>15</v>
      </c>
      <c r="G203" s="4" t="str">
        <f t="shared" si="10"/>
        <v>MT12_14</v>
      </c>
      <c r="H203" s="27"/>
    </row>
    <row r="204" spans="1:8" s="3" customFormat="1" ht="38.25">
      <c r="A204" s="4" t="s">
        <v>173</v>
      </c>
      <c r="B204" s="82" t="str">
        <f>A204&amp;". Do you use a SIM card that belongs to somebody else?"</f>
        <v>MT15. Do you use a SIM card that belongs to somebody else?</v>
      </c>
      <c r="C204" s="82" t="s">
        <v>1328</v>
      </c>
      <c r="D204" s="4" t="s">
        <v>30</v>
      </c>
      <c r="E204" s="4">
        <v>2</v>
      </c>
      <c r="F204" s="88" t="s">
        <v>15</v>
      </c>
      <c r="G204" s="4" t="str">
        <f t="shared" si="10"/>
        <v>MT15</v>
      </c>
      <c r="H204" s="27"/>
    </row>
    <row r="205" spans="1:8" s="36" customFormat="1" ht="14.25">
      <c r="A205" s="165" t="s">
        <v>1543</v>
      </c>
      <c r="B205" s="165"/>
      <c r="C205" s="165"/>
      <c r="D205" s="165"/>
      <c r="E205" s="165"/>
      <c r="F205" s="165"/>
      <c r="G205" s="165"/>
      <c r="H205" s="34"/>
    </row>
    <row r="206" spans="1:8" s="19" customFormat="1" ht="12.75">
      <c r="A206" s="6" t="s">
        <v>4</v>
      </c>
      <c r="B206" s="7" t="s">
        <v>5</v>
      </c>
      <c r="C206" s="7" t="s">
        <v>6</v>
      </c>
      <c r="D206" s="6" t="s">
        <v>7</v>
      </c>
      <c r="E206" s="7" t="s">
        <v>8</v>
      </c>
      <c r="F206" s="7" t="s">
        <v>9</v>
      </c>
      <c r="G206" s="6" t="s">
        <v>10</v>
      </c>
      <c r="H206" s="13"/>
    </row>
    <row r="207" spans="1:8" s="3" customFormat="1" ht="89.25">
      <c r="A207" s="4" t="s">
        <v>174</v>
      </c>
      <c r="B207" s="82" t="str">
        <f>A207&amp;". When was the last time you used a mobile phone to do the following? "&amp;Other!G2</f>
        <v>MT17.1. When was the last time you used a mobile phone to do the following? Call someone</v>
      </c>
      <c r="C207" s="82" t="s">
        <v>175</v>
      </c>
      <c r="D207" s="4" t="s">
        <v>30</v>
      </c>
      <c r="E207" s="4">
        <v>1</v>
      </c>
      <c r="F207" s="5" t="s">
        <v>15</v>
      </c>
      <c r="G207" s="4" t="str">
        <f t="shared" ref="G207:G221" si="11">SUBSTITUTE(A207,".","_")</f>
        <v>MT17_1</v>
      </c>
      <c r="H207" s="27"/>
    </row>
    <row r="208" spans="1:8" s="3" customFormat="1" ht="89.25">
      <c r="A208" s="4" t="s">
        <v>176</v>
      </c>
      <c r="B208" s="82" t="str">
        <f>A208&amp;". When was the last time you used a mobile phone to do the following? "&amp;Other!G3</f>
        <v>MT17.2. When was the last time you used a mobile phone to do the following? Receive a call from someone</v>
      </c>
      <c r="C208" s="82" t="s">
        <v>175</v>
      </c>
      <c r="D208" s="4" t="s">
        <v>30</v>
      </c>
      <c r="E208" s="4">
        <v>1</v>
      </c>
      <c r="F208" s="5" t="s">
        <v>15</v>
      </c>
      <c r="G208" s="4" t="str">
        <f t="shared" si="11"/>
        <v>MT17_2</v>
      </c>
      <c r="H208" s="27"/>
    </row>
    <row r="209" spans="1:8" s="3" customFormat="1" ht="89.25">
      <c r="A209" s="4" t="s">
        <v>177</v>
      </c>
      <c r="B209" s="82" t="str">
        <f>A209&amp;". When was the last time you used a mobile phone to do the following? "&amp;Other!G4</f>
        <v xml:space="preserve">MT17.3. When was the last time you used a mobile phone to do the following? Send or receive a text message </v>
      </c>
      <c r="C209" s="82" t="s">
        <v>175</v>
      </c>
      <c r="D209" s="4" t="s">
        <v>30</v>
      </c>
      <c r="E209" s="4">
        <v>1</v>
      </c>
      <c r="F209" s="5" t="s">
        <v>15</v>
      </c>
      <c r="G209" s="4" t="str">
        <f t="shared" si="11"/>
        <v>MT17_3</v>
      </c>
      <c r="H209" s="27"/>
    </row>
    <row r="210" spans="1:8" s="3" customFormat="1" ht="89.25">
      <c r="A210" s="4" t="s">
        <v>1607</v>
      </c>
      <c r="B210" s="82" t="str">
        <f>A210&amp;". When was the last time you used a mobile phone to do the following? "&amp;Other!G5</f>
        <v>MT17.4. When was the last time you used a mobile phone to do the following? Search the internet</v>
      </c>
      <c r="C210" s="82" t="s">
        <v>175</v>
      </c>
      <c r="D210" s="4" t="s">
        <v>30</v>
      </c>
      <c r="E210" s="4">
        <v>1</v>
      </c>
      <c r="F210" s="5" t="s">
        <v>15</v>
      </c>
      <c r="G210" s="4" t="str">
        <f t="shared" si="11"/>
        <v>MT17_4</v>
      </c>
      <c r="H210" s="27"/>
    </row>
    <row r="211" spans="1:8" s="3" customFormat="1" ht="89.25">
      <c r="A211" s="4" t="s">
        <v>178</v>
      </c>
      <c r="B211" s="82" t="str">
        <f>A211&amp;". When was the last time you used a mobile phone to do the following? "&amp;Other!G6</f>
        <v>MT17.5. When was the last time you used a mobile phone to do the following? Download music, video or games</v>
      </c>
      <c r="C211" s="82" t="s">
        <v>175</v>
      </c>
      <c r="D211" s="4" t="s">
        <v>30</v>
      </c>
      <c r="E211" s="4">
        <v>1</v>
      </c>
      <c r="F211" s="5" t="s">
        <v>15</v>
      </c>
      <c r="G211" s="4" t="str">
        <f t="shared" si="11"/>
        <v>MT17_5</v>
      </c>
      <c r="H211" s="27"/>
    </row>
    <row r="212" spans="1:8" s="3" customFormat="1" ht="89.25">
      <c r="A212" s="4" t="s">
        <v>179</v>
      </c>
      <c r="B212" s="117" t="str">
        <f>A212&amp;". When was the last time you used a mobile phone to do the following? "&amp;Other!G7</f>
        <v>MT17.6. When was the last time you used a mobile phone to do the following? Make a financial transaction such as send or receive money, or make a payment, or a bank transaction</v>
      </c>
      <c r="C212" s="82" t="s">
        <v>175</v>
      </c>
      <c r="D212" s="4" t="s">
        <v>30</v>
      </c>
      <c r="E212" s="4">
        <v>1</v>
      </c>
      <c r="F212" s="5" t="s">
        <v>15</v>
      </c>
      <c r="G212" s="4" t="str">
        <f t="shared" si="11"/>
        <v>MT17_6</v>
      </c>
      <c r="H212" s="27"/>
    </row>
    <row r="213" spans="1:8" s="3" customFormat="1" ht="89.25">
      <c r="A213" s="4" t="s">
        <v>180</v>
      </c>
      <c r="B213" s="82" t="str">
        <f>A213&amp;". When was the last time you used a mobile phone to do the following? "&amp;Other!G8</f>
        <v>MT17.7. When was the last time you used a mobile phone to do the following? Use Facebook, WhatsApp, Twitter, Instagram or another social networking application</v>
      </c>
      <c r="C213" s="82" t="s">
        <v>175</v>
      </c>
      <c r="D213" s="4" t="s">
        <v>30</v>
      </c>
      <c r="E213" s="4">
        <v>1</v>
      </c>
      <c r="F213" s="5" t="s">
        <v>15</v>
      </c>
      <c r="G213" s="4" t="str">
        <f t="shared" si="11"/>
        <v>MT17_7</v>
      </c>
      <c r="H213" s="27"/>
    </row>
    <row r="214" spans="1:8" s="3" customFormat="1" ht="89.25">
      <c r="A214" s="4" t="s">
        <v>1608</v>
      </c>
      <c r="B214" s="82" t="str">
        <f>A214&amp;". When was the last time you used a mobile phone to do the following? "&amp;Other!G9</f>
        <v>MT17.8. When was the last time you used a mobile phone to do the following? Take a picture</v>
      </c>
      <c r="C214" s="82" t="s">
        <v>175</v>
      </c>
      <c r="D214" s="4" t="s">
        <v>30</v>
      </c>
      <c r="E214" s="4">
        <v>1</v>
      </c>
      <c r="F214" s="5" t="s">
        <v>15</v>
      </c>
      <c r="G214" s="4" t="str">
        <f t="shared" si="11"/>
        <v>MT17_8</v>
      </c>
      <c r="H214" s="27"/>
    </row>
    <row r="215" spans="1:8" s="3" customFormat="1" ht="89.25">
      <c r="A215" s="4" t="s">
        <v>181</v>
      </c>
      <c r="B215" s="82" t="str">
        <f>A215&amp;". When was the last time you used a mobile phone to do the following? "&amp;Other!G10</f>
        <v>MT17.9. When was the last time you used a mobile phone to do the following? Download an application</v>
      </c>
      <c r="C215" s="82" t="s">
        <v>175</v>
      </c>
      <c r="D215" s="4" t="s">
        <v>30</v>
      </c>
      <c r="E215" s="4">
        <v>1</v>
      </c>
      <c r="F215" s="5" t="s">
        <v>15</v>
      </c>
      <c r="G215" s="4" t="str">
        <f t="shared" si="11"/>
        <v>MT17_9</v>
      </c>
      <c r="H215" s="27"/>
    </row>
    <row r="216" spans="1:8" s="3" customFormat="1" ht="63.75">
      <c r="A216" s="76" t="s">
        <v>182</v>
      </c>
      <c r="B216" s="85" t="str">
        <f>A216&amp;". How much ability do you have to perform the following activity with a mobile phone?  "&amp;Other!H2</f>
        <v>MT18A.1. How much ability do you have to perform the following activity with a mobile phone?  Make and receive calls</v>
      </c>
      <c r="C216" s="85" t="s">
        <v>183</v>
      </c>
      <c r="D216" s="76" t="s">
        <v>30</v>
      </c>
      <c r="E216" s="76">
        <v>2</v>
      </c>
      <c r="F216" s="95" t="s">
        <v>15</v>
      </c>
      <c r="G216" s="76" t="str">
        <f t="shared" si="11"/>
        <v>MT18A_1</v>
      </c>
      <c r="H216" s="27"/>
    </row>
    <row r="217" spans="1:8" s="3" customFormat="1" ht="63.75">
      <c r="A217" s="76" t="s">
        <v>184</v>
      </c>
      <c r="B217" s="85" t="str">
        <f>A217&amp;". How much ability do you have to perform the following activity with a mobile phone?  "&amp;Other!H3</f>
        <v xml:space="preserve">MT18A.2. How much ability do you have to perform the following activity with a mobile phone?  Navigate the menu on the phone </v>
      </c>
      <c r="C217" s="85" t="s">
        <v>183</v>
      </c>
      <c r="D217" s="76" t="s">
        <v>30</v>
      </c>
      <c r="E217" s="76">
        <v>2</v>
      </c>
      <c r="F217" s="95" t="s">
        <v>15</v>
      </c>
      <c r="G217" s="76" t="str">
        <f t="shared" si="11"/>
        <v>MT18A_2</v>
      </c>
      <c r="H217" s="27"/>
    </row>
    <row r="218" spans="1:8" s="3" customFormat="1" ht="63.75">
      <c r="A218" s="76" t="s">
        <v>185</v>
      </c>
      <c r="B218" s="85" t="str">
        <f>A218&amp;". How much ability do you have to perform the following activity with a mobile phone?  "&amp;Other!H4</f>
        <v>MT18A.3. How much ability do you have to perform the following activity with a mobile phone?  Send and receive messages</v>
      </c>
      <c r="C218" s="85" t="s">
        <v>183</v>
      </c>
      <c r="D218" s="76" t="s">
        <v>30</v>
      </c>
      <c r="E218" s="76">
        <v>2</v>
      </c>
      <c r="F218" s="95" t="s">
        <v>15</v>
      </c>
      <c r="G218" s="76" t="str">
        <f t="shared" si="11"/>
        <v>MT18A_3</v>
      </c>
      <c r="H218" s="27"/>
    </row>
    <row r="219" spans="1:8" s="3" customFormat="1" ht="63.75">
      <c r="A219" s="76" t="s">
        <v>186</v>
      </c>
      <c r="B219" s="85" t="str">
        <f>A219&amp;". How much ability do you have to perform the following activity with a mobile phone?  "&amp;Other!H5</f>
        <v>MT18A.4. How much ability do you have to perform the following activity with a mobile phone?  Search the internet</v>
      </c>
      <c r="C219" s="85" t="s">
        <v>183</v>
      </c>
      <c r="D219" s="76" t="s">
        <v>30</v>
      </c>
      <c r="E219" s="76">
        <v>2</v>
      </c>
      <c r="F219" s="95" t="s">
        <v>15</v>
      </c>
      <c r="G219" s="76" t="str">
        <f t="shared" si="11"/>
        <v>MT18A_4</v>
      </c>
      <c r="H219" s="27"/>
    </row>
    <row r="220" spans="1:8" s="3" customFormat="1" ht="63.75">
      <c r="A220" s="76" t="s">
        <v>187</v>
      </c>
      <c r="B220" s="119" t="str">
        <f>A220&amp;". How much ability do you have to perform the following activity with a mobile phone?  "&amp;Other!H6</f>
        <v>MT18A.5. How much ability do you have to perform the following activity with a mobile phone?  Make a financial transaction such as send or receive money, or make a payment, or a bank transaction</v>
      </c>
      <c r="C220" s="85" t="s">
        <v>183</v>
      </c>
      <c r="D220" s="76" t="s">
        <v>30</v>
      </c>
      <c r="E220" s="76">
        <v>2</v>
      </c>
      <c r="F220" s="95" t="s">
        <v>15</v>
      </c>
      <c r="G220" s="76" t="str">
        <f t="shared" si="11"/>
        <v>MT18A_5</v>
      </c>
      <c r="H220" s="27"/>
    </row>
    <row r="221" spans="1:8" s="3" customFormat="1" ht="63.75">
      <c r="A221" s="76" t="s">
        <v>188</v>
      </c>
      <c r="B221" s="85" t="str">
        <f>A221&amp;". How much ability do you have to perform the following activity with a mobile phone?  "&amp;Other!H7</f>
        <v>MT18A.6. How much ability do you have to perform the following activity with a mobile phone?  Download an application</v>
      </c>
      <c r="C221" s="85" t="s">
        <v>183</v>
      </c>
      <c r="D221" s="76" t="s">
        <v>30</v>
      </c>
      <c r="E221" s="76">
        <v>2</v>
      </c>
      <c r="F221" s="95" t="s">
        <v>15</v>
      </c>
      <c r="G221" s="76" t="str">
        <f t="shared" si="11"/>
        <v>MT18A_6</v>
      </c>
      <c r="H221" s="27"/>
    </row>
    <row r="222" spans="1:8" s="3" customFormat="1" ht="58.5" customHeight="1">
      <c r="A222" s="162" t="s">
        <v>1542</v>
      </c>
      <c r="B222" s="162"/>
      <c r="C222" s="162"/>
      <c r="D222" s="162"/>
      <c r="E222" s="162"/>
      <c r="F222" s="87" t="s">
        <v>15</v>
      </c>
      <c r="G222" s="87"/>
      <c r="H222" s="27"/>
    </row>
    <row r="223" spans="1:8" s="9" customFormat="1" ht="14.25">
      <c r="A223" s="6" t="s">
        <v>4</v>
      </c>
      <c r="B223" s="7" t="s">
        <v>5</v>
      </c>
      <c r="C223" s="7" t="s">
        <v>6</v>
      </c>
      <c r="D223" s="6" t="s">
        <v>7</v>
      </c>
      <c r="E223" s="7" t="s">
        <v>8</v>
      </c>
      <c r="F223" s="7" t="s">
        <v>9</v>
      </c>
      <c r="G223" s="6" t="s">
        <v>10</v>
      </c>
    </row>
    <row r="224" spans="1:8" customFormat="1" ht="25.5">
      <c r="A224" s="4" t="s">
        <v>189</v>
      </c>
      <c r="B224" s="82" t="str">
        <f>A224&amp;". Have you ever used a "&amp;Institution!A2 &amp;"?"</f>
        <v>FN1.1. Have you ever used a bank?</v>
      </c>
      <c r="C224" s="85" t="s">
        <v>65</v>
      </c>
      <c r="D224" s="76" t="s">
        <v>30</v>
      </c>
      <c r="E224" s="76">
        <v>1</v>
      </c>
      <c r="F224" s="95" t="s">
        <v>15</v>
      </c>
      <c r="G224" s="4" t="str">
        <f t="shared" ref="G224:G252" si="12">SUBSTITUTE(A224,".","_")</f>
        <v>FN1_1</v>
      </c>
      <c r="H224" s="12"/>
    </row>
    <row r="225" spans="1:8" customFormat="1" ht="25.5">
      <c r="A225" s="76" t="s">
        <v>190</v>
      </c>
      <c r="B225" s="82" t="str">
        <f>A225 &amp;". Do you have a "&amp;Institution!A2 &amp;" account that is registered in your name?"</f>
        <v>FN1.2. Do you have a bank account that is registered in your name?</v>
      </c>
      <c r="C225" s="85" t="s">
        <v>65</v>
      </c>
      <c r="D225" s="76" t="s">
        <v>30</v>
      </c>
      <c r="E225" s="76">
        <v>1</v>
      </c>
      <c r="F225" s="95" t="s">
        <v>15</v>
      </c>
      <c r="G225" s="76" t="str">
        <f t="shared" ref="G225:G233" si="13">SUBSTITUTE(A225,".","_")</f>
        <v>FN1_2</v>
      </c>
      <c r="H225" s="12"/>
    </row>
    <row r="226" spans="1:8" customFormat="1" ht="25.5">
      <c r="A226" s="76" t="s">
        <v>191</v>
      </c>
      <c r="B226" s="82" t="str">
        <f>A226 &amp;". Do you have a "&amp;Institution!A2 &amp;" account that is registered jointly in your name and someone else's name?"</f>
        <v>FN1.3. Do you have a bank account that is registered jointly in your name and someone else's name?</v>
      </c>
      <c r="C226" s="85" t="s">
        <v>65</v>
      </c>
      <c r="D226" s="76" t="s">
        <v>30</v>
      </c>
      <c r="E226" s="76">
        <v>1</v>
      </c>
      <c r="F226" s="95" t="s">
        <v>15</v>
      </c>
      <c r="G226" s="76" t="str">
        <f t="shared" si="13"/>
        <v>FN1_3</v>
      </c>
      <c r="H226" s="12"/>
    </row>
    <row r="227" spans="1:8" customFormat="1" ht="38.25">
      <c r="A227" s="76" t="s">
        <v>192</v>
      </c>
      <c r="B227" s="82" t="str">
        <f>A227&amp;". Was this account registered under Pradhan Mantri Jan-Dhan Yojana (PMJDY) or a similar scheme?"</f>
        <v>FN1.4. Was this account registered under Pradhan Mantri Jan-Dhan Yojana (PMJDY) or a similar scheme?</v>
      </c>
      <c r="C227" s="85" t="s">
        <v>1436</v>
      </c>
      <c r="D227" s="76" t="s">
        <v>30</v>
      </c>
      <c r="E227" s="76">
        <v>2</v>
      </c>
      <c r="F227" s="95" t="s">
        <v>193</v>
      </c>
      <c r="G227" s="4" t="str">
        <f t="shared" si="13"/>
        <v>FN1_4</v>
      </c>
      <c r="H227" s="27"/>
    </row>
    <row r="228" spans="1:8" customFormat="1" ht="25.5">
      <c r="A228" s="76" t="s">
        <v>194</v>
      </c>
      <c r="B228" s="82" t="str">
        <f>A228 &amp;". Do you have a savings account with a bank?"</f>
        <v>FN1.5. Do you have a savings account with a bank?</v>
      </c>
      <c r="C228" s="85" t="s">
        <v>137</v>
      </c>
      <c r="D228" s="76" t="s">
        <v>30</v>
      </c>
      <c r="E228" s="76">
        <v>1</v>
      </c>
      <c r="F228" s="95" t="s">
        <v>193</v>
      </c>
      <c r="G228" s="76" t="str">
        <f t="shared" si="13"/>
        <v>FN1_5</v>
      </c>
      <c r="H228" s="43"/>
    </row>
    <row r="229" spans="1:8" s="11" customFormat="1" ht="89.25">
      <c r="A229" s="76" t="s">
        <v>195</v>
      </c>
      <c r="B229" s="96" t="str">
        <f>A229&amp;" When was the last time you used your "&amp;Institution!A2 &amp;" account?"</f>
        <v>FN1.6 When was the last time you used your bank account?</v>
      </c>
      <c r="C229" s="85" t="s">
        <v>196</v>
      </c>
      <c r="D229" s="76" t="s">
        <v>30</v>
      </c>
      <c r="E229" s="76">
        <v>1</v>
      </c>
      <c r="F229" s="95" t="s">
        <v>193</v>
      </c>
      <c r="G229" s="76" t="str">
        <f t="shared" si="13"/>
        <v>FN1_6</v>
      </c>
      <c r="H229" s="9"/>
    </row>
    <row r="230" spans="1:8" s="3" customFormat="1" ht="38.25">
      <c r="A230" s="76" t="s">
        <v>197</v>
      </c>
      <c r="B230" s="82" t="str">
        <f>A230&amp;". Does your bank offer the following services? "&amp;Other!K2</f>
        <v>FN1.7. Does your bank offer the following services? Savings</v>
      </c>
      <c r="C230" s="85" t="s">
        <v>1436</v>
      </c>
      <c r="D230" s="76" t="s">
        <v>30</v>
      </c>
      <c r="E230" s="76">
        <v>2</v>
      </c>
      <c r="F230" s="95" t="s">
        <v>193</v>
      </c>
      <c r="G230" s="76" t="str">
        <f t="shared" si="13"/>
        <v>FN1_7</v>
      </c>
      <c r="H230" s="27"/>
    </row>
    <row r="231" spans="1:8" s="3" customFormat="1" ht="38.25">
      <c r="A231" s="76" t="s">
        <v>198</v>
      </c>
      <c r="B231" s="82" t="str">
        <f>A231&amp;". Does your bank offer the following services? "&amp;Other!K3</f>
        <v>FN1.8. Does your bank offer the following services? Loans</v>
      </c>
      <c r="C231" s="85" t="s">
        <v>1436</v>
      </c>
      <c r="D231" s="76" t="s">
        <v>30</v>
      </c>
      <c r="E231" s="76">
        <v>2</v>
      </c>
      <c r="F231" s="95" t="s">
        <v>193</v>
      </c>
      <c r="G231" s="76" t="str">
        <f t="shared" si="13"/>
        <v>FN1_8</v>
      </c>
      <c r="H231" s="27"/>
    </row>
    <row r="232" spans="1:8" s="3" customFormat="1" ht="38.25">
      <c r="A232" s="76" t="s">
        <v>199</v>
      </c>
      <c r="B232" s="82" t="str">
        <f>A232&amp;". Does your bank offer the following services? "&amp;Other!K4</f>
        <v>FN1.9. Does your bank offer the following services? Insurance</v>
      </c>
      <c r="C232" s="85" t="s">
        <v>1436</v>
      </c>
      <c r="D232" s="76" t="s">
        <v>30</v>
      </c>
      <c r="E232" s="76">
        <v>2</v>
      </c>
      <c r="F232" s="95" t="s">
        <v>193</v>
      </c>
      <c r="G232" s="76" t="str">
        <f t="shared" si="13"/>
        <v>FN1_9</v>
      </c>
      <c r="H232" s="27"/>
    </row>
    <row r="233" spans="1:8" s="3" customFormat="1" ht="38.25">
      <c r="A233" s="76" t="s">
        <v>200</v>
      </c>
      <c r="B233" s="82" t="str">
        <f>A233&amp;". Does your bank offer the following services? "&amp;Other!K5</f>
        <v>FN1.10. Does your bank offer the following services? Investments</v>
      </c>
      <c r="C233" s="85" t="s">
        <v>1436</v>
      </c>
      <c r="D233" s="76" t="s">
        <v>30</v>
      </c>
      <c r="E233" s="76">
        <v>2</v>
      </c>
      <c r="F233" s="95" t="s">
        <v>193</v>
      </c>
      <c r="G233" s="76" t="str">
        <f t="shared" si="13"/>
        <v>FN1_10</v>
      </c>
      <c r="H233" s="27"/>
    </row>
    <row r="234" spans="1:8" s="3" customFormat="1" ht="38.25">
      <c r="A234" s="76" t="s">
        <v>201</v>
      </c>
      <c r="B234" s="82" t="str">
        <f>A234&amp;". Does your bank offer the following services? "&amp;Other!K6</f>
        <v>FN1.11. Does your bank offer the following services? A mobile phone application or website</v>
      </c>
      <c r="C234" s="85" t="s">
        <v>1436</v>
      </c>
      <c r="D234" s="76" t="s">
        <v>30</v>
      </c>
      <c r="E234" s="76">
        <v>2</v>
      </c>
      <c r="F234" s="95" t="s">
        <v>193</v>
      </c>
      <c r="G234" s="76" t="str">
        <f t="shared" ref="G234:G240" si="14">SUBSTITUTE(A234,".","_")</f>
        <v>FN1_11</v>
      </c>
      <c r="H234" s="27"/>
    </row>
    <row r="235" spans="1:8" s="3" customFormat="1" ht="38.25">
      <c r="A235" s="76" t="s">
        <v>202</v>
      </c>
      <c r="B235" s="82" t="str">
        <f>A235&amp;". Does your bank offer the following services? "&amp;Other!K7</f>
        <v>FN1.12. Does your bank offer the following services? A Rupay card, ATM card, or another card that you can use to buy things or get cash from a machine</v>
      </c>
      <c r="C235" s="85" t="s">
        <v>1436</v>
      </c>
      <c r="D235" s="76" t="s">
        <v>30</v>
      </c>
      <c r="E235" s="76">
        <v>2</v>
      </c>
      <c r="F235" s="95" t="s">
        <v>193</v>
      </c>
      <c r="G235" s="76" t="str">
        <f t="shared" si="14"/>
        <v>FN1_12</v>
      </c>
      <c r="H235" s="27"/>
    </row>
    <row r="236" spans="1:8" s="3" customFormat="1" ht="25.5">
      <c r="A236" s="76" t="s">
        <v>204</v>
      </c>
      <c r="B236" s="82" t="str">
        <f>A236&amp;". Do you have a Rupay, debit, or ATM card?"</f>
        <v>FN1.13. Do you have a Rupay, debit, or ATM card?</v>
      </c>
      <c r="C236" s="85" t="s">
        <v>137</v>
      </c>
      <c r="D236" s="76" t="s">
        <v>30</v>
      </c>
      <c r="E236" s="76">
        <v>1</v>
      </c>
      <c r="F236" s="121" t="s">
        <v>15</v>
      </c>
      <c r="G236" s="76" t="str">
        <f t="shared" si="14"/>
        <v>FN1_13</v>
      </c>
      <c r="H236" s="43"/>
    </row>
    <row r="237" spans="1:8" s="3" customFormat="1" ht="38.25">
      <c r="A237" s="76" t="s">
        <v>205</v>
      </c>
      <c r="B237" s="82" t="str">
        <f>A237&amp;". Does your bank offer the following services? "&amp;Other!K8</f>
        <v>FN1.14. Does your bank offer the following services? A credit card that you can use to buy something now and pay later</v>
      </c>
      <c r="C237" s="85" t="s">
        <v>1436</v>
      </c>
      <c r="D237" s="76" t="s">
        <v>30</v>
      </c>
      <c r="E237" s="76">
        <v>2</v>
      </c>
      <c r="F237" s="95" t="s">
        <v>193</v>
      </c>
      <c r="G237" s="76" t="str">
        <f t="shared" si="14"/>
        <v>FN1_14</v>
      </c>
      <c r="H237" s="27"/>
    </row>
    <row r="238" spans="1:8" s="3" customFormat="1" ht="25.5">
      <c r="A238" s="76" t="s">
        <v>203</v>
      </c>
      <c r="B238" s="82" t="str">
        <f>A238&amp;". Do you have a credit card?"</f>
        <v>FN1.15. Do you have a credit card?</v>
      </c>
      <c r="C238" s="85" t="s">
        <v>137</v>
      </c>
      <c r="D238" s="76" t="s">
        <v>30</v>
      </c>
      <c r="E238" s="76">
        <v>1</v>
      </c>
      <c r="F238" s="121" t="s">
        <v>15</v>
      </c>
      <c r="G238" s="76" t="str">
        <f t="shared" si="14"/>
        <v>FN1_15</v>
      </c>
      <c r="H238" s="27"/>
    </row>
    <row r="239" spans="1:8" s="3" customFormat="1" ht="38.25">
      <c r="A239" s="76" t="s">
        <v>1432</v>
      </c>
      <c r="B239" s="82" t="str">
        <f>A239&amp;". Does your bank offer the following services? "&amp;Other!K9</f>
        <v>FN1.16. Does your bank offer the following services? Money transfers to and from the account without using cash (e.g., receive salary or government benefits, direct deposit, automatic payments or withdrawals, transfers to or from another bank) </v>
      </c>
      <c r="C239" s="85" t="s">
        <v>1436</v>
      </c>
      <c r="D239" s="76" t="s">
        <v>30</v>
      </c>
      <c r="E239" s="76">
        <v>2</v>
      </c>
      <c r="F239" s="95" t="s">
        <v>193</v>
      </c>
      <c r="G239" s="76" t="str">
        <f>SUBSTITUTE(A239,".","_")</f>
        <v>FN1_16</v>
      </c>
      <c r="H239" s="27"/>
    </row>
    <row r="240" spans="1:8" s="33" customFormat="1" ht="89.25">
      <c r="A240" s="123" t="s">
        <v>1603</v>
      </c>
      <c r="B240" s="84" t="str">
        <f>A240&amp;". Please tell me how much you agree or disagree with the following statement on how your bank account is used: You make the final decision on how your bank account is used."</f>
        <v>FGN1. Please tell me how much you agree or disagree with the following statement on how your bank account is used: You make the final decision on how your bank account is used.</v>
      </c>
      <c r="C240" s="77" t="s">
        <v>1123</v>
      </c>
      <c r="D240" s="98" t="s">
        <v>30</v>
      </c>
      <c r="E240" s="98">
        <v>2</v>
      </c>
      <c r="F240" s="95" t="s">
        <v>193</v>
      </c>
      <c r="G240" s="97" t="str">
        <f t="shared" si="14"/>
        <v>FGN1</v>
      </c>
      <c r="H240" s="32"/>
    </row>
    <row r="241" spans="1:8" s="10" customFormat="1" ht="25.5">
      <c r="A241" s="4" t="s">
        <v>206</v>
      </c>
      <c r="B241" s="82" t="str">
        <f>A241&amp;". Have you ever used a "&amp;Institution!A3 &amp;"?"</f>
        <v>FN2.1. Have you ever used a post office bank?</v>
      </c>
      <c r="C241" s="85" t="s">
        <v>65</v>
      </c>
      <c r="D241" s="76" t="s">
        <v>30</v>
      </c>
      <c r="E241" s="76">
        <v>1</v>
      </c>
      <c r="F241" s="95" t="s">
        <v>15</v>
      </c>
      <c r="G241" s="76" t="str">
        <f t="shared" si="12"/>
        <v>FN2_1</v>
      </c>
      <c r="H241" s="30"/>
    </row>
    <row r="242" spans="1:8" customFormat="1" ht="25.5">
      <c r="A242" s="76" t="s">
        <v>207</v>
      </c>
      <c r="B242" s="117" t="str">
        <f>A242 &amp;". Do you have a "&amp;Institution!A3 &amp;" account that is registered in your name or jointly in your name and someone else's name?"</f>
        <v>FN2.2. Do you have a post office bank account that is registered in your name or jointly in your name and someone else's name?</v>
      </c>
      <c r="C242" s="85" t="s">
        <v>65</v>
      </c>
      <c r="D242" s="76" t="s">
        <v>30</v>
      </c>
      <c r="E242" s="76">
        <v>1</v>
      </c>
      <c r="F242" s="95" t="s">
        <v>15</v>
      </c>
      <c r="G242" s="76" t="str">
        <f t="shared" si="12"/>
        <v>FN2_2</v>
      </c>
      <c r="H242" s="12"/>
    </row>
    <row r="243" spans="1:8" s="11" customFormat="1" ht="89.25">
      <c r="A243" s="76" t="s">
        <v>208</v>
      </c>
      <c r="B243" s="96" t="str">
        <f>A243&amp;" When was the last time you used your "&amp;Institution!A3 &amp;" account?"</f>
        <v>FN2.3 When was the last time you used your post office bank account?</v>
      </c>
      <c r="C243" s="85" t="s">
        <v>196</v>
      </c>
      <c r="D243" s="76" t="s">
        <v>30</v>
      </c>
      <c r="E243" s="76">
        <v>1</v>
      </c>
      <c r="F243" s="95" t="s">
        <v>209</v>
      </c>
      <c r="G243" s="76" t="str">
        <f>SUBSTITUTE(A243,".","_")</f>
        <v>FN2_3</v>
      </c>
      <c r="H243" s="9"/>
    </row>
    <row r="244" spans="1:8" s="11" customFormat="1" ht="27.75" customHeight="1">
      <c r="A244" s="120" t="s">
        <v>1588</v>
      </c>
      <c r="B244" s="117" t="str">
        <f>A244&amp;". A payments bank offers savings, payments, and other financial services. Did you know about payments banks before now?"</f>
        <v>PB0. A payments bank offers savings, payments, and other financial services. Did you know about payments banks before now?</v>
      </c>
      <c r="C244" s="119" t="s">
        <v>65</v>
      </c>
      <c r="D244" s="120" t="s">
        <v>30</v>
      </c>
      <c r="E244" s="120">
        <v>1</v>
      </c>
      <c r="F244" s="121" t="s">
        <v>15</v>
      </c>
      <c r="G244" s="120" t="str">
        <f>SUBSTITUTE(A244,".","_")</f>
        <v>PB0</v>
      </c>
      <c r="H244" s="9"/>
    </row>
    <row r="245" spans="1:8" customFormat="1" ht="27.75" customHeight="1">
      <c r="A245" s="76" t="s">
        <v>210</v>
      </c>
      <c r="B245" s="82" t="str">
        <f>A245&amp;". A payments bank offers savings, payments, and other financial services. Have you ever heard about the following payments banks? "&amp;Channel!B2</f>
        <v>PB1.1. A payments bank offers savings, payments, and other financial services. Have you ever heard about the following payments banks? Airtel Payments Bank</v>
      </c>
      <c r="C245" s="85" t="s">
        <v>65</v>
      </c>
      <c r="D245" s="76" t="s">
        <v>30</v>
      </c>
      <c r="E245" s="76">
        <v>1</v>
      </c>
      <c r="F245" s="95" t="s">
        <v>15</v>
      </c>
      <c r="G245" s="4" t="str">
        <f t="shared" si="12"/>
        <v>PB1_1</v>
      </c>
      <c r="H245" s="12"/>
    </row>
    <row r="246" spans="1:8" customFormat="1" ht="27.75" customHeight="1">
      <c r="A246" s="76" t="s">
        <v>211</v>
      </c>
      <c r="B246" s="82" t="str">
        <f>A246&amp;". A payments bank offers savings, payments, and other financial services. Have you ever heard about the following payments banks? "&amp;Channel!B3</f>
        <v>PB1.2. A payments bank offers savings, payments, and other financial services. Have you ever heard about the following payments banks? PayTM Payments Bank</v>
      </c>
      <c r="C246" s="85" t="s">
        <v>65</v>
      </c>
      <c r="D246" s="76" t="s">
        <v>30</v>
      </c>
      <c r="E246" s="76">
        <v>1</v>
      </c>
      <c r="F246" s="95" t="s">
        <v>15</v>
      </c>
      <c r="G246" s="76" t="str">
        <f t="shared" si="12"/>
        <v>PB1_2</v>
      </c>
      <c r="H246" s="12"/>
    </row>
    <row r="247" spans="1:8" customFormat="1" ht="27.75" customHeight="1">
      <c r="A247" s="76" t="s">
        <v>212</v>
      </c>
      <c r="B247" s="82" t="str">
        <f>A247&amp;". A payments bank offers savings, payments, and other financial services. Have you ever heard about the following payments banks? "&amp;Channel!B4</f>
        <v>PB1.3. A payments bank offers savings, payments, and other financial services. Have you ever heard about the following payments banks? India Post Payments Bank</v>
      </c>
      <c r="C247" s="85" t="s">
        <v>65</v>
      </c>
      <c r="D247" s="76" t="s">
        <v>30</v>
      </c>
      <c r="E247" s="76">
        <v>1</v>
      </c>
      <c r="F247" s="95" t="s">
        <v>15</v>
      </c>
      <c r="G247" s="4" t="str">
        <f t="shared" si="12"/>
        <v>PB1_3</v>
      </c>
      <c r="H247" s="12"/>
    </row>
    <row r="248" spans="1:8" customFormat="1" ht="27.75" customHeight="1">
      <c r="A248" s="76" t="s">
        <v>213</v>
      </c>
      <c r="B248" s="82" t="str">
        <f>A248&amp;". A payments bank offers savings, payments, and other financial services. Have you ever heard about the following payments banks? "&amp;Channel!B5</f>
        <v>PB1.4. A payments bank offers savings, payments, and other financial services. Have you ever heard about the following payments banks? Fino Payments Bank</v>
      </c>
      <c r="C248" s="85" t="s">
        <v>65</v>
      </c>
      <c r="D248" s="76" t="s">
        <v>30</v>
      </c>
      <c r="E248" s="76">
        <v>1</v>
      </c>
      <c r="F248" s="95" t="s">
        <v>15</v>
      </c>
      <c r="G248" s="76" t="str">
        <f t="shared" si="12"/>
        <v>PB1_4</v>
      </c>
      <c r="H248" s="12"/>
    </row>
    <row r="249" spans="1:8" customFormat="1" ht="27.75" customHeight="1">
      <c r="A249" s="76" t="s">
        <v>214</v>
      </c>
      <c r="B249" s="82" t="str">
        <f>A249&amp;". A payments bank offers savings, payments, and other financial services. Have you ever heard about the following payments banks? "&amp;Channel!B6</f>
        <v>PB1.5. A payments bank offers savings, payments, and other financial services. Have you ever heard about the following payments banks? Aditya Birla Idea Payments Bank</v>
      </c>
      <c r="C249" s="85" t="s">
        <v>65</v>
      </c>
      <c r="D249" s="76" t="s">
        <v>30</v>
      </c>
      <c r="E249" s="76">
        <v>1</v>
      </c>
      <c r="F249" s="95" t="s">
        <v>15</v>
      </c>
      <c r="G249" s="4" t="str">
        <f t="shared" si="12"/>
        <v>PB1_5</v>
      </c>
      <c r="H249" s="12"/>
    </row>
    <row r="250" spans="1:8" customFormat="1" ht="27.75" customHeight="1">
      <c r="A250" s="76" t="s">
        <v>215</v>
      </c>
      <c r="B250" s="82" t="str">
        <f>A250&amp;". A payments bank offers savings, payments, and other financial services. Have you ever heard about the following payments banks? "&amp;Channel!B7</f>
        <v>PB1.6. A payments bank offers savings, payments, and other financial services. Have you ever heard about the following payments banks? Jio Payments Bank</v>
      </c>
      <c r="C250" s="85" t="s">
        <v>65</v>
      </c>
      <c r="D250" s="76" t="s">
        <v>30</v>
      </c>
      <c r="E250" s="76">
        <v>1</v>
      </c>
      <c r="F250" s="95" t="s">
        <v>15</v>
      </c>
      <c r="G250" s="76" t="str">
        <f t="shared" si="12"/>
        <v>PB1_6</v>
      </c>
      <c r="H250" s="12"/>
    </row>
    <row r="251" spans="1:8" customFormat="1" ht="27.75" customHeight="1">
      <c r="A251" s="76" t="s">
        <v>216</v>
      </c>
      <c r="B251" s="82" t="str">
        <f>A251&amp;". A payments bank offers savings, payments, and other financial services. Have you ever heard about the following payments banks? "&amp;Channel!B8</f>
        <v>PB1.7. A payments bank offers savings, payments, and other financial services. Have you ever heard about the following payments banks? A different payments bank not on my list</v>
      </c>
      <c r="C251" s="85" t="s">
        <v>65</v>
      </c>
      <c r="D251" s="76" t="s">
        <v>30</v>
      </c>
      <c r="E251" s="76">
        <v>1</v>
      </c>
      <c r="F251" s="95" t="s">
        <v>15</v>
      </c>
      <c r="G251" s="4" t="str">
        <f t="shared" si="12"/>
        <v>PB1_7</v>
      </c>
      <c r="H251" s="12"/>
    </row>
    <row r="252" spans="1:8" customFormat="1" ht="38.25">
      <c r="A252" s="76" t="s">
        <v>217</v>
      </c>
      <c r="B252" s="82" t="str">
        <f>A252&amp;". Have you ever used a "&amp;Institution!A4 &amp;"?"</f>
        <v>FN3.1. Have you ever used a payments bank?</v>
      </c>
      <c r="C252" s="85" t="s">
        <v>65</v>
      </c>
      <c r="D252" s="76" t="s">
        <v>30</v>
      </c>
      <c r="E252" s="76">
        <v>1</v>
      </c>
      <c r="F252" s="159" t="s">
        <v>1657</v>
      </c>
      <c r="G252" s="76" t="str">
        <f t="shared" si="12"/>
        <v>FN3_1</v>
      </c>
      <c r="H252" s="12"/>
    </row>
    <row r="253" spans="1:8" customFormat="1" ht="25.5">
      <c r="A253" s="76" t="s">
        <v>218</v>
      </c>
      <c r="B253" s="82" t="str">
        <f>A253&amp;". Which of the payments banks have you used? "&amp;Channel!B2</f>
        <v>PB2.1. Which of the payments banks have you used? Airtel Payments Bank</v>
      </c>
      <c r="C253" s="85" t="s">
        <v>65</v>
      </c>
      <c r="D253" s="76" t="s">
        <v>30</v>
      </c>
      <c r="E253" s="76">
        <v>1</v>
      </c>
      <c r="F253" s="95" t="s">
        <v>219</v>
      </c>
      <c r="G253" s="4" t="str">
        <f t="shared" ref="G253:G258" si="15">SUBSTITUTE(A253,".","_")</f>
        <v>PB2_1</v>
      </c>
      <c r="H253" s="12"/>
    </row>
    <row r="254" spans="1:8" customFormat="1" ht="25.5">
      <c r="A254" s="76" t="s">
        <v>220</v>
      </c>
      <c r="B254" s="82" t="str">
        <f>A254&amp;". Which of the payments banks have you used? "&amp;Channel!B3</f>
        <v>PB2.2. Which of the payments banks have you used? PayTM Payments Bank</v>
      </c>
      <c r="C254" s="85" t="s">
        <v>65</v>
      </c>
      <c r="D254" s="76" t="s">
        <v>30</v>
      </c>
      <c r="E254" s="76">
        <v>1</v>
      </c>
      <c r="F254" s="95" t="s">
        <v>221</v>
      </c>
      <c r="G254" s="76" t="str">
        <f t="shared" si="15"/>
        <v>PB2_2</v>
      </c>
      <c r="H254" s="12"/>
    </row>
    <row r="255" spans="1:8" customFormat="1" ht="25.5">
      <c r="A255" s="76" t="s">
        <v>222</v>
      </c>
      <c r="B255" s="82" t="str">
        <f>A255&amp;". Which of the payments banks have you used? "&amp;Channel!B4</f>
        <v>PB2.3. Which of the payments banks have you used? India Post Payments Bank</v>
      </c>
      <c r="C255" s="85" t="s">
        <v>65</v>
      </c>
      <c r="D255" s="76" t="s">
        <v>30</v>
      </c>
      <c r="E255" s="76">
        <v>1</v>
      </c>
      <c r="F255" s="95" t="s">
        <v>223</v>
      </c>
      <c r="G255" s="4" t="str">
        <f t="shared" si="15"/>
        <v>PB2_3</v>
      </c>
      <c r="H255" s="12"/>
    </row>
    <row r="256" spans="1:8" customFormat="1" ht="25.5">
      <c r="A256" s="76" t="s">
        <v>224</v>
      </c>
      <c r="B256" s="82" t="str">
        <f>A256&amp;". Which of the payments banks have you used? "&amp;Channel!B5</f>
        <v>PB2.4. Which of the payments banks have you used? Fino Payments Bank</v>
      </c>
      <c r="C256" s="85" t="s">
        <v>65</v>
      </c>
      <c r="D256" s="76" t="s">
        <v>30</v>
      </c>
      <c r="E256" s="76">
        <v>1</v>
      </c>
      <c r="F256" s="95" t="s">
        <v>225</v>
      </c>
      <c r="G256" s="76" t="str">
        <f t="shared" si="15"/>
        <v>PB2_4</v>
      </c>
      <c r="H256" s="12"/>
    </row>
    <row r="257" spans="1:8" customFormat="1" ht="25.5">
      <c r="A257" s="76" t="s">
        <v>226</v>
      </c>
      <c r="B257" s="82" t="str">
        <f>A257&amp;". Which of the payments banks have you used? "&amp;Channel!B6</f>
        <v>PB2.5. Which of the payments banks have you used? Aditya Birla Idea Payments Bank</v>
      </c>
      <c r="C257" s="85" t="s">
        <v>65</v>
      </c>
      <c r="D257" s="76" t="s">
        <v>30</v>
      </c>
      <c r="E257" s="76">
        <v>1</v>
      </c>
      <c r="F257" s="95" t="s">
        <v>227</v>
      </c>
      <c r="G257" s="4" t="str">
        <f t="shared" si="15"/>
        <v>PB2_5</v>
      </c>
      <c r="H257" s="12"/>
    </row>
    <row r="258" spans="1:8" customFormat="1" ht="25.5">
      <c r="A258" s="76" t="s">
        <v>228</v>
      </c>
      <c r="B258" s="82" t="str">
        <f>A258&amp;". Which of the payments banks have you used? "&amp;Channel!B7</f>
        <v>PB2.6. Which of the payments banks have you used? Jio Payments Bank</v>
      </c>
      <c r="C258" s="85" t="s">
        <v>65</v>
      </c>
      <c r="D258" s="76" t="s">
        <v>30</v>
      </c>
      <c r="E258" s="76">
        <v>1</v>
      </c>
      <c r="F258" s="95" t="s">
        <v>229</v>
      </c>
      <c r="G258" s="76" t="str">
        <f t="shared" si="15"/>
        <v>PB2_6</v>
      </c>
      <c r="H258" s="12"/>
    </row>
    <row r="259" spans="1:8" customFormat="1" ht="38.25">
      <c r="A259" s="76" t="s">
        <v>230</v>
      </c>
      <c r="B259" s="117" t="str">
        <f>A259 &amp;". Do you have a "&amp;Institution!A4 &amp;" account that is registered in your name or jointly in your name and someone else's name?"</f>
        <v>FN3.2. Do you have a payments bank account that is registered in your name or jointly in your name and someone else's name?</v>
      </c>
      <c r="C259" s="85" t="s">
        <v>65</v>
      </c>
      <c r="D259" s="76" t="s">
        <v>30</v>
      </c>
      <c r="E259" s="76">
        <v>1</v>
      </c>
      <c r="F259" s="159" t="s">
        <v>1657</v>
      </c>
      <c r="G259" s="76" t="str">
        <f>SUBSTITUTE(A259,".","_")</f>
        <v>FN3_2</v>
      </c>
      <c r="H259" s="12"/>
    </row>
    <row r="260" spans="1:8" customFormat="1" ht="25.5">
      <c r="A260" s="76" t="s">
        <v>231</v>
      </c>
      <c r="B260" s="82" t="str">
        <f>A260&amp;". Do you have an account with "&amp;Channel!B2&amp;"?"</f>
        <v>PB3.1. Do you have an account with Airtel Payments Bank?</v>
      </c>
      <c r="C260" s="85" t="s">
        <v>65</v>
      </c>
      <c r="D260" s="76" t="s">
        <v>30</v>
      </c>
      <c r="E260" s="76">
        <v>1</v>
      </c>
      <c r="F260" s="129" t="s">
        <v>1610</v>
      </c>
      <c r="G260" s="4" t="str">
        <f t="shared" ref="G260:G265" si="16">SUBSTITUTE(A260,".","_")</f>
        <v>PB3_1</v>
      </c>
      <c r="H260" s="12"/>
    </row>
    <row r="261" spans="1:8" customFormat="1" ht="25.5">
      <c r="A261" s="76" t="s">
        <v>232</v>
      </c>
      <c r="B261" s="82" t="str">
        <f>A261&amp;". Do you have an account with "&amp;Channel!B3&amp;"?"</f>
        <v>PB3.2. Do you have an account with PayTM Payments Bank?</v>
      </c>
      <c r="C261" s="85" t="s">
        <v>65</v>
      </c>
      <c r="D261" s="76" t="s">
        <v>30</v>
      </c>
      <c r="E261" s="76">
        <v>1</v>
      </c>
      <c r="F261" s="129" t="s">
        <v>1612</v>
      </c>
      <c r="G261" s="76" t="str">
        <f t="shared" si="16"/>
        <v>PB3_2</v>
      </c>
      <c r="H261" s="12"/>
    </row>
    <row r="262" spans="1:8" customFormat="1" ht="25.5">
      <c r="A262" s="76" t="s">
        <v>233</v>
      </c>
      <c r="B262" s="82" t="str">
        <f>A262&amp;". Do you have an account with "&amp;Channel!B4&amp;"?"</f>
        <v>PB3.3. Do you have an account with India Post Payments Bank?</v>
      </c>
      <c r="C262" s="85" t="s">
        <v>65</v>
      </c>
      <c r="D262" s="76" t="s">
        <v>30</v>
      </c>
      <c r="E262" s="76">
        <v>1</v>
      </c>
      <c r="F262" s="129" t="s">
        <v>1613</v>
      </c>
      <c r="G262" s="4" t="str">
        <f t="shared" si="16"/>
        <v>PB3_3</v>
      </c>
      <c r="H262" s="12"/>
    </row>
    <row r="263" spans="1:8" customFormat="1" ht="25.5">
      <c r="A263" s="76" t="s">
        <v>234</v>
      </c>
      <c r="B263" s="82" t="str">
        <f>A263&amp;". Do you have an account with "&amp;Channel!B5&amp;"?"</f>
        <v>PB3.4. Do you have an account with Fino Payments Bank?</v>
      </c>
      <c r="C263" s="85" t="s">
        <v>65</v>
      </c>
      <c r="D263" s="76" t="s">
        <v>30</v>
      </c>
      <c r="E263" s="76">
        <v>1</v>
      </c>
      <c r="F263" s="129" t="s">
        <v>1614</v>
      </c>
      <c r="G263" s="76" t="str">
        <f t="shared" si="16"/>
        <v>PB3_4</v>
      </c>
      <c r="H263" s="12"/>
    </row>
    <row r="264" spans="1:8" customFormat="1" ht="25.5">
      <c r="A264" s="76" t="s">
        <v>235</v>
      </c>
      <c r="B264" s="82" t="str">
        <f>A264&amp;". Do you have an account with "&amp;Channel!B6&amp;"?"</f>
        <v>PB3.5. Do you have an account with Aditya Birla Idea Payments Bank?</v>
      </c>
      <c r="C264" s="85" t="s">
        <v>65</v>
      </c>
      <c r="D264" s="76" t="s">
        <v>30</v>
      </c>
      <c r="E264" s="76">
        <v>1</v>
      </c>
      <c r="F264" s="129" t="s">
        <v>1615</v>
      </c>
      <c r="G264" s="4" t="str">
        <f t="shared" si="16"/>
        <v>PB3_5</v>
      </c>
      <c r="H264" s="12"/>
    </row>
    <row r="265" spans="1:8" customFormat="1" ht="25.5">
      <c r="A265" s="76" t="s">
        <v>236</v>
      </c>
      <c r="B265" s="82" t="str">
        <f>A265&amp;". Do you have an account with "&amp;Channel!B7&amp;"?"</f>
        <v>PB3.6. Do you have an account with Jio Payments Bank?</v>
      </c>
      <c r="C265" s="85" t="s">
        <v>65</v>
      </c>
      <c r="D265" s="76" t="s">
        <v>30</v>
      </c>
      <c r="E265" s="76">
        <v>1</v>
      </c>
      <c r="F265" s="129" t="s">
        <v>1616</v>
      </c>
      <c r="G265" s="76" t="str">
        <f t="shared" si="16"/>
        <v>PB3_6</v>
      </c>
      <c r="H265" s="12"/>
    </row>
    <row r="266" spans="1:8" s="11" customFormat="1" ht="89.25">
      <c r="A266" s="99" t="s">
        <v>237</v>
      </c>
      <c r="B266" s="96" t="str">
        <f>A266&amp;" When was the last time you used your "&amp;Channel!B2&amp;" account?"</f>
        <v>FN3.3.1 When was the last time you used your Airtel Payments Bank account?</v>
      </c>
      <c r="C266" s="85" t="s">
        <v>196</v>
      </c>
      <c r="D266" s="76" t="s">
        <v>30</v>
      </c>
      <c r="E266" s="76">
        <v>1</v>
      </c>
      <c r="F266" s="95" t="s">
        <v>238</v>
      </c>
      <c r="G266" s="76" t="str">
        <f>SUBSTITUTE(A266,".","_")</f>
        <v>FN3_3_1</v>
      </c>
      <c r="H266" s="9"/>
    </row>
    <row r="267" spans="1:8" s="11" customFormat="1" ht="89.25">
      <c r="A267" s="99" t="s">
        <v>239</v>
      </c>
      <c r="B267" s="96" t="str">
        <f>A267&amp;" When was the last time you used your "&amp;Channel!B3&amp;" account?"</f>
        <v>FN3.3.2 When was the last time you used your PayTM Payments Bank account?</v>
      </c>
      <c r="C267" s="85" t="s">
        <v>196</v>
      </c>
      <c r="D267" s="76" t="s">
        <v>30</v>
      </c>
      <c r="E267" s="76">
        <v>1</v>
      </c>
      <c r="F267" s="95" t="s">
        <v>240</v>
      </c>
      <c r="G267" s="76" t="str">
        <f t="shared" ref="G267:G273" si="17">SUBSTITUTE(A267,".","_")</f>
        <v>FN3_3_2</v>
      </c>
      <c r="H267" s="9"/>
    </row>
    <row r="268" spans="1:8" s="11" customFormat="1" ht="89.25">
      <c r="A268" s="99" t="s">
        <v>241</v>
      </c>
      <c r="B268" s="96" t="str">
        <f>A268&amp;" When was the last time you used your "&amp;Channel!B4&amp;" account?"</f>
        <v>FN3.3.3 When was the last time you used your India Post Payments Bank account?</v>
      </c>
      <c r="C268" s="85" t="s">
        <v>196</v>
      </c>
      <c r="D268" s="76" t="s">
        <v>30</v>
      </c>
      <c r="E268" s="76">
        <v>1</v>
      </c>
      <c r="F268" s="95" t="s">
        <v>242</v>
      </c>
      <c r="G268" s="76" t="str">
        <f t="shared" si="17"/>
        <v>FN3_3_3</v>
      </c>
      <c r="H268" s="9"/>
    </row>
    <row r="269" spans="1:8" s="11" customFormat="1" ht="89.25">
      <c r="A269" s="99" t="s">
        <v>243</v>
      </c>
      <c r="B269" s="96" t="str">
        <f>A269&amp;" When was the last time you used your "&amp;Channel!B5&amp;" account?"</f>
        <v>FN3.3.4 When was the last time you used your Fino Payments Bank account?</v>
      </c>
      <c r="C269" s="85" t="s">
        <v>196</v>
      </c>
      <c r="D269" s="76" t="s">
        <v>30</v>
      </c>
      <c r="E269" s="76">
        <v>1</v>
      </c>
      <c r="F269" s="95" t="s">
        <v>244</v>
      </c>
      <c r="G269" s="76" t="str">
        <f t="shared" si="17"/>
        <v>FN3_3_4</v>
      </c>
      <c r="H269" s="9"/>
    </row>
    <row r="270" spans="1:8" s="11" customFormat="1" ht="89.25">
      <c r="A270" s="99" t="s">
        <v>245</v>
      </c>
      <c r="B270" s="96" t="str">
        <f>A270&amp;" When was the last time you used your "&amp;Channel!B6&amp;" account?"</f>
        <v>FN3.3.5 When was the last time you used your Aditya Birla Idea Payments Bank account?</v>
      </c>
      <c r="C270" s="85" t="s">
        <v>196</v>
      </c>
      <c r="D270" s="76" t="s">
        <v>30</v>
      </c>
      <c r="E270" s="76">
        <v>1</v>
      </c>
      <c r="F270" s="95" t="s">
        <v>246</v>
      </c>
      <c r="G270" s="76" t="str">
        <f t="shared" si="17"/>
        <v>FN3_3_5</v>
      </c>
      <c r="H270" s="9"/>
    </row>
    <row r="271" spans="1:8" s="11" customFormat="1" ht="89.25">
      <c r="A271" s="99" t="s">
        <v>247</v>
      </c>
      <c r="B271" s="96" t="str">
        <f>A271&amp;" When was the last time you used your "&amp;Channel!B7&amp;" account?"</f>
        <v>FN3.3.6 When was the last time you used your Jio Payments Bank account?</v>
      </c>
      <c r="C271" s="85" t="s">
        <v>196</v>
      </c>
      <c r="D271" s="76" t="s">
        <v>30</v>
      </c>
      <c r="E271" s="76">
        <v>1</v>
      </c>
      <c r="F271" s="95" t="s">
        <v>248</v>
      </c>
      <c r="G271" s="76" t="str">
        <f t="shared" si="17"/>
        <v>FN3_3_6</v>
      </c>
      <c r="H271" s="9"/>
    </row>
    <row r="272" spans="1:8" s="11" customFormat="1" ht="89.25">
      <c r="A272" s="99" t="s">
        <v>249</v>
      </c>
      <c r="B272" s="96" t="str">
        <f>A272&amp;" When was the last time you used your payments bank account?"</f>
        <v>FN3.3.7 When was the last time you used your payments bank account?</v>
      </c>
      <c r="C272" s="85" t="s">
        <v>196</v>
      </c>
      <c r="D272" s="76" t="s">
        <v>30</v>
      </c>
      <c r="E272" s="76">
        <v>1</v>
      </c>
      <c r="F272" s="129" t="s">
        <v>1609</v>
      </c>
      <c r="G272" s="76" t="str">
        <f t="shared" si="17"/>
        <v>FN3_3_7</v>
      </c>
      <c r="H272" s="9"/>
    </row>
    <row r="273" spans="1:8" s="11" customFormat="1" ht="38.25">
      <c r="A273" s="130" t="s">
        <v>1617</v>
      </c>
      <c r="B273" s="131" t="str">
        <f>A273&amp;". A mobile money service allows a mobile phone to be used to send and receive money, make payments or other financial activities without the need for a bank account. Did you know about mobile money before now?"</f>
        <v>MM0. A mobile money service allows a mobile phone to be used to send and receive money, make payments or other financial activities without the need for a bank account. Did you know about mobile money before now?</v>
      </c>
      <c r="C273" s="132" t="s">
        <v>251</v>
      </c>
      <c r="D273" s="133" t="s">
        <v>30</v>
      </c>
      <c r="E273" s="133">
        <v>1</v>
      </c>
      <c r="F273" s="129" t="s">
        <v>15</v>
      </c>
      <c r="G273" s="133" t="str">
        <f t="shared" si="17"/>
        <v>MM0</v>
      </c>
      <c r="H273" s="9"/>
    </row>
    <row r="274" spans="1:8" s="3" customFormat="1" ht="25.5">
      <c r="A274" s="147" t="s">
        <v>250</v>
      </c>
      <c r="B274" s="150" t="str">
        <f>A274&amp;". Have you ever heard about the following mobile money service providers? "&amp;Channel!A3</f>
        <v>MM1.1. Have you ever heard about the following mobile money service providers? Vodafone M-Pesa</v>
      </c>
      <c r="C274" s="85" t="s">
        <v>251</v>
      </c>
      <c r="D274" s="100" t="s">
        <v>30</v>
      </c>
      <c r="E274" s="100">
        <v>1</v>
      </c>
      <c r="F274" s="95" t="s">
        <v>15</v>
      </c>
      <c r="G274" s="101" t="str">
        <f t="shared" ref="G274:G276" si="18">SUBSTITUTE(A274,".","_")</f>
        <v>MM1_1</v>
      </c>
      <c r="H274" s="27"/>
    </row>
    <row r="275" spans="1:8" s="3" customFormat="1" ht="25.5">
      <c r="A275" s="147" t="s">
        <v>252</v>
      </c>
      <c r="B275" s="150" t="str">
        <f>A275&amp;". Have you ever heard about the following mobile money service providers? "&amp;Channel!A4</f>
        <v>MM1.2. Have you ever heard about the following mobile money service providers? Airtel Money</v>
      </c>
      <c r="C275" s="85" t="s">
        <v>251</v>
      </c>
      <c r="D275" s="100" t="s">
        <v>30</v>
      </c>
      <c r="E275" s="100">
        <v>1</v>
      </c>
      <c r="F275" s="95" t="s">
        <v>15</v>
      </c>
      <c r="G275" s="101" t="str">
        <f t="shared" si="18"/>
        <v>MM1_2</v>
      </c>
      <c r="H275" s="27"/>
    </row>
    <row r="276" spans="1:8" s="3" customFormat="1" ht="25.5">
      <c r="A276" s="147" t="s">
        <v>253</v>
      </c>
      <c r="B276" s="135" t="str">
        <f>A276&amp;". Have you ever heard about the following mobile money service providers? "&amp;Channel!A5</f>
        <v>MM1.3. Have you ever heard about the following mobile money service providers? A different provider not on my list</v>
      </c>
      <c r="C276" s="85" t="s">
        <v>251</v>
      </c>
      <c r="D276" s="100" t="s">
        <v>30</v>
      </c>
      <c r="E276" s="100">
        <v>1</v>
      </c>
      <c r="F276" s="95" t="s">
        <v>15</v>
      </c>
      <c r="G276" s="101" t="str">
        <f t="shared" si="18"/>
        <v>MM1_3</v>
      </c>
      <c r="H276" s="27"/>
    </row>
    <row r="277" spans="1:8" customFormat="1" ht="25.5">
      <c r="A277" s="76" t="s">
        <v>254</v>
      </c>
      <c r="B277" s="82" t="str">
        <f>A277&amp;". Have you ever used a "&amp;Institution!A5 &amp;" service?"</f>
        <v>FN4.1. Have you ever used a mobile money service?</v>
      </c>
      <c r="C277" s="85" t="s">
        <v>65</v>
      </c>
      <c r="D277" s="76" t="s">
        <v>30</v>
      </c>
      <c r="E277" s="76">
        <v>1</v>
      </c>
      <c r="F277" s="159" t="s">
        <v>1658</v>
      </c>
      <c r="G277" s="4" t="str">
        <f>SUBSTITUTE(A277,".","_")</f>
        <v>FN4_1</v>
      </c>
      <c r="H277" s="12"/>
    </row>
    <row r="278" spans="1:8" s="3" customFormat="1" ht="25.5">
      <c r="A278" s="147" t="s">
        <v>255</v>
      </c>
      <c r="B278" s="150" t="str">
        <f>A278&amp;". Which of the mobile money service providers have you used? "&amp;Channel!A3</f>
        <v>MM2.1. Which of the mobile money service providers have you used? Vodafone M-Pesa</v>
      </c>
      <c r="C278" s="85" t="s">
        <v>251</v>
      </c>
      <c r="D278" s="100" t="s">
        <v>30</v>
      </c>
      <c r="E278" s="100">
        <v>1</v>
      </c>
      <c r="F278" s="148" t="s">
        <v>256</v>
      </c>
      <c r="G278" s="149" t="str">
        <f t="shared" ref="G278:G279" si="19">SUBSTITUTE(A278,".","_")</f>
        <v>MM2_1</v>
      </c>
      <c r="H278" s="27"/>
    </row>
    <row r="279" spans="1:8" s="3" customFormat="1" ht="25.5">
      <c r="A279" s="147" t="s">
        <v>257</v>
      </c>
      <c r="B279" s="150" t="str">
        <f>A279&amp;". Which of the mobile money service providers have you used? "&amp;Channel!A4</f>
        <v>MM2.2. Which of the mobile money service providers have you used? Airtel Money</v>
      </c>
      <c r="C279" s="85" t="s">
        <v>251</v>
      </c>
      <c r="D279" s="100" t="s">
        <v>30</v>
      </c>
      <c r="E279" s="100">
        <v>1</v>
      </c>
      <c r="F279" s="148" t="s">
        <v>258</v>
      </c>
      <c r="G279" s="149" t="str">
        <f t="shared" si="19"/>
        <v>MM2_2</v>
      </c>
      <c r="H279" s="27"/>
    </row>
    <row r="280" spans="1:8" customFormat="1" ht="25.5">
      <c r="A280" s="76" t="s">
        <v>259</v>
      </c>
      <c r="B280" s="117" t="str">
        <f>A280 &amp;". Do you have a "&amp;Institution!A5 &amp;" account that is registered in your name or jointly in your name and someone else's name?"</f>
        <v>FN4.2. Do you have a mobile money account that is registered in your name or jointly in your name and someone else's name?</v>
      </c>
      <c r="C280" s="85" t="s">
        <v>65</v>
      </c>
      <c r="D280" s="76" t="s">
        <v>30</v>
      </c>
      <c r="E280" s="76">
        <v>1</v>
      </c>
      <c r="F280" s="159" t="s">
        <v>1658</v>
      </c>
      <c r="G280" s="76" t="str">
        <f>SUBSTITUTE(A280,".","_")</f>
        <v>FN4_2</v>
      </c>
      <c r="H280" s="12"/>
    </row>
    <row r="281" spans="1:8" s="3" customFormat="1" ht="25.5">
      <c r="A281" s="147" t="s">
        <v>260</v>
      </c>
      <c r="B281" s="150" t="str">
        <f>A281&amp;". Do you have an account with "&amp;Channel!A3&amp;"?"</f>
        <v>MM3.1. Do you have an account with Vodafone M-Pesa?</v>
      </c>
      <c r="C281" s="85" t="s">
        <v>251</v>
      </c>
      <c r="D281" s="100" t="s">
        <v>30</v>
      </c>
      <c r="E281" s="100">
        <v>1</v>
      </c>
      <c r="F281" s="148" t="s">
        <v>1119</v>
      </c>
      <c r="G281" s="149" t="str">
        <f t="shared" ref="G281:G282" si="20">SUBSTITUTE(A281,".","_")</f>
        <v>MM3_1</v>
      </c>
      <c r="H281" s="41"/>
    </row>
    <row r="282" spans="1:8" s="3" customFormat="1" ht="25.5">
      <c r="A282" s="147" t="s">
        <v>261</v>
      </c>
      <c r="B282" s="150" t="str">
        <f>A282&amp;". Do you have an account with "&amp;Channel!A4&amp;"?"</f>
        <v>MM3.2. Do you have an account with Airtel Money?</v>
      </c>
      <c r="C282" s="85" t="s">
        <v>251</v>
      </c>
      <c r="D282" s="100" t="s">
        <v>30</v>
      </c>
      <c r="E282" s="100">
        <v>1</v>
      </c>
      <c r="F282" s="148" t="s">
        <v>1120</v>
      </c>
      <c r="G282" s="149" t="str">
        <f t="shared" si="20"/>
        <v>MM3_2</v>
      </c>
      <c r="H282" s="41"/>
    </row>
    <row r="283" spans="1:8" s="11" customFormat="1" ht="89.25">
      <c r="A283" s="151" t="s">
        <v>262</v>
      </c>
      <c r="B283" s="152" t="str">
        <f>A283&amp;" When was the last time you used your account with "&amp;Channel!A3&amp;"?"</f>
        <v>FN4.3.1 When was the last time you used your account with Vodafone M-Pesa?</v>
      </c>
      <c r="C283" s="85" t="s">
        <v>196</v>
      </c>
      <c r="D283" s="76" t="s">
        <v>30</v>
      </c>
      <c r="E283" s="76">
        <v>1</v>
      </c>
      <c r="F283" s="148" t="s">
        <v>263</v>
      </c>
      <c r="G283" s="147" t="str">
        <f t="shared" ref="G283:G285" si="21">SUBSTITUTE(A283,".","_")</f>
        <v>FN4_3_1</v>
      </c>
      <c r="H283" s="9"/>
    </row>
    <row r="284" spans="1:8" s="11" customFormat="1" ht="89.25">
      <c r="A284" s="151" t="s">
        <v>264</v>
      </c>
      <c r="B284" s="152" t="str">
        <f>A284&amp;" When was the last time you used your account with "&amp;Channel!A4&amp;"?"</f>
        <v>FN4.3.2 When was the last time you used your account with Airtel Money?</v>
      </c>
      <c r="C284" s="85" t="s">
        <v>196</v>
      </c>
      <c r="D284" s="76" t="s">
        <v>30</v>
      </c>
      <c r="E284" s="76">
        <v>1</v>
      </c>
      <c r="F284" s="148" t="s">
        <v>265</v>
      </c>
      <c r="G284" s="147" t="str">
        <f t="shared" si="21"/>
        <v>FN4_3_2</v>
      </c>
      <c r="H284" s="9"/>
    </row>
    <row r="285" spans="1:8" s="11" customFormat="1" ht="89.25">
      <c r="A285" s="151" t="s">
        <v>266</v>
      </c>
      <c r="B285" s="152" t="str">
        <f>A285&amp;" When was the last time you used your mobile money account?"</f>
        <v>FN4.3.3 When was the last time you used your mobile money account?</v>
      </c>
      <c r="C285" s="85" t="s">
        <v>196</v>
      </c>
      <c r="D285" s="76" t="s">
        <v>30</v>
      </c>
      <c r="E285" s="76">
        <v>1</v>
      </c>
      <c r="F285" s="148" t="s">
        <v>1646</v>
      </c>
      <c r="G285" s="147" t="str">
        <f t="shared" si="21"/>
        <v>FN4_3_3</v>
      </c>
      <c r="H285" s="9"/>
    </row>
    <row r="286" spans="1:8" customFormat="1" ht="25.5">
      <c r="A286" s="76" t="s">
        <v>267</v>
      </c>
      <c r="B286" s="90" t="str">
        <f>A286&amp;". Microfinance institutions provide regular people and groups with small loans to help them meet their goals. Have you ever used a "&amp;Institution!A6 &amp;"?"</f>
        <v>FN5.1. Microfinance institutions provide regular people and groups with small loans to help them meet their goals. Have you ever used a microfinance institution (MFI)?</v>
      </c>
      <c r="C286" s="85" t="s">
        <v>65</v>
      </c>
      <c r="D286" s="76" t="s">
        <v>30</v>
      </c>
      <c r="E286" s="76">
        <v>1</v>
      </c>
      <c r="F286" s="95" t="s">
        <v>15</v>
      </c>
      <c r="G286" s="76" t="str">
        <f t="shared" ref="G286:G319" si="22">SUBSTITUTE(A286,".","_")</f>
        <v>FN5_1</v>
      </c>
      <c r="H286" s="12"/>
    </row>
    <row r="287" spans="1:8" customFormat="1" ht="25.5">
      <c r="A287" s="76" t="s">
        <v>268</v>
      </c>
      <c r="B287" s="117" t="str">
        <f>A287 &amp;". Do you have an account or membership with a "&amp;Institution!A6 &amp;"?"</f>
        <v>FN5.2. Do you have an account or membership with a microfinance institution (MFI)?</v>
      </c>
      <c r="C287" s="85" t="s">
        <v>65</v>
      </c>
      <c r="D287" s="76" t="s">
        <v>30</v>
      </c>
      <c r="E287" s="76">
        <v>1</v>
      </c>
      <c r="F287" s="95" t="s">
        <v>15</v>
      </c>
      <c r="G287" s="76" t="str">
        <f>SUBSTITUTE(A287,".","_")</f>
        <v>FN5_2</v>
      </c>
      <c r="H287" s="12"/>
    </row>
    <row r="288" spans="1:8" s="11" customFormat="1" ht="89.25">
      <c r="A288" s="99" t="s">
        <v>269</v>
      </c>
      <c r="B288" s="128" t="str">
        <f>A288&amp;". When was the last time you saved, borrowed, paid money to, received money from, or did any other financial transaction with your "&amp;Institution!A6 &amp;"?"</f>
        <v>FN5.3. When was the last time you saved, borrowed, paid money to, received money from, or did any other financial transaction with your microfinance institution (MFI)?</v>
      </c>
      <c r="C288" s="85" t="s">
        <v>196</v>
      </c>
      <c r="D288" s="76" t="s">
        <v>30</v>
      </c>
      <c r="E288" s="76">
        <v>1</v>
      </c>
      <c r="F288" s="95" t="s">
        <v>270</v>
      </c>
      <c r="G288" s="76" t="str">
        <f>SUBSTITUTE(A288,".","_")</f>
        <v>FN5_3</v>
      </c>
      <c r="H288" s="9"/>
    </row>
    <row r="289" spans="1:8" s="33" customFormat="1" ht="89.25">
      <c r="A289" s="123" t="s">
        <v>1604</v>
      </c>
      <c r="B289" s="117" t="str">
        <f>A289&amp;". Please tell me how much you agree or disagree with the following statement on how your microfinance institution (MFI) account is used: You make the final decision on how your account is used."</f>
        <v>FGN2. Please tell me how much you agree or disagree with the following statement on how your microfinance institution (MFI) account is used: You make the final decision on how your account is used.</v>
      </c>
      <c r="C289" s="77" t="s">
        <v>1123</v>
      </c>
      <c r="D289" s="98" t="s">
        <v>30</v>
      </c>
      <c r="E289" s="98">
        <v>2</v>
      </c>
      <c r="F289" s="129" t="s">
        <v>270</v>
      </c>
      <c r="G289" s="97" t="str">
        <f t="shared" ref="G289" si="23">SUBSTITUTE(A289,".","_")</f>
        <v>FGN2</v>
      </c>
      <c r="H289" s="32"/>
    </row>
    <row r="290" spans="1:8" s="10" customFormat="1" ht="25.5">
      <c r="A290" s="76" t="s">
        <v>271</v>
      </c>
      <c r="B290" s="85" t="str">
        <f>A290&amp;". Self-help groups and cooperatives help their members save, invest or borrow money. Have you ever participated in a "&amp;Institution!A7 &amp;"?"</f>
        <v>FN6.1. Self-help groups and cooperatives help their members save, invest or borrow money. Have you ever participated in a self-help group or cooperative?</v>
      </c>
      <c r="C290" s="85" t="s">
        <v>65</v>
      </c>
      <c r="D290" s="76" t="s">
        <v>30</v>
      </c>
      <c r="E290" s="76">
        <v>1</v>
      </c>
      <c r="F290" s="95" t="s">
        <v>15</v>
      </c>
      <c r="G290" s="76" t="str">
        <f t="shared" si="22"/>
        <v>FN6_1</v>
      </c>
      <c r="H290" s="30"/>
    </row>
    <row r="291" spans="1:8" customFormat="1" ht="25.5">
      <c r="A291" s="76" t="s">
        <v>272</v>
      </c>
      <c r="B291" s="82" t="str">
        <f>A291 &amp;". Are you currently a member of a "&amp;Institution!A7 &amp;"?"</f>
        <v>FN6.2. Are you currently a member of a self-help group or cooperative?</v>
      </c>
      <c r="C291" s="85" t="s">
        <v>65</v>
      </c>
      <c r="D291" s="76" t="s">
        <v>30</v>
      </c>
      <c r="E291" s="76">
        <v>1</v>
      </c>
      <c r="F291" s="95" t="s">
        <v>15</v>
      </c>
      <c r="G291" s="76" t="str">
        <f t="shared" si="22"/>
        <v>FN6_2</v>
      </c>
      <c r="H291" s="12"/>
    </row>
    <row r="292" spans="1:8" customFormat="1" ht="38.25">
      <c r="A292" s="76" t="s">
        <v>273</v>
      </c>
      <c r="B292" s="82" t="str">
        <f>A292 &amp;". Does your "&amp;Institution!A7 &amp;" have a bank account?"</f>
        <v>FN6.3. Does your self-help group or cooperative have a bank account?</v>
      </c>
      <c r="C292" s="85" t="s">
        <v>1436</v>
      </c>
      <c r="D292" s="76" t="s">
        <v>30</v>
      </c>
      <c r="E292" s="76">
        <v>2</v>
      </c>
      <c r="F292" s="95" t="s">
        <v>274</v>
      </c>
      <c r="G292" s="76" t="str">
        <f t="shared" si="22"/>
        <v>FN6_3</v>
      </c>
      <c r="H292" s="12"/>
    </row>
    <row r="293" spans="1:8" customFormat="1" ht="89.25">
      <c r="A293" s="99" t="s">
        <v>275</v>
      </c>
      <c r="B293" s="96" t="str">
        <f>A293&amp;" When was the last time you saved, invested, received money, or participated in any other financial activity with your "&amp;Institution!A7 &amp;" ?"</f>
        <v>FN6.4 When was the last time you saved, invested, received money, or participated in any other financial activity with your self-help group or cooperative ?</v>
      </c>
      <c r="C293" s="85" t="s">
        <v>196</v>
      </c>
      <c r="D293" s="76" t="s">
        <v>30</v>
      </c>
      <c r="E293" s="76">
        <v>1</v>
      </c>
      <c r="F293" s="95" t="s">
        <v>274</v>
      </c>
      <c r="G293" s="76" t="str">
        <f t="shared" si="22"/>
        <v>FN6_4</v>
      </c>
      <c r="H293" s="12"/>
    </row>
    <row r="294" spans="1:8" s="3" customFormat="1" ht="56.25" customHeight="1">
      <c r="A294" s="163" t="s">
        <v>1605</v>
      </c>
      <c r="B294" s="163"/>
      <c r="C294" s="163"/>
      <c r="D294" s="163"/>
      <c r="E294" s="163"/>
      <c r="F294" s="87" t="s">
        <v>15</v>
      </c>
      <c r="G294" s="87"/>
      <c r="H294" s="27"/>
    </row>
    <row r="295" spans="1:8" s="9" customFormat="1" ht="14.25">
      <c r="A295" s="6" t="s">
        <v>4</v>
      </c>
      <c r="B295" s="7" t="s">
        <v>5</v>
      </c>
      <c r="C295" s="7" t="s">
        <v>6</v>
      </c>
      <c r="D295" s="6" t="s">
        <v>7</v>
      </c>
      <c r="E295" s="7" t="s">
        <v>8</v>
      </c>
      <c r="F295" s="7" t="s">
        <v>9</v>
      </c>
      <c r="G295" s="6" t="s">
        <v>10</v>
      </c>
    </row>
    <row r="296" spans="1:8" customFormat="1" ht="38.25">
      <c r="A296" s="76" t="s">
        <v>276</v>
      </c>
      <c r="B296" s="82" t="str">
        <f>A296&amp;". Some smartphone apps can be linked to a bank or other financial account and used for payments. Have you ever heard about the following smartphone payments apps? "&amp;Channel!C2</f>
        <v>UP1.1. Some smartphone apps can be linked to a bank or other financial account and used for payments. Have you ever heard about the following smartphone payments apps? BHIM</v>
      </c>
      <c r="C296" s="85" t="s">
        <v>65</v>
      </c>
      <c r="D296" s="76" t="s">
        <v>30</v>
      </c>
      <c r="E296" s="76">
        <v>1</v>
      </c>
      <c r="F296" s="95" t="s">
        <v>15</v>
      </c>
      <c r="G296" s="76" t="str">
        <f t="shared" si="22"/>
        <v>UP1_1</v>
      </c>
      <c r="H296" s="12"/>
    </row>
    <row r="297" spans="1:8" customFormat="1" ht="38.25">
      <c r="A297" s="76" t="s">
        <v>277</v>
      </c>
      <c r="B297" s="82" t="str">
        <f>A297&amp;". Some smartphone apps can be linked to a bank or other financial account and used for payments. Have you ever heard about the following smartphone payments apps? "&amp;Channel!C3</f>
        <v>UP1.2. Some smartphone apps can be linked to a bank or other financial account and used for payments. Have you ever heard about the following smartphone payments apps? PayTM</v>
      </c>
      <c r="C297" s="85" t="s">
        <v>65</v>
      </c>
      <c r="D297" s="76" t="s">
        <v>30</v>
      </c>
      <c r="E297" s="76">
        <v>1</v>
      </c>
      <c r="F297" s="95" t="s">
        <v>15</v>
      </c>
      <c r="G297" s="76" t="str">
        <f t="shared" si="22"/>
        <v>UP1_2</v>
      </c>
      <c r="H297" s="12"/>
    </row>
    <row r="298" spans="1:8" customFormat="1" ht="38.25">
      <c r="A298" s="76" t="s">
        <v>278</v>
      </c>
      <c r="B298" s="82" t="str">
        <f>A298&amp;". Some smartphone apps can be linked to a bank or other financial account and used for payments. Have you ever heard about the following smartphone payments apps? "&amp;Channel!C4</f>
        <v>UP1.3. Some smartphone apps can be linked to a bank or other financial account and used for payments. Have you ever heard about the following smartphone payments apps? PhonePe</v>
      </c>
      <c r="C298" s="85" t="s">
        <v>65</v>
      </c>
      <c r="D298" s="76" t="s">
        <v>30</v>
      </c>
      <c r="E298" s="76">
        <v>1</v>
      </c>
      <c r="F298" s="95" t="s">
        <v>15</v>
      </c>
      <c r="G298" s="76" t="str">
        <f t="shared" si="22"/>
        <v>UP1_3</v>
      </c>
      <c r="H298" s="12"/>
    </row>
    <row r="299" spans="1:8" customFormat="1" ht="38.25">
      <c r="A299" s="76" t="s">
        <v>279</v>
      </c>
      <c r="B299" s="82" t="str">
        <f>A299&amp;". Some smartphone apps can be linked to a bank or other financial account and used for payments. Have you ever heard about the following smartphone payments apps? "&amp;Channel!C5</f>
        <v>UP1.4. Some smartphone apps can be linked to a bank or other financial account and used for payments. Have you ever heard about the following smartphone payments apps? Google Tez</v>
      </c>
      <c r="C299" s="85" t="s">
        <v>65</v>
      </c>
      <c r="D299" s="76" t="s">
        <v>30</v>
      </c>
      <c r="E299" s="76">
        <v>1</v>
      </c>
      <c r="F299" s="95" t="s">
        <v>15</v>
      </c>
      <c r="G299" s="76" t="str">
        <f t="shared" si="22"/>
        <v>UP1_4</v>
      </c>
      <c r="H299" s="12"/>
    </row>
    <row r="300" spans="1:8" customFormat="1" ht="38.25">
      <c r="A300" s="76" t="s">
        <v>280</v>
      </c>
      <c r="B300" s="82" t="str">
        <f>A300&amp;". Some smartphone apps can be linked to a bank or other financial account and used for payments. Have you ever heard about the following smartphone payments apps? "&amp;Channel!C6</f>
        <v>UP1.5. Some smartphone apps can be linked to a bank or other financial account and used for payments. Have you ever heard about the following smartphone payments apps? ICICI Pockets</v>
      </c>
      <c r="C300" s="85" t="s">
        <v>65</v>
      </c>
      <c r="D300" s="76" t="s">
        <v>30</v>
      </c>
      <c r="E300" s="76">
        <v>1</v>
      </c>
      <c r="F300" s="95" t="s">
        <v>15</v>
      </c>
      <c r="G300" s="76" t="str">
        <f t="shared" si="22"/>
        <v>UP1_5</v>
      </c>
      <c r="H300" s="12"/>
    </row>
    <row r="301" spans="1:8" customFormat="1" ht="38.25">
      <c r="A301" s="76" t="s">
        <v>281</v>
      </c>
      <c r="B301" s="82" t="str">
        <f>A301&amp;". Some smartphone apps can be linked to a bank or other financial account and used for payments. Have you ever heard about the following smartphone payments apps? "&amp;Channel!C7</f>
        <v>UP1.6. Some smartphone apps can be linked to a bank or other financial account and used for payments. Have you ever heard about the following smartphone payments apps? Ola Money</v>
      </c>
      <c r="C301" s="85" t="s">
        <v>65</v>
      </c>
      <c r="D301" s="76" t="s">
        <v>30</v>
      </c>
      <c r="E301" s="76">
        <v>1</v>
      </c>
      <c r="F301" s="95" t="s">
        <v>15</v>
      </c>
      <c r="G301" s="76" t="str">
        <f t="shared" si="22"/>
        <v>UP1_6</v>
      </c>
      <c r="H301" s="12"/>
    </row>
    <row r="302" spans="1:8" customFormat="1" ht="38.25">
      <c r="A302" s="76" t="s">
        <v>282</v>
      </c>
      <c r="B302" s="82" t="str">
        <f>A302&amp;". Some smartphone apps can be linked to a bank or other financial account and used for payments. Have you ever heard about the following smartphone payments apps? "&amp;Channel!C8</f>
        <v>UP1.7. Some smartphone apps can be linked to a bank or other financial account and used for payments. Have you ever heard about the following smartphone payments apps? ZipCash</v>
      </c>
      <c r="C302" s="85" t="s">
        <v>65</v>
      </c>
      <c r="D302" s="76" t="s">
        <v>30</v>
      </c>
      <c r="E302" s="76">
        <v>1</v>
      </c>
      <c r="F302" s="95" t="s">
        <v>15</v>
      </c>
      <c r="G302" s="76" t="str">
        <f t="shared" si="22"/>
        <v>UP1_7</v>
      </c>
      <c r="H302" s="12"/>
    </row>
    <row r="303" spans="1:8" customFormat="1" ht="38.25">
      <c r="A303" s="76" t="s">
        <v>283</v>
      </c>
      <c r="B303" s="82" t="str">
        <f>A303&amp;". Some smartphone apps can be linked to a bank or other financial account and used for payments. Have you ever heard about "&amp;Channel!C9&amp;"?"</f>
        <v>UP1.8. Some smartphone apps can be linked to a bank or other financial account and used for payments. Have you ever heard about A different smartphone payments app not on my list?</v>
      </c>
      <c r="C303" s="85" t="s">
        <v>65</v>
      </c>
      <c r="D303" s="76" t="s">
        <v>30</v>
      </c>
      <c r="E303" s="76">
        <v>1</v>
      </c>
      <c r="F303" s="95" t="s">
        <v>15</v>
      </c>
      <c r="G303" s="76" t="str">
        <f t="shared" si="22"/>
        <v>UP1_8</v>
      </c>
      <c r="H303" s="12"/>
    </row>
    <row r="304" spans="1:8" customFormat="1" ht="25.5">
      <c r="A304" s="76" t="s">
        <v>284</v>
      </c>
      <c r="B304" s="82" t="str">
        <f>A304&amp;". You can also press *99# on a mobile phone to see a menu of financial activities. Were you aware of the *99# menu before I just mentioned it?"</f>
        <v>UP1.9. You can also press *99# on a mobile phone to see a menu of financial activities. Were you aware of the *99# menu before I just mentioned it?</v>
      </c>
      <c r="C304" s="85" t="s">
        <v>65</v>
      </c>
      <c r="D304" s="76" t="s">
        <v>30</v>
      </c>
      <c r="E304" s="76">
        <v>1</v>
      </c>
      <c r="F304" s="95" t="s">
        <v>15</v>
      </c>
      <c r="G304" s="76" t="str">
        <f t="shared" si="22"/>
        <v>UP1_9</v>
      </c>
      <c r="H304" s="12"/>
    </row>
    <row r="305" spans="1:8" customFormat="1" ht="25.5">
      <c r="A305" s="76" t="s">
        <v>285</v>
      </c>
      <c r="B305" s="82" t="str">
        <f>A305&amp;". Is your mobile phone linked to your bank account so that you can see on the phone how much money is in the account?"</f>
        <v>UP1.10. Is your mobile phone linked to your bank account so that you can see on the phone how much money is in the account?</v>
      </c>
      <c r="C305" s="85" t="s">
        <v>65</v>
      </c>
      <c r="D305" s="76" t="s">
        <v>30</v>
      </c>
      <c r="E305" s="76">
        <v>1</v>
      </c>
      <c r="F305" s="95" t="s">
        <v>1348</v>
      </c>
      <c r="G305" s="76" t="str">
        <f t="shared" ref="G305" si="24">SUBSTITUTE(A305,".","_")</f>
        <v>UP1_10</v>
      </c>
      <c r="H305" s="12"/>
    </row>
    <row r="306" spans="1:8" customFormat="1" ht="25.5">
      <c r="A306" s="76" t="s">
        <v>286</v>
      </c>
      <c r="B306" s="82" t="str">
        <f>A306&amp;". Have you ever made or received a payment using "&amp;Channel!D2 &amp;"?"</f>
        <v>UP2.1. Have you ever made or received a payment using a mobile phone?</v>
      </c>
      <c r="C306" s="85" t="s">
        <v>65</v>
      </c>
      <c r="D306" s="76" t="s">
        <v>30</v>
      </c>
      <c r="E306" s="76">
        <v>1</v>
      </c>
      <c r="F306" s="5" t="s">
        <v>15</v>
      </c>
      <c r="G306" s="76" t="str">
        <f t="shared" si="22"/>
        <v>UP2_1</v>
      </c>
      <c r="H306" s="12"/>
    </row>
    <row r="307" spans="1:8" customFormat="1" ht="38.25">
      <c r="A307" s="76" t="s">
        <v>287</v>
      </c>
      <c r="B307" s="90" t="str">
        <f>A307&amp;". A QR code is a type of picture that is displayed in a shop or other location where people make payments. [Turn phone screen to respondent to show example QR code]. Have you ever made a payment by using mobile phone to scan a QR code?"</f>
        <v>UP2.2. A QR code is a type of picture that is displayed in a shop or other location where people make payments. [Turn phone screen to respondent to show example QR code]. Have you ever made a payment by using mobile phone to scan a QR code?</v>
      </c>
      <c r="C307" s="85" t="s">
        <v>65</v>
      </c>
      <c r="D307" s="76" t="s">
        <v>30</v>
      </c>
      <c r="E307" s="76">
        <v>1</v>
      </c>
      <c r="F307" s="95" t="s">
        <v>288</v>
      </c>
      <c r="G307" s="76" t="str">
        <f t="shared" ref="G307" si="25">SUBSTITUTE(A307,".","_")</f>
        <v>UP2_2</v>
      </c>
      <c r="H307" s="75"/>
    </row>
    <row r="308" spans="1:8" customFormat="1" ht="38.25">
      <c r="A308" s="76" t="s">
        <v>289</v>
      </c>
      <c r="B308" s="82" t="str">
        <f>A308&amp;". Have you ever made or received a payment using "&amp;Channel!D3 &amp;"?"</f>
        <v>UP2.3. Have you ever made or received a payment using a smartphone app?</v>
      </c>
      <c r="C308" s="85" t="s">
        <v>65</v>
      </c>
      <c r="D308" s="76" t="s">
        <v>30</v>
      </c>
      <c r="E308" s="76">
        <v>1</v>
      </c>
      <c r="F308" s="159" t="s">
        <v>1659</v>
      </c>
      <c r="G308" s="76" t="str">
        <f>SUBSTITUTE(A308,".","_")</f>
        <v>UP2_3</v>
      </c>
      <c r="H308" s="75"/>
    </row>
    <row r="309" spans="1:8" customFormat="1" ht="25.5">
      <c r="A309" s="76" t="s">
        <v>290</v>
      </c>
      <c r="B309" s="82" t="str">
        <f>A309&amp;". Have you ever made or received a payment using "&amp;Channel!D4 &amp;"?"</f>
        <v>UP2.4. Have you ever made or received a payment using the *99# menu on a mobile phone?</v>
      </c>
      <c r="C309" s="82" t="s">
        <v>65</v>
      </c>
      <c r="D309" s="4" t="s">
        <v>30</v>
      </c>
      <c r="E309" s="4">
        <v>1</v>
      </c>
      <c r="F309" s="95" t="s">
        <v>288</v>
      </c>
      <c r="G309" s="76" t="str">
        <f t="shared" si="22"/>
        <v>UP2_4</v>
      </c>
      <c r="H309" s="75"/>
    </row>
    <row r="310" spans="1:8" s="3" customFormat="1" ht="25.5">
      <c r="A310" s="76" t="s">
        <v>291</v>
      </c>
      <c r="B310" s="82" t="str">
        <f>A310&amp;". Have you ever made or received a payment using "&amp;Channel!D5 &amp;"?"</f>
        <v>UP2.5. Have you ever made or received a payment using your Aadhaar number and also your fingerprint, iris scan, or a onetime password from your mobile phone?</v>
      </c>
      <c r="C310" s="82" t="s">
        <v>65</v>
      </c>
      <c r="D310" s="4" t="s">
        <v>30</v>
      </c>
      <c r="E310" s="4">
        <v>1</v>
      </c>
      <c r="F310" s="5" t="s">
        <v>77</v>
      </c>
      <c r="G310" s="76" t="str">
        <f t="shared" si="22"/>
        <v>UP2_5</v>
      </c>
      <c r="H310" s="75"/>
    </row>
    <row r="311" spans="1:8" s="3" customFormat="1" ht="25.5">
      <c r="A311" s="76" t="s">
        <v>292</v>
      </c>
      <c r="B311" s="82" t="str">
        <f>A311&amp;". Have you ever made a payment using "&amp;Channel!D6 &amp;"?"</f>
        <v>UP2.6. Have you ever made a payment using a Rupay, debit or credit card?</v>
      </c>
      <c r="C311" s="82" t="s">
        <v>65</v>
      </c>
      <c r="D311" s="4" t="s">
        <v>30</v>
      </c>
      <c r="E311" s="4">
        <v>1</v>
      </c>
      <c r="F311" s="5" t="s">
        <v>15</v>
      </c>
      <c r="G311" s="76" t="str">
        <f t="shared" ref="G311:G312" si="26">SUBSTITUTE(A311,".","_")</f>
        <v>UP2_6</v>
      </c>
      <c r="H311" s="27"/>
    </row>
    <row r="312" spans="1:8" s="3" customFormat="1" ht="25.5">
      <c r="A312" s="76" t="s">
        <v>293</v>
      </c>
      <c r="B312" s="82" t="str">
        <f>A312&amp;". Have you ever used a card to get cash from a machine or ATM?"</f>
        <v>UP2.7. Have you ever used a card to get cash from a machine or ATM?</v>
      </c>
      <c r="C312" s="82" t="s">
        <v>65</v>
      </c>
      <c r="D312" s="4" t="s">
        <v>30</v>
      </c>
      <c r="E312" s="4">
        <v>1</v>
      </c>
      <c r="F312" s="5" t="s">
        <v>15</v>
      </c>
      <c r="G312" s="76" t="str">
        <f t="shared" si="26"/>
        <v>UP2_7</v>
      </c>
      <c r="H312" s="27"/>
    </row>
    <row r="313" spans="1:8" customFormat="1" ht="75.75" customHeight="1">
      <c r="A313" s="99" t="s">
        <v>294</v>
      </c>
      <c r="B313" s="96" t="str">
        <f>A313&amp;". When was the last time you used "&amp;Channel!D2 &amp;" to make or receive a payment?"</f>
        <v>UP3.1. When was the last time you used a mobile phone to make or receive a payment?</v>
      </c>
      <c r="C313" s="96" t="s">
        <v>295</v>
      </c>
      <c r="D313" s="99" t="s">
        <v>30</v>
      </c>
      <c r="E313" s="99">
        <v>1</v>
      </c>
      <c r="F313" s="5" t="s">
        <v>288</v>
      </c>
      <c r="G313" s="76" t="str">
        <f t="shared" si="22"/>
        <v>UP3_1</v>
      </c>
      <c r="H313" s="12"/>
    </row>
    <row r="314" spans="1:8" customFormat="1" ht="76.5">
      <c r="A314" s="99" t="s">
        <v>296</v>
      </c>
      <c r="B314" s="82" t="str">
        <f>A314&amp;". When was the last time you used a QR code to make a payment?"</f>
        <v>UP3.2. When was the last time you used a QR code to make a payment?</v>
      </c>
      <c r="C314" s="96" t="s">
        <v>295</v>
      </c>
      <c r="D314" s="76" t="s">
        <v>30</v>
      </c>
      <c r="E314" s="76">
        <v>1</v>
      </c>
      <c r="F314" s="95" t="s">
        <v>297</v>
      </c>
      <c r="G314" s="76" t="str">
        <f t="shared" si="22"/>
        <v>UP3_2</v>
      </c>
      <c r="H314" s="12"/>
    </row>
    <row r="315" spans="1:8" customFormat="1" ht="76.5">
      <c r="A315" s="99" t="s">
        <v>298</v>
      </c>
      <c r="B315" s="96" t="str">
        <f>A315&amp;". When was the last time you used "&amp;Channel!D3 &amp;" to make or receive a payment?"</f>
        <v>UP3.3. When was the last time you used a smartphone app to make or receive a payment?</v>
      </c>
      <c r="C315" s="96" t="s">
        <v>295</v>
      </c>
      <c r="D315" s="99" t="s">
        <v>30</v>
      </c>
      <c r="E315" s="99">
        <v>1</v>
      </c>
      <c r="F315" s="5" t="s">
        <v>299</v>
      </c>
      <c r="G315" s="76" t="str">
        <f>SUBSTITUTE(A315,".","_")</f>
        <v>UP3_3</v>
      </c>
      <c r="H315" s="12"/>
    </row>
    <row r="316" spans="1:8" customFormat="1" ht="76.5">
      <c r="A316" s="99" t="s">
        <v>300</v>
      </c>
      <c r="B316" s="71" t="str">
        <f>A316&amp;". When was the last time you used "&amp;Channel!D4 &amp;" to make or receive a payment?"</f>
        <v>UP3.4. When was the last time you used the *99# menu on a mobile phone to make or receive a payment?</v>
      </c>
      <c r="C316" s="96" t="s">
        <v>295</v>
      </c>
      <c r="D316" s="99" t="s">
        <v>30</v>
      </c>
      <c r="E316" s="99">
        <v>1</v>
      </c>
      <c r="F316" s="5" t="s">
        <v>301</v>
      </c>
      <c r="G316" s="76" t="str">
        <f t="shared" si="22"/>
        <v>UP3_4</v>
      </c>
      <c r="H316" s="12"/>
    </row>
    <row r="317" spans="1:8" s="3" customFormat="1" ht="76.5">
      <c r="A317" s="99" t="s">
        <v>302</v>
      </c>
      <c r="B317" s="96" t="str">
        <f>A317&amp;". When was the last time you used "&amp;Channel!D5 &amp;" to make or receive a payment?"</f>
        <v>UP3.5. When was the last time you used your Aadhaar number and also your fingerprint, iris scan, or a onetime password from your mobile phone to make or receive a payment?</v>
      </c>
      <c r="C317" s="96" t="s">
        <v>295</v>
      </c>
      <c r="D317" s="99" t="s">
        <v>30</v>
      </c>
      <c r="E317" s="99">
        <v>1</v>
      </c>
      <c r="F317" s="5" t="s">
        <v>303</v>
      </c>
      <c r="G317" s="76" t="str">
        <f t="shared" si="22"/>
        <v>UP3_5</v>
      </c>
      <c r="H317" s="27"/>
    </row>
    <row r="318" spans="1:8" s="3" customFormat="1" ht="76.5">
      <c r="A318" s="99" t="s">
        <v>304</v>
      </c>
      <c r="B318" s="96" t="str">
        <f>A318&amp;". When was the last time you used "&amp;Channel!D6 &amp;" to make a payment?"</f>
        <v>UP3.6. When was the last time you used a Rupay, debit or credit card to make a payment?</v>
      </c>
      <c r="C318" s="96" t="s">
        <v>295</v>
      </c>
      <c r="D318" s="99" t="s">
        <v>30</v>
      </c>
      <c r="E318" s="99">
        <v>1</v>
      </c>
      <c r="F318" s="5" t="s">
        <v>305</v>
      </c>
      <c r="G318" s="76" t="str">
        <f t="shared" si="22"/>
        <v>UP3_6</v>
      </c>
      <c r="H318" s="27"/>
    </row>
    <row r="319" spans="1:8" s="3" customFormat="1" ht="76.5">
      <c r="A319" s="99" t="s">
        <v>306</v>
      </c>
      <c r="B319" s="82" t="str">
        <f>A319&amp;". When was the last time you used a card to take cash from a machine or ATM?"</f>
        <v>UP3.7. When was the last time you used a card to take cash from a machine or ATM?</v>
      </c>
      <c r="C319" s="96" t="s">
        <v>295</v>
      </c>
      <c r="D319" s="99" t="s">
        <v>30</v>
      </c>
      <c r="E319" s="99">
        <v>1</v>
      </c>
      <c r="F319" s="95" t="s">
        <v>307</v>
      </c>
      <c r="G319" s="76" t="str">
        <f t="shared" si="22"/>
        <v>UP3_7</v>
      </c>
      <c r="H319" s="27"/>
    </row>
    <row r="320" spans="1:8" customFormat="1" ht="25.5">
      <c r="A320" s="76" t="s">
        <v>308</v>
      </c>
      <c r="B320" s="82" t="str">
        <f>A320&amp;". Have you ever used the following smartphone payments apps? "&amp;Channel!C2</f>
        <v>UP4.1. Have you ever used the following smartphone payments apps? BHIM</v>
      </c>
      <c r="C320" s="85" t="s">
        <v>65</v>
      </c>
      <c r="D320" s="76" t="s">
        <v>30</v>
      </c>
      <c r="E320" s="76">
        <v>1</v>
      </c>
      <c r="F320" s="95" t="s">
        <v>309</v>
      </c>
      <c r="G320" s="76" t="str">
        <f t="shared" ref="G320:G333" si="27">SUBSTITUTE(A320,".","_")</f>
        <v>UP4_1</v>
      </c>
      <c r="H320" s="12"/>
    </row>
    <row r="321" spans="1:8" customFormat="1" ht="25.5">
      <c r="A321" s="76" t="s">
        <v>310</v>
      </c>
      <c r="B321" s="82" t="str">
        <f>A321&amp;". Have you ever used the following smartphone payments apps? "&amp;Channel!C3</f>
        <v>UP4.2. Have you ever used the following smartphone payments apps? PayTM</v>
      </c>
      <c r="C321" s="85" t="s">
        <v>65</v>
      </c>
      <c r="D321" s="76" t="s">
        <v>30</v>
      </c>
      <c r="E321" s="76">
        <v>1</v>
      </c>
      <c r="F321" s="95" t="s">
        <v>311</v>
      </c>
      <c r="G321" s="76" t="str">
        <f t="shared" si="27"/>
        <v>UP4_2</v>
      </c>
      <c r="H321" s="12"/>
    </row>
    <row r="322" spans="1:8" customFormat="1" ht="25.5">
      <c r="A322" s="76" t="s">
        <v>312</v>
      </c>
      <c r="B322" s="82" t="str">
        <f>A322&amp;". Have you ever used the following smartphone payments apps? "&amp;Channel!C4</f>
        <v>UP4.3. Have you ever used the following smartphone payments apps? PhonePe</v>
      </c>
      <c r="C322" s="85" t="s">
        <v>65</v>
      </c>
      <c r="D322" s="76" t="s">
        <v>30</v>
      </c>
      <c r="E322" s="76">
        <v>1</v>
      </c>
      <c r="F322" s="95" t="s">
        <v>313</v>
      </c>
      <c r="G322" s="76" t="str">
        <f t="shared" si="27"/>
        <v>UP4_3</v>
      </c>
      <c r="H322" s="12"/>
    </row>
    <row r="323" spans="1:8" customFormat="1" ht="25.5">
      <c r="A323" s="76" t="s">
        <v>314</v>
      </c>
      <c r="B323" s="82" t="str">
        <f>A323&amp;". Have you ever used the following smartphone payments apps? "&amp;Channel!C5</f>
        <v>UP4.4. Have you ever used the following smartphone payments apps? Google Tez</v>
      </c>
      <c r="C323" s="85" t="s">
        <v>65</v>
      </c>
      <c r="D323" s="76" t="s">
        <v>30</v>
      </c>
      <c r="E323" s="76">
        <v>1</v>
      </c>
      <c r="F323" s="95" t="s">
        <v>315</v>
      </c>
      <c r="G323" s="76" t="str">
        <f t="shared" si="27"/>
        <v>UP4_4</v>
      </c>
      <c r="H323" s="12"/>
    </row>
    <row r="324" spans="1:8" customFormat="1" ht="25.5">
      <c r="A324" s="76" t="s">
        <v>316</v>
      </c>
      <c r="B324" s="82" t="str">
        <f>A324&amp;". Have you ever used the following smartphone payments apps? "&amp;Channel!C6</f>
        <v>UP4.5. Have you ever used the following smartphone payments apps? ICICI Pockets</v>
      </c>
      <c r="C324" s="85" t="s">
        <v>65</v>
      </c>
      <c r="D324" s="76" t="s">
        <v>30</v>
      </c>
      <c r="E324" s="76">
        <v>1</v>
      </c>
      <c r="F324" s="95" t="s">
        <v>317</v>
      </c>
      <c r="G324" s="76" t="str">
        <f t="shared" si="27"/>
        <v>UP4_5</v>
      </c>
      <c r="H324" s="12"/>
    </row>
    <row r="325" spans="1:8" customFormat="1" ht="25.5">
      <c r="A325" s="76" t="s">
        <v>318</v>
      </c>
      <c r="B325" s="82" t="str">
        <f>A325&amp;". Have you ever used the following smartphone payments apps? "&amp;Channel!C7</f>
        <v>UP4.6. Have you ever used the following smartphone payments apps? Ola Money</v>
      </c>
      <c r="C325" s="85" t="s">
        <v>65</v>
      </c>
      <c r="D325" s="76" t="s">
        <v>30</v>
      </c>
      <c r="E325" s="76">
        <v>1</v>
      </c>
      <c r="F325" s="95" t="s">
        <v>319</v>
      </c>
      <c r="G325" s="76" t="str">
        <f t="shared" si="27"/>
        <v>UP4_6</v>
      </c>
      <c r="H325" s="12"/>
    </row>
    <row r="326" spans="1:8" customFormat="1" ht="25.5">
      <c r="A326" s="76" t="s">
        <v>320</v>
      </c>
      <c r="B326" s="82" t="str">
        <f>A326&amp;". Have you ever used the following smartphone payments apps? "&amp;Channel!C8</f>
        <v>UP4.7. Have you ever used the following smartphone payments apps? ZipCash</v>
      </c>
      <c r="C326" s="85" t="s">
        <v>65</v>
      </c>
      <c r="D326" s="76" t="s">
        <v>30</v>
      </c>
      <c r="E326" s="76">
        <v>1</v>
      </c>
      <c r="F326" s="95" t="s">
        <v>321</v>
      </c>
      <c r="G326" s="76" t="str">
        <f t="shared" si="27"/>
        <v>UP4_7</v>
      </c>
      <c r="H326" s="12"/>
    </row>
    <row r="327" spans="1:8" customFormat="1" ht="76.5">
      <c r="A327" s="76" t="s">
        <v>322</v>
      </c>
      <c r="B327" s="82" t="str">
        <f>A327&amp;". When was the last time you used "&amp;Channel!C2&amp;"?"</f>
        <v>UP5.1. When was the last time you used BHIM?</v>
      </c>
      <c r="C327" s="96" t="s">
        <v>295</v>
      </c>
      <c r="D327" s="76" t="s">
        <v>30</v>
      </c>
      <c r="E327" s="76">
        <v>1</v>
      </c>
      <c r="F327" s="95" t="s">
        <v>323</v>
      </c>
      <c r="G327" s="76" t="str">
        <f t="shared" si="27"/>
        <v>UP5_1</v>
      </c>
      <c r="H327" s="12"/>
    </row>
    <row r="328" spans="1:8" customFormat="1" ht="76.5">
      <c r="A328" s="76" t="s">
        <v>324</v>
      </c>
      <c r="B328" s="82" t="str">
        <f>A328&amp;". When was the last time you used "&amp;Channel!C3&amp;"?"</f>
        <v>UP5.2. When was the last time you used PayTM?</v>
      </c>
      <c r="C328" s="96" t="s">
        <v>295</v>
      </c>
      <c r="D328" s="76" t="s">
        <v>30</v>
      </c>
      <c r="E328" s="76">
        <v>1</v>
      </c>
      <c r="F328" s="95" t="s">
        <v>325</v>
      </c>
      <c r="G328" s="76" t="str">
        <f t="shared" si="27"/>
        <v>UP5_2</v>
      </c>
      <c r="H328" s="12"/>
    </row>
    <row r="329" spans="1:8" customFormat="1" ht="76.5">
      <c r="A329" s="76" t="s">
        <v>326</v>
      </c>
      <c r="B329" s="82" t="str">
        <f>A329&amp;". When was the last time you used "&amp;Channel!C4&amp;"?"</f>
        <v>UP5.3. When was the last time you used PhonePe?</v>
      </c>
      <c r="C329" s="96" t="s">
        <v>295</v>
      </c>
      <c r="D329" s="76" t="s">
        <v>30</v>
      </c>
      <c r="E329" s="76">
        <v>1</v>
      </c>
      <c r="F329" s="95" t="s">
        <v>327</v>
      </c>
      <c r="G329" s="76" t="str">
        <f t="shared" si="27"/>
        <v>UP5_3</v>
      </c>
      <c r="H329" s="12"/>
    </row>
    <row r="330" spans="1:8" customFormat="1" ht="76.5">
      <c r="A330" s="76" t="s">
        <v>328</v>
      </c>
      <c r="B330" s="82" t="str">
        <f>A330&amp;". When was the last time you used "&amp;Channel!C5&amp;"?"</f>
        <v>UP5.4. When was the last time you used Google Tez?</v>
      </c>
      <c r="C330" s="96" t="s">
        <v>295</v>
      </c>
      <c r="D330" s="76" t="s">
        <v>30</v>
      </c>
      <c r="E330" s="76">
        <v>1</v>
      </c>
      <c r="F330" s="95" t="s">
        <v>329</v>
      </c>
      <c r="G330" s="76" t="str">
        <f t="shared" si="27"/>
        <v>UP5_4</v>
      </c>
      <c r="H330" s="12"/>
    </row>
    <row r="331" spans="1:8" customFormat="1" ht="76.5">
      <c r="A331" s="76" t="s">
        <v>330</v>
      </c>
      <c r="B331" s="82" t="str">
        <f>A331&amp;". When was the last time you used "&amp;Channel!C6&amp;"?"</f>
        <v>UP5.5. When was the last time you used ICICI Pockets?</v>
      </c>
      <c r="C331" s="96" t="s">
        <v>295</v>
      </c>
      <c r="D331" s="76" t="s">
        <v>30</v>
      </c>
      <c r="E331" s="76">
        <v>1</v>
      </c>
      <c r="F331" s="95" t="s">
        <v>331</v>
      </c>
      <c r="G331" s="76" t="str">
        <f t="shared" si="27"/>
        <v>UP5_5</v>
      </c>
      <c r="H331" s="12"/>
    </row>
    <row r="332" spans="1:8" customFormat="1" ht="76.5">
      <c r="A332" s="76" t="s">
        <v>332</v>
      </c>
      <c r="B332" s="82" t="str">
        <f>A332&amp;". When was the last time you used "&amp;Channel!C7&amp;"?"</f>
        <v>UP5.6. When was the last time you used Ola Money?</v>
      </c>
      <c r="C332" s="96" t="s">
        <v>295</v>
      </c>
      <c r="D332" s="76" t="s">
        <v>30</v>
      </c>
      <c r="E332" s="76">
        <v>1</v>
      </c>
      <c r="F332" s="95" t="s">
        <v>333</v>
      </c>
      <c r="G332" s="76" t="str">
        <f t="shared" si="27"/>
        <v>UP5_6</v>
      </c>
      <c r="H332" s="12"/>
    </row>
    <row r="333" spans="1:8" customFormat="1" ht="76.5">
      <c r="A333" s="76" t="s">
        <v>334</v>
      </c>
      <c r="B333" s="82" t="str">
        <f>A333&amp;". When was the last time you used "&amp;Channel!C8&amp;"?"</f>
        <v>UP5.7. When was the last time you used ZipCash?</v>
      </c>
      <c r="C333" s="96" t="s">
        <v>295</v>
      </c>
      <c r="D333" s="76" t="s">
        <v>30</v>
      </c>
      <c r="E333" s="76">
        <v>1</v>
      </c>
      <c r="F333" s="95" t="s">
        <v>335</v>
      </c>
      <c r="G333" s="76" t="str">
        <f t="shared" si="27"/>
        <v>UP5_7</v>
      </c>
      <c r="H333" s="12"/>
    </row>
    <row r="334" spans="1:8" s="19" customFormat="1" ht="40.5" customHeight="1">
      <c r="A334" s="162" t="s">
        <v>1545</v>
      </c>
      <c r="B334" s="165"/>
      <c r="C334" s="165"/>
      <c r="D334" s="165"/>
      <c r="E334" s="165"/>
      <c r="F334" s="87" t="s">
        <v>288</v>
      </c>
      <c r="G334" s="87"/>
      <c r="H334" s="13"/>
    </row>
    <row r="335" spans="1:8" s="19" customFormat="1" ht="12.75">
      <c r="A335" s="6" t="s">
        <v>4</v>
      </c>
      <c r="B335" s="7" t="s">
        <v>5</v>
      </c>
      <c r="C335" s="7" t="s">
        <v>6</v>
      </c>
      <c r="D335" s="6" t="s">
        <v>7</v>
      </c>
      <c r="E335" s="7" t="s">
        <v>8</v>
      </c>
      <c r="F335" s="7" t="s">
        <v>9</v>
      </c>
      <c r="G335" s="6" t="s">
        <v>10</v>
      </c>
      <c r="H335" s="13"/>
    </row>
    <row r="336" spans="1:8" s="3" customFormat="1" ht="76.5">
      <c r="A336" s="4" t="s">
        <v>339</v>
      </c>
      <c r="B336" s="82" t="str">
        <f>A336&amp;". How easy or difficult is it for you to perform the action without assistance from anyone when using a mobile phone to make or receive a payment? "&amp;Other!T2</f>
        <v>UP6. How easy or difficult is it for you to perform the action without assistance from anyone when using a mobile phone to make or receive a payment? Open a menu of services</v>
      </c>
      <c r="C336" s="85" t="s">
        <v>337</v>
      </c>
      <c r="D336" s="4" t="s">
        <v>338</v>
      </c>
      <c r="E336" s="4">
        <v>1</v>
      </c>
      <c r="F336" s="5" t="s">
        <v>288</v>
      </c>
      <c r="G336" s="4" t="str">
        <f t="shared" ref="G336:G346" si="28">SUBSTITUTE(A336,".","_")</f>
        <v>UP6</v>
      </c>
      <c r="H336" s="27"/>
    </row>
    <row r="337" spans="1:8" s="3" customFormat="1" ht="76.5">
      <c r="A337" s="4" t="s">
        <v>340</v>
      </c>
      <c r="B337" s="82" t="str">
        <f>A337&amp;". How easy or difficult is it for you to perform the action without assistance from anyone when using a mobile phone to make or receive a payment? "&amp;Other!T3</f>
        <v>UP7. How easy or difficult is it for you to perform the action without assistance from anyone when using a mobile phone to make or receive a payment? Find a particular menu option (e.g., an option for a money transfer)</v>
      </c>
      <c r="C337" s="85" t="s">
        <v>337</v>
      </c>
      <c r="D337" s="4" t="s">
        <v>338</v>
      </c>
      <c r="E337" s="4">
        <v>1</v>
      </c>
      <c r="F337" s="5" t="s">
        <v>288</v>
      </c>
      <c r="G337" s="4" t="str">
        <f t="shared" si="28"/>
        <v>UP7</v>
      </c>
      <c r="H337" s="27"/>
    </row>
    <row r="338" spans="1:8" s="3" customFormat="1" ht="76.5">
      <c r="A338" s="4" t="s">
        <v>341</v>
      </c>
      <c r="B338" s="82" t="str">
        <f>A338&amp;". How easy or difficult is it for you to perform the action without assistance from anyone when using a mobile phone to make or receive a payment? "&amp;Other!T4</f>
        <v>UP8. How easy or difficult is it for you to perform the action without assistance from anyone when using a mobile phone to make or receive a payment? Initiate a transaction</v>
      </c>
      <c r="C338" s="85" t="s">
        <v>337</v>
      </c>
      <c r="D338" s="4" t="s">
        <v>338</v>
      </c>
      <c r="E338" s="4">
        <v>1</v>
      </c>
      <c r="F338" s="5" t="s">
        <v>288</v>
      </c>
      <c r="G338" s="4" t="str">
        <f t="shared" si="28"/>
        <v>UP8</v>
      </c>
      <c r="H338" s="27"/>
    </row>
    <row r="339" spans="1:8" s="3" customFormat="1" ht="76.5">
      <c r="A339" s="4" t="s">
        <v>342</v>
      </c>
      <c r="B339" s="82" t="str">
        <f>A339&amp;". How easy or difficult is it for you to perform the action without assistance from anyone when using a mobile phone to make or receive a payment? "&amp;Other!T5</f>
        <v>UP9. How easy or difficult is it for you to perform the action without assistance from anyone when using a mobile phone to make or receive a payment? Complete a transaction</v>
      </c>
      <c r="C339" s="85" t="s">
        <v>337</v>
      </c>
      <c r="D339" s="4" t="s">
        <v>338</v>
      </c>
      <c r="E339" s="4">
        <v>1</v>
      </c>
      <c r="F339" s="5" t="s">
        <v>288</v>
      </c>
      <c r="G339" s="4" t="str">
        <f t="shared" si="28"/>
        <v>UP9</v>
      </c>
      <c r="H339" s="27"/>
    </row>
    <row r="340" spans="1:8" s="3" customFormat="1" ht="76.5">
      <c r="A340" s="4" t="s">
        <v>343</v>
      </c>
      <c r="B340" s="82" t="str">
        <f>A340&amp;". How easy or difficult is it for you to perform the action without assistance from anyone when using a mobile phone to make or receive a payment? "&amp;Other!T6</f>
        <v>UP10. How easy or difficult is it for you to perform the action without assistance from anyone when using a mobile phone to make or receive a payment? Correct an error in the payment amount</v>
      </c>
      <c r="C340" s="85" t="s">
        <v>337</v>
      </c>
      <c r="D340" s="4" t="s">
        <v>338</v>
      </c>
      <c r="E340" s="4">
        <v>1</v>
      </c>
      <c r="F340" s="5" t="s">
        <v>288</v>
      </c>
      <c r="G340" s="4" t="str">
        <f t="shared" si="28"/>
        <v>UP10</v>
      </c>
      <c r="H340" s="27"/>
    </row>
    <row r="341" spans="1:8" s="3" customFormat="1" ht="76.5">
      <c r="A341" s="4" t="s">
        <v>345</v>
      </c>
      <c r="B341" s="82" t="str">
        <f>A341&amp;". How easy or difficult is it for you to perform the action without assistance from anyone when using a mobile phone to make or receive a payment? "&amp;Other!T7</f>
        <v>UP11. How easy or difficult is it for you to perform the action without assistance from anyone when using a mobile phone to make or receive a payment? Reverse or cancel a transaction</v>
      </c>
      <c r="C341" s="85" t="s">
        <v>337</v>
      </c>
      <c r="D341" s="4" t="s">
        <v>338</v>
      </c>
      <c r="E341" s="4">
        <v>1</v>
      </c>
      <c r="F341" s="5" t="s">
        <v>288</v>
      </c>
      <c r="G341" s="4" t="str">
        <f t="shared" si="28"/>
        <v>UP11</v>
      </c>
      <c r="H341" s="27"/>
    </row>
    <row r="342" spans="1:8" s="3" customFormat="1" ht="51">
      <c r="A342" s="4" t="s">
        <v>346</v>
      </c>
      <c r="B342" s="82" t="str">
        <f>A342&amp;". Now I'm going to read a list of problems that some people encounter when using a mobile phone to make or receive a payment. For each one that I mention, please tell me how often you experience this problem? "&amp;Other!M5</f>
        <v>UP12. Now I'm going to read a list of problems that some people encounter when using a mobile phone to make or receive a payment. For each one that I mention, please tell me how often you experience this problem? Unclear transaction charges or fees</v>
      </c>
      <c r="C342" s="85" t="s">
        <v>344</v>
      </c>
      <c r="D342" s="4" t="s">
        <v>30</v>
      </c>
      <c r="E342" s="4">
        <v>1</v>
      </c>
      <c r="F342" s="5" t="s">
        <v>288</v>
      </c>
      <c r="G342" s="4" t="str">
        <f t="shared" si="28"/>
        <v>UP12</v>
      </c>
      <c r="H342" s="27"/>
    </row>
    <row r="343" spans="1:8" s="3" customFormat="1" ht="51">
      <c r="A343" s="4" t="s">
        <v>347</v>
      </c>
      <c r="B343" s="82" t="str">
        <f>A343&amp;". Now I'm going to read a list of problems that some people encounter when using a mobile phone to make or receive a payment. For each one that I mention, please tell me how often you experience this problem? "&amp;Other!M6</f>
        <v>UP13. Now I'm going to read a list of problems that some people encounter when using a mobile phone to make or receive a payment. For each one that I mention, please tell me how often you experience this problem? Inability to get cash for the payment</v>
      </c>
      <c r="C343" s="82" t="s">
        <v>344</v>
      </c>
      <c r="D343" s="4" t="s">
        <v>30</v>
      </c>
      <c r="E343" s="4">
        <v>1</v>
      </c>
      <c r="F343" s="5" t="s">
        <v>288</v>
      </c>
      <c r="G343" s="4" t="str">
        <f t="shared" si="28"/>
        <v>UP13</v>
      </c>
      <c r="H343" s="27"/>
    </row>
    <row r="344" spans="1:8" s="3" customFormat="1" ht="51">
      <c r="A344" s="4" t="s">
        <v>348</v>
      </c>
      <c r="B344" s="82" t="str">
        <f>A344&amp;". Now I'm going to read a list of problems that some people encounter when using a mobile phone to make or receive a payment. For each one that I mention, please tell me how often you experience this problem? "&amp;Other!M7</f>
        <v>UP14. Now I'm going to read a list of problems that some people encounter when using a mobile phone to make or receive a payment. For each one that I mention, please tell me how often you experience this problem? Difficulty contacting customer care</v>
      </c>
      <c r="C344" s="82" t="s">
        <v>344</v>
      </c>
      <c r="D344" s="4" t="s">
        <v>30</v>
      </c>
      <c r="E344" s="4">
        <v>1</v>
      </c>
      <c r="F344" s="5" t="s">
        <v>288</v>
      </c>
      <c r="G344" s="4" t="str">
        <f t="shared" si="28"/>
        <v>UP14</v>
      </c>
      <c r="H344" s="27"/>
    </row>
    <row r="345" spans="1:8" s="3" customFormat="1" ht="51">
      <c r="A345" s="4" t="s">
        <v>1437</v>
      </c>
      <c r="B345" s="82" t="str">
        <f>A345&amp;". Now I'm going to read a list of problems that some people encounter when using a mobile phone to make or receive a payment. For each one that I mention, please tell me how often you experience this problem? "&amp;Other!M8</f>
        <v>UP15. Now I'm going to read a list of problems that some people encounter when using a mobile phone to make or receive a payment. For each one that I mention, please tell me how often you experience this problem? Sent money to the wrong person</v>
      </c>
      <c r="C345" s="82" t="s">
        <v>344</v>
      </c>
      <c r="D345" s="4" t="s">
        <v>30</v>
      </c>
      <c r="E345" s="4">
        <v>1</v>
      </c>
      <c r="F345" s="5" t="s">
        <v>288</v>
      </c>
      <c r="G345" s="4" t="str">
        <f t="shared" si="28"/>
        <v>UP15</v>
      </c>
      <c r="H345" s="27"/>
    </row>
    <row r="346" spans="1:8" s="3" customFormat="1" ht="51">
      <c r="A346" s="4" t="s">
        <v>1438</v>
      </c>
      <c r="B346" s="82" t="str">
        <f>A346&amp;". Now I'm going to read a list of problems that some people encounter when using a mobile phone to make or receive a payment. For each one that I mention, please tell me how often you experience this problem? "&amp;Other!M9</f>
        <v>UP16. Now I'm going to read a list of problems that some people encounter when using a mobile phone to make or receive a payment. For each one that I mention, please tell me how often you experience this problem? You feel at risk of losing money</v>
      </c>
      <c r="C346" s="82" t="s">
        <v>344</v>
      </c>
      <c r="D346" s="4" t="s">
        <v>30</v>
      </c>
      <c r="E346" s="4">
        <v>1</v>
      </c>
      <c r="F346" s="5" t="s">
        <v>288</v>
      </c>
      <c r="G346" s="4" t="str">
        <f t="shared" si="28"/>
        <v>UP16</v>
      </c>
      <c r="H346" s="27"/>
    </row>
    <row r="347" spans="1:8" s="19" customFormat="1" ht="44.25" customHeight="1">
      <c r="A347" s="162" t="s">
        <v>1546</v>
      </c>
      <c r="B347" s="165"/>
      <c r="C347" s="165"/>
      <c r="D347" s="165"/>
      <c r="E347" s="165"/>
      <c r="F347" s="87" t="s">
        <v>350</v>
      </c>
      <c r="G347" s="87"/>
      <c r="H347" s="13"/>
    </row>
    <row r="348" spans="1:8" s="19" customFormat="1" ht="12.75">
      <c r="A348" s="6" t="s">
        <v>4</v>
      </c>
      <c r="B348" s="7" t="s">
        <v>5</v>
      </c>
      <c r="C348" s="7" t="s">
        <v>6</v>
      </c>
      <c r="D348" s="6" t="s">
        <v>7</v>
      </c>
      <c r="E348" s="7" t="s">
        <v>8</v>
      </c>
      <c r="F348" s="7" t="s">
        <v>9</v>
      </c>
      <c r="G348" s="6" t="s">
        <v>10</v>
      </c>
      <c r="H348" s="13"/>
    </row>
    <row r="349" spans="1:8" s="19" customFormat="1" ht="25.5">
      <c r="A349" s="153" t="s">
        <v>1647</v>
      </c>
      <c r="B349" s="150" t="str">
        <f>A349&amp;".Have you ever used the services of a mobile money agent?"</f>
        <v>MA0.Have you ever used the services of a mobile money agent?</v>
      </c>
      <c r="C349" s="150" t="s">
        <v>137</v>
      </c>
      <c r="D349" s="153" t="s">
        <v>30</v>
      </c>
      <c r="E349" s="153">
        <v>1</v>
      </c>
      <c r="F349" s="154" t="s">
        <v>350</v>
      </c>
      <c r="G349" s="153" t="str">
        <f t="shared" ref="G349" si="29">SUBSTITUTE(A349,".","_")</f>
        <v>MA0</v>
      </c>
      <c r="H349" s="13"/>
    </row>
    <row r="350" spans="1:8" s="3" customFormat="1" ht="63.75">
      <c r="A350" s="4" t="s">
        <v>758</v>
      </c>
      <c r="B350" s="82" t="str">
        <f>A350&amp;". How often have you experienced any of the following issues with a mobile money agent? "&amp;Other!V2</f>
        <v>MA1. How often have you experienced any of the following issues with a mobile money agent? Agent was absent</v>
      </c>
      <c r="C350" s="82" t="s">
        <v>349</v>
      </c>
      <c r="D350" s="4" t="s">
        <v>30</v>
      </c>
      <c r="E350" s="4">
        <v>1</v>
      </c>
      <c r="F350" s="154" t="s">
        <v>1648</v>
      </c>
      <c r="G350" s="4" t="str">
        <f t="shared" ref="G350:G359" si="30">SUBSTITUTE(A350,".","_")</f>
        <v>MA1</v>
      </c>
      <c r="H350" s="27"/>
    </row>
    <row r="351" spans="1:8" s="3" customFormat="1" ht="63.75">
      <c r="A351" s="4" t="s">
        <v>759</v>
      </c>
      <c r="B351" s="82" t="str">
        <f>A351&amp;". How often have you experienced any of the following issues with a mobile money agent? "&amp;Other!V3</f>
        <v>MA2. How often have you experienced any of the following issues with a mobile money agent? Agent provided poor service</v>
      </c>
      <c r="C351" s="82" t="s">
        <v>349</v>
      </c>
      <c r="D351" s="4" t="s">
        <v>30</v>
      </c>
      <c r="E351" s="4">
        <v>1</v>
      </c>
      <c r="F351" s="154" t="s">
        <v>1648</v>
      </c>
      <c r="G351" s="4" t="str">
        <f t="shared" si="30"/>
        <v>MA2</v>
      </c>
      <c r="H351" s="27"/>
    </row>
    <row r="352" spans="1:8" s="3" customFormat="1" ht="63.75">
      <c r="A352" s="4" t="s">
        <v>1496</v>
      </c>
      <c r="B352" s="82" t="str">
        <f>A352&amp;". How often have you experienced any of the following issues with a mobile money agent? "&amp;Other!V4</f>
        <v>MA3. How often have you experienced any of the following issues with a mobile money agent? Agent did not have enough money to complete the transaction</v>
      </c>
      <c r="C352" s="82" t="s">
        <v>349</v>
      </c>
      <c r="D352" s="4" t="s">
        <v>30</v>
      </c>
      <c r="E352" s="4">
        <v>1</v>
      </c>
      <c r="F352" s="154" t="s">
        <v>1648</v>
      </c>
      <c r="G352" s="4" t="str">
        <f t="shared" si="30"/>
        <v>MA3</v>
      </c>
      <c r="H352" s="27"/>
    </row>
    <row r="353" spans="1:8" s="3" customFormat="1" ht="63.75">
      <c r="A353" s="4" t="s">
        <v>1497</v>
      </c>
      <c r="B353" s="82" t="str">
        <f>A353&amp;". How often have you experienced any of the following issues with a mobile money agent? "&amp;Other!V5</f>
        <v>MA4. How often have you experienced any of the following issues with a mobile money agent? Agent did not know how to perform the transaction</v>
      </c>
      <c r="C353" s="82" t="s">
        <v>349</v>
      </c>
      <c r="D353" s="4" t="s">
        <v>30</v>
      </c>
      <c r="E353" s="4">
        <v>1</v>
      </c>
      <c r="F353" s="154" t="s">
        <v>1648</v>
      </c>
      <c r="G353" s="4" t="str">
        <f t="shared" si="30"/>
        <v>MA4</v>
      </c>
      <c r="H353" s="27"/>
    </row>
    <row r="354" spans="1:8" s="3" customFormat="1" ht="63.75">
      <c r="A354" s="4" t="s">
        <v>1498</v>
      </c>
      <c r="B354" s="82" t="str">
        <f>A354&amp;". How often have you experienced any of the following issues with a mobile money agent? "&amp;Other!V6</f>
        <v>MA5. How often have you experienced any of the following issues with a mobile money agent? Agent overcharged for the transaction</v>
      </c>
      <c r="C354" s="82" t="s">
        <v>349</v>
      </c>
      <c r="D354" s="4" t="s">
        <v>30</v>
      </c>
      <c r="E354" s="4">
        <v>1</v>
      </c>
      <c r="F354" s="154" t="s">
        <v>1648</v>
      </c>
      <c r="G354" s="4" t="str">
        <f t="shared" si="30"/>
        <v>MA5</v>
      </c>
      <c r="H354" s="27"/>
    </row>
    <row r="355" spans="1:8" s="3" customFormat="1" ht="63.75">
      <c r="A355" s="4" t="s">
        <v>1499</v>
      </c>
      <c r="B355" s="82" t="str">
        <f>A355&amp;". How often have you experienced any of the following issues with a mobile money agent? "&amp;Other!V7</f>
        <v>MA6. How often have you experienced any of the following issues with a mobile money agent? Agent did not give all the cash that was owed</v>
      </c>
      <c r="C355" s="82" t="s">
        <v>349</v>
      </c>
      <c r="D355" s="4" t="s">
        <v>30</v>
      </c>
      <c r="E355" s="4">
        <v>1</v>
      </c>
      <c r="F355" s="154" t="s">
        <v>1648</v>
      </c>
      <c r="G355" s="4" t="str">
        <f t="shared" si="30"/>
        <v>MA6</v>
      </c>
      <c r="H355" s="27"/>
    </row>
    <row r="356" spans="1:8" s="3" customFormat="1" ht="63.75">
      <c r="A356" s="4" t="s">
        <v>1500</v>
      </c>
      <c r="B356" s="82" t="str">
        <f>A356&amp;". How often have you experienced any of the following issues with a mobile money agent? "&amp;Other!V8</f>
        <v>MA7. How often have you experienced any of the following issues with a mobile money agent? Agent system or mobile network was down</v>
      </c>
      <c r="C356" s="82" t="s">
        <v>349</v>
      </c>
      <c r="D356" s="4" t="s">
        <v>30</v>
      </c>
      <c r="E356" s="4">
        <v>1</v>
      </c>
      <c r="F356" s="154" t="s">
        <v>1648</v>
      </c>
      <c r="G356" s="4" t="str">
        <f t="shared" si="30"/>
        <v>MA7</v>
      </c>
      <c r="H356" s="27"/>
    </row>
    <row r="357" spans="1:8" s="3" customFormat="1" ht="63.75">
      <c r="A357" s="4" t="s">
        <v>1501</v>
      </c>
      <c r="B357" s="82" t="str">
        <f>A357&amp;". How often have you experienced any of the following issues with a mobile money agent? "&amp;Other!V9</f>
        <v>MA8. How often have you experienced any of the following issues with a mobile money agent? Agent was dismissive of women</v>
      </c>
      <c r="C357" s="82" t="s">
        <v>349</v>
      </c>
      <c r="D357" s="4" t="s">
        <v>30</v>
      </c>
      <c r="E357" s="4">
        <v>1</v>
      </c>
      <c r="F357" s="154" t="s">
        <v>1648</v>
      </c>
      <c r="G357" s="4" t="str">
        <f t="shared" si="30"/>
        <v>MA8</v>
      </c>
      <c r="H357" s="27"/>
    </row>
    <row r="358" spans="1:8" s="3" customFormat="1" ht="63.75">
      <c r="A358" s="4" t="s">
        <v>1502</v>
      </c>
      <c r="B358" s="82" t="str">
        <f>A358&amp;". How often have you experienced any of the following issues with a mobile money agent? "&amp;Other!V10</f>
        <v>MA9. How often have you experienced any of the following issues with a mobile money agent? Agent’s place was not secure or there were suspicious people at agent’s place</v>
      </c>
      <c r="C358" s="82" t="s">
        <v>349</v>
      </c>
      <c r="D358" s="4" t="s">
        <v>30</v>
      </c>
      <c r="E358" s="4">
        <v>1</v>
      </c>
      <c r="F358" s="154" t="s">
        <v>1648</v>
      </c>
      <c r="G358" s="4" t="str">
        <f t="shared" si="30"/>
        <v>MA9</v>
      </c>
      <c r="H358" s="27"/>
    </row>
    <row r="359" spans="1:8" s="3" customFormat="1" ht="63.75">
      <c r="A359" s="4" t="s">
        <v>1503</v>
      </c>
      <c r="B359" s="82" t="str">
        <f>A359&amp;". How often have you experienced any of the following issues with a mobile money agent? "&amp;Other!V11</f>
        <v>MA10. How often have you experienced any of the following issues with a mobile money agent? Agent shared your personal or account information with other people without your knowledge or permission</v>
      </c>
      <c r="C359" s="82" t="s">
        <v>349</v>
      </c>
      <c r="D359" s="4" t="s">
        <v>30</v>
      </c>
      <c r="E359" s="4">
        <v>1</v>
      </c>
      <c r="F359" s="154" t="s">
        <v>1648</v>
      </c>
      <c r="G359" s="4" t="str">
        <f t="shared" si="30"/>
        <v>MA10</v>
      </c>
      <c r="H359" s="27"/>
    </row>
    <row r="360" spans="1:8" s="19" customFormat="1" ht="44.25" customHeight="1">
      <c r="A360" s="162" t="s">
        <v>1547</v>
      </c>
      <c r="B360" s="165"/>
      <c r="C360" s="165"/>
      <c r="D360" s="165"/>
      <c r="E360" s="165"/>
      <c r="F360" s="87" t="s">
        <v>1495</v>
      </c>
      <c r="G360" s="87"/>
      <c r="H360" s="13"/>
    </row>
    <row r="361" spans="1:8" s="19" customFormat="1" ht="12.75">
      <c r="A361" s="6" t="s">
        <v>4</v>
      </c>
      <c r="B361" s="7" t="s">
        <v>5</v>
      </c>
      <c r="C361" s="7" t="s">
        <v>6</v>
      </c>
      <c r="D361" s="6" t="s">
        <v>7</v>
      </c>
      <c r="E361" s="7" t="s">
        <v>8</v>
      </c>
      <c r="F361" s="7" t="s">
        <v>9</v>
      </c>
      <c r="G361" s="6" t="s">
        <v>10</v>
      </c>
      <c r="H361" s="13"/>
    </row>
    <row r="362" spans="1:8" s="3" customFormat="1" ht="25.5">
      <c r="A362" s="153" t="s">
        <v>1649</v>
      </c>
      <c r="B362" s="150" t="str">
        <f>A362&amp;".Have you ever used the services of a payments bank agent?"</f>
        <v>PA0.Have you ever used the services of a payments bank agent?</v>
      </c>
      <c r="C362" s="150" t="s">
        <v>137</v>
      </c>
      <c r="D362" s="153" t="s">
        <v>30</v>
      </c>
      <c r="E362" s="153">
        <v>1</v>
      </c>
      <c r="F362" s="154" t="s">
        <v>1495</v>
      </c>
      <c r="G362" s="153" t="str">
        <f t="shared" ref="G362" si="31">SUBSTITUTE(A362,".","_")</f>
        <v>PA0</v>
      </c>
      <c r="H362" s="27"/>
    </row>
    <row r="363" spans="1:8" s="3" customFormat="1" ht="63.75">
      <c r="A363" s="4" t="s">
        <v>1504</v>
      </c>
      <c r="B363" s="82" t="str">
        <f>A363&amp;". How often have you experienced any of the following issues with a payments bank agent? "&amp;Other!V2</f>
        <v>PA1. How often have you experienced any of the following issues with a payments bank agent? Agent was absent</v>
      </c>
      <c r="C363" s="82" t="s">
        <v>349</v>
      </c>
      <c r="D363" s="4" t="s">
        <v>30</v>
      </c>
      <c r="E363" s="4">
        <v>1</v>
      </c>
      <c r="F363" s="154" t="s">
        <v>1650</v>
      </c>
      <c r="G363" s="4" t="str">
        <f t="shared" ref="G363:G372" si="32">SUBSTITUTE(A363,".","_")</f>
        <v>PA1</v>
      </c>
      <c r="H363" s="27"/>
    </row>
    <row r="364" spans="1:8" s="3" customFormat="1" ht="63.75">
      <c r="A364" s="4" t="s">
        <v>1505</v>
      </c>
      <c r="B364" s="82" t="str">
        <f>A364&amp;". How often have you experienced any of the following issues with a payments bank agent? "&amp;Other!V3</f>
        <v>PA2. How often have you experienced any of the following issues with a payments bank agent? Agent provided poor service</v>
      </c>
      <c r="C364" s="82" t="s">
        <v>349</v>
      </c>
      <c r="D364" s="4" t="s">
        <v>30</v>
      </c>
      <c r="E364" s="4">
        <v>1</v>
      </c>
      <c r="F364" s="154" t="s">
        <v>1650</v>
      </c>
      <c r="G364" s="4" t="str">
        <f t="shared" si="32"/>
        <v>PA2</v>
      </c>
      <c r="H364" s="27"/>
    </row>
    <row r="365" spans="1:8" s="3" customFormat="1" ht="63.75">
      <c r="A365" s="4" t="s">
        <v>1506</v>
      </c>
      <c r="B365" s="82" t="str">
        <f>A365&amp;". How often have you experienced any of the following issues with a payments bank agent? "&amp;Other!V4</f>
        <v>PA3. How often have you experienced any of the following issues with a payments bank agent? Agent did not have enough money to complete the transaction</v>
      </c>
      <c r="C365" s="82" t="s">
        <v>349</v>
      </c>
      <c r="D365" s="4" t="s">
        <v>30</v>
      </c>
      <c r="E365" s="4">
        <v>1</v>
      </c>
      <c r="F365" s="154" t="s">
        <v>1650</v>
      </c>
      <c r="G365" s="4" t="str">
        <f t="shared" si="32"/>
        <v>PA3</v>
      </c>
      <c r="H365" s="27"/>
    </row>
    <row r="366" spans="1:8" s="3" customFormat="1" ht="63.75">
      <c r="A366" s="4" t="s">
        <v>1507</v>
      </c>
      <c r="B366" s="82" t="str">
        <f>A366&amp;". How often have you experienced any of the following issues with a payments bank agent? "&amp;Other!V5</f>
        <v>PA4. How often have you experienced any of the following issues with a payments bank agent? Agent did not know how to perform the transaction</v>
      </c>
      <c r="C366" s="82" t="s">
        <v>349</v>
      </c>
      <c r="D366" s="4" t="s">
        <v>30</v>
      </c>
      <c r="E366" s="4">
        <v>1</v>
      </c>
      <c r="F366" s="154" t="s">
        <v>1650</v>
      </c>
      <c r="G366" s="4" t="str">
        <f t="shared" si="32"/>
        <v>PA4</v>
      </c>
      <c r="H366" s="27"/>
    </row>
    <row r="367" spans="1:8" s="3" customFormat="1" ht="63.75">
      <c r="A367" s="4" t="s">
        <v>1508</v>
      </c>
      <c r="B367" s="82" t="str">
        <f>A367&amp;". How often have you experienced any of the following issues with a payments bank agent? "&amp;Other!V6</f>
        <v>PA5. How often have you experienced any of the following issues with a payments bank agent? Agent overcharged for the transaction</v>
      </c>
      <c r="C367" s="82" t="s">
        <v>349</v>
      </c>
      <c r="D367" s="4" t="s">
        <v>30</v>
      </c>
      <c r="E367" s="4">
        <v>1</v>
      </c>
      <c r="F367" s="154" t="s">
        <v>1650</v>
      </c>
      <c r="G367" s="4" t="str">
        <f t="shared" si="32"/>
        <v>PA5</v>
      </c>
      <c r="H367" s="27"/>
    </row>
    <row r="368" spans="1:8" s="3" customFormat="1" ht="63.75">
      <c r="A368" s="4" t="s">
        <v>1509</v>
      </c>
      <c r="B368" s="82" t="str">
        <f>A368&amp;". How often have you experienced any of the following issues with a payments bank agent? "&amp;Other!V7</f>
        <v>PA6. How often have you experienced any of the following issues with a payments bank agent? Agent did not give all the cash that was owed</v>
      </c>
      <c r="C368" s="82" t="s">
        <v>349</v>
      </c>
      <c r="D368" s="4" t="s">
        <v>30</v>
      </c>
      <c r="E368" s="4">
        <v>1</v>
      </c>
      <c r="F368" s="154" t="s">
        <v>1650</v>
      </c>
      <c r="G368" s="4" t="str">
        <f t="shared" si="32"/>
        <v>PA6</v>
      </c>
      <c r="H368" s="27"/>
    </row>
    <row r="369" spans="1:8" s="3" customFormat="1" ht="63.75">
      <c r="A369" s="4" t="s">
        <v>1510</v>
      </c>
      <c r="B369" s="82" t="str">
        <f>A369&amp;". How often have you experienced any of the following issues with a payments bank agent? "&amp;Other!V8</f>
        <v>PA7. How often have you experienced any of the following issues with a payments bank agent? Agent system or mobile network was down</v>
      </c>
      <c r="C369" s="82" t="s">
        <v>349</v>
      </c>
      <c r="D369" s="4" t="s">
        <v>30</v>
      </c>
      <c r="E369" s="4">
        <v>1</v>
      </c>
      <c r="F369" s="154" t="s">
        <v>1650</v>
      </c>
      <c r="G369" s="4" t="str">
        <f t="shared" si="32"/>
        <v>PA7</v>
      </c>
      <c r="H369" s="27"/>
    </row>
    <row r="370" spans="1:8" s="3" customFormat="1" ht="63.75">
      <c r="A370" s="4" t="s">
        <v>1511</v>
      </c>
      <c r="B370" s="82" t="str">
        <f>A370&amp;". How often have you experienced any of the following issues with a payments bank agent? "&amp;Other!V9</f>
        <v>PA8. How often have you experienced any of the following issues with a payments bank agent? Agent was dismissive of women</v>
      </c>
      <c r="C370" s="82" t="s">
        <v>349</v>
      </c>
      <c r="D370" s="4" t="s">
        <v>30</v>
      </c>
      <c r="E370" s="4">
        <v>1</v>
      </c>
      <c r="F370" s="154" t="s">
        <v>1650</v>
      </c>
      <c r="G370" s="4" t="str">
        <f t="shared" si="32"/>
        <v>PA8</v>
      </c>
      <c r="H370" s="27"/>
    </row>
    <row r="371" spans="1:8" s="3" customFormat="1" ht="63.75">
      <c r="A371" s="4" t="s">
        <v>1512</v>
      </c>
      <c r="B371" s="82" t="str">
        <f>A371&amp;". How often have you experienced any of the following issues with a payments bank agent? "&amp;Other!V10</f>
        <v>PA9. How often have you experienced any of the following issues with a payments bank agent? Agent’s place was not secure or there were suspicious people at agent’s place</v>
      </c>
      <c r="C371" s="82" t="s">
        <v>349</v>
      </c>
      <c r="D371" s="4" t="s">
        <v>30</v>
      </c>
      <c r="E371" s="4">
        <v>1</v>
      </c>
      <c r="F371" s="154" t="s">
        <v>1650</v>
      </c>
      <c r="G371" s="4" t="str">
        <f t="shared" si="32"/>
        <v>PA9</v>
      </c>
      <c r="H371" s="27"/>
    </row>
    <row r="372" spans="1:8" s="19" customFormat="1" ht="57.75" customHeight="1">
      <c r="A372" s="4" t="s">
        <v>1513</v>
      </c>
      <c r="B372" s="82" t="str">
        <f>A372&amp;". How often have you experienced any of the following issues with a payments bank agent? "&amp;Other!V11</f>
        <v>PA10. How often have you experienced any of the following issues with a payments bank agent? Agent shared your personal or account information with other people without your knowledge or permission</v>
      </c>
      <c r="C372" s="82" t="s">
        <v>349</v>
      </c>
      <c r="D372" s="4" t="s">
        <v>30</v>
      </c>
      <c r="E372" s="4">
        <v>1</v>
      </c>
      <c r="F372" s="154" t="s">
        <v>1650</v>
      </c>
      <c r="G372" s="4" t="str">
        <f t="shared" si="32"/>
        <v>PA10</v>
      </c>
      <c r="H372" s="13"/>
    </row>
    <row r="373" spans="1:8" s="19" customFormat="1" ht="12.75">
      <c r="A373" s="162" t="s">
        <v>1548</v>
      </c>
      <c r="B373" s="162"/>
      <c r="C373" s="162"/>
      <c r="D373" s="162"/>
      <c r="E373" s="162"/>
      <c r="F373" s="87" t="s">
        <v>352</v>
      </c>
      <c r="G373" s="87"/>
      <c r="H373" s="13"/>
    </row>
    <row r="374" spans="1:8" s="79" customFormat="1" ht="12.75">
      <c r="A374" s="6" t="s">
        <v>4</v>
      </c>
      <c r="B374" s="7" t="s">
        <v>5</v>
      </c>
      <c r="C374" s="7" t="s">
        <v>6</v>
      </c>
      <c r="D374" s="6" t="s">
        <v>7</v>
      </c>
      <c r="E374" s="7" t="s">
        <v>8</v>
      </c>
      <c r="F374" s="7" t="s">
        <v>9</v>
      </c>
      <c r="G374" s="6" t="s">
        <v>10</v>
      </c>
      <c r="H374" s="78"/>
    </row>
    <row r="375" spans="1:8" s="79" customFormat="1" ht="25.5">
      <c r="A375" s="60" t="s">
        <v>351</v>
      </c>
      <c r="B375" s="117" t="str">
        <f>A375&amp;". Have you ever used the services of a bank agent?"</f>
        <v>BA1. Have you ever used the services of a bank agent?</v>
      </c>
      <c r="C375" s="44" t="s">
        <v>137</v>
      </c>
      <c r="D375" s="60" t="s">
        <v>30</v>
      </c>
      <c r="E375" s="73">
        <v>1</v>
      </c>
      <c r="F375" s="88" t="s">
        <v>352</v>
      </c>
      <c r="G375" s="60" t="str">
        <f t="shared" ref="G375:G386" si="33">SUBSTITUTE(A375,".","_")</f>
        <v>BA1</v>
      </c>
      <c r="H375" s="78"/>
    </row>
    <row r="376" spans="1:8" s="3" customFormat="1" ht="89.25">
      <c r="A376" s="123" t="s">
        <v>1589</v>
      </c>
      <c r="B376" s="124" t="str">
        <f>A376&amp;". When was the last time you used a the services of a bank agent?"</f>
        <v>BA2. When was the last time you used a the services of a bank agent?</v>
      </c>
      <c r="C376" s="125" t="s">
        <v>196</v>
      </c>
      <c r="D376" s="126" t="s">
        <v>30</v>
      </c>
      <c r="E376" s="126">
        <v>1</v>
      </c>
      <c r="F376" s="122" t="s">
        <v>353</v>
      </c>
      <c r="G376" s="123"/>
      <c r="H376" s="27"/>
    </row>
    <row r="377" spans="1:8" s="3" customFormat="1" ht="63.75">
      <c r="A377" s="123" t="s">
        <v>1590</v>
      </c>
      <c r="B377" s="82" t="str">
        <f>A377&amp;". How often have you experienced any of the following issues with a bank agent agent? "&amp;Other!V2</f>
        <v>BA3.1. How often have you experienced any of the following issues with a bank agent agent? Agent was absent</v>
      </c>
      <c r="C377" s="117" t="s">
        <v>144</v>
      </c>
      <c r="D377" s="4" t="s">
        <v>30</v>
      </c>
      <c r="E377" s="4">
        <v>1</v>
      </c>
      <c r="F377" s="5" t="s">
        <v>353</v>
      </c>
      <c r="G377" s="4" t="str">
        <f t="shared" si="33"/>
        <v>BA3_1</v>
      </c>
      <c r="H377" s="27"/>
    </row>
    <row r="378" spans="1:8" s="3" customFormat="1" ht="63.75">
      <c r="A378" s="123" t="s">
        <v>1591</v>
      </c>
      <c r="B378" s="82" t="str">
        <f>A378&amp;". How often have you experienced any of the following issues with a bank agent agent? "&amp;Other!V3</f>
        <v>BA3.2. How often have you experienced any of the following issues with a bank agent agent? Agent provided poor service</v>
      </c>
      <c r="C378" s="117" t="s">
        <v>144</v>
      </c>
      <c r="D378" s="4" t="s">
        <v>30</v>
      </c>
      <c r="E378" s="4">
        <v>1</v>
      </c>
      <c r="F378" s="5" t="s">
        <v>353</v>
      </c>
      <c r="G378" s="4" t="str">
        <f t="shared" si="33"/>
        <v>BA3_2</v>
      </c>
      <c r="H378" s="27"/>
    </row>
    <row r="379" spans="1:8" s="3" customFormat="1" ht="63.75">
      <c r="A379" s="123" t="s">
        <v>1592</v>
      </c>
      <c r="B379" s="82" t="str">
        <f>A379&amp;". How often have you experienced any of the following issues with a bank agent agent? "&amp;Other!V4</f>
        <v>BA3.3. How often have you experienced any of the following issues with a bank agent agent? Agent did not have enough money to complete the transaction</v>
      </c>
      <c r="C379" s="117" t="s">
        <v>144</v>
      </c>
      <c r="D379" s="4" t="s">
        <v>30</v>
      </c>
      <c r="E379" s="4">
        <v>1</v>
      </c>
      <c r="F379" s="5" t="s">
        <v>353</v>
      </c>
      <c r="G379" s="4" t="str">
        <f t="shared" si="33"/>
        <v>BA3_3</v>
      </c>
      <c r="H379" s="27"/>
    </row>
    <row r="380" spans="1:8" s="3" customFormat="1" ht="63.75">
      <c r="A380" s="123" t="s">
        <v>1593</v>
      </c>
      <c r="B380" s="82" t="str">
        <f>A380&amp;". How often have you experienced any of the following issues with a bank agent agent? "&amp;Other!V5</f>
        <v>BA3.4. How often have you experienced any of the following issues with a bank agent agent? Agent did not know how to perform the transaction</v>
      </c>
      <c r="C380" s="117" t="s">
        <v>144</v>
      </c>
      <c r="D380" s="4" t="s">
        <v>30</v>
      </c>
      <c r="E380" s="4">
        <v>1</v>
      </c>
      <c r="F380" s="5" t="s">
        <v>353</v>
      </c>
      <c r="G380" s="4" t="str">
        <f t="shared" si="33"/>
        <v>BA3_4</v>
      </c>
      <c r="H380" s="27"/>
    </row>
    <row r="381" spans="1:8" s="3" customFormat="1" ht="63.75">
      <c r="A381" s="123" t="s">
        <v>1594</v>
      </c>
      <c r="B381" s="82" t="str">
        <f>A381&amp;". How often have you experienced any of the following issues with a bank agent agent? "&amp;Other!V6</f>
        <v>BA3.5. How often have you experienced any of the following issues with a bank agent agent? Agent overcharged for the transaction</v>
      </c>
      <c r="C381" s="117" t="s">
        <v>144</v>
      </c>
      <c r="D381" s="4" t="s">
        <v>30</v>
      </c>
      <c r="E381" s="4">
        <v>1</v>
      </c>
      <c r="F381" s="5" t="s">
        <v>353</v>
      </c>
      <c r="G381" s="4" t="str">
        <f t="shared" si="33"/>
        <v>BA3_5</v>
      </c>
      <c r="H381" s="27"/>
    </row>
    <row r="382" spans="1:8" s="3" customFormat="1" ht="63.75">
      <c r="A382" s="123" t="s">
        <v>1595</v>
      </c>
      <c r="B382" s="82" t="str">
        <f>A382&amp;". How often have you experienced any of the following issues with a bank agent agent? "&amp;Other!V7</f>
        <v>BA3.6. How often have you experienced any of the following issues with a bank agent agent? Agent did not give all the cash that was owed</v>
      </c>
      <c r="C382" s="117" t="s">
        <v>144</v>
      </c>
      <c r="D382" s="4" t="s">
        <v>30</v>
      </c>
      <c r="E382" s="4">
        <v>1</v>
      </c>
      <c r="F382" s="5" t="s">
        <v>353</v>
      </c>
      <c r="G382" s="4" t="str">
        <f t="shared" si="33"/>
        <v>BA3_6</v>
      </c>
      <c r="H382" s="27"/>
    </row>
    <row r="383" spans="1:8" s="3" customFormat="1" ht="63.75">
      <c r="A383" s="123" t="s">
        <v>1596</v>
      </c>
      <c r="B383" s="82" t="str">
        <f>A383&amp;". How often have you experienced any of the following issues with a bank agent agent? "&amp;Other!V8</f>
        <v>BA3.7. How often have you experienced any of the following issues with a bank agent agent? Agent system or mobile network was down</v>
      </c>
      <c r="C383" s="117" t="s">
        <v>144</v>
      </c>
      <c r="D383" s="4" t="s">
        <v>30</v>
      </c>
      <c r="E383" s="4">
        <v>1</v>
      </c>
      <c r="F383" s="5" t="s">
        <v>353</v>
      </c>
      <c r="G383" s="4" t="str">
        <f t="shared" si="33"/>
        <v>BA3_7</v>
      </c>
      <c r="H383" s="27"/>
    </row>
    <row r="384" spans="1:8" s="3" customFormat="1" ht="63.75">
      <c r="A384" s="123" t="s">
        <v>1597</v>
      </c>
      <c r="B384" s="82" t="str">
        <f>A384&amp;". How often have you experienced any of the following issues with a bank agent agent? "&amp;Other!V9</f>
        <v>BA3.8. How often have you experienced any of the following issues with a bank agent agent? Agent was dismissive of women</v>
      </c>
      <c r="C384" s="117" t="s">
        <v>144</v>
      </c>
      <c r="D384" s="4" t="s">
        <v>30</v>
      </c>
      <c r="E384" s="4">
        <v>1</v>
      </c>
      <c r="F384" s="5" t="s">
        <v>353</v>
      </c>
      <c r="G384" s="4" t="str">
        <f t="shared" si="33"/>
        <v>BA3_8</v>
      </c>
      <c r="H384" s="27"/>
    </row>
    <row r="385" spans="1:8" s="3" customFormat="1" ht="63.75">
      <c r="A385" s="123" t="s">
        <v>1598</v>
      </c>
      <c r="B385" s="117" t="str">
        <f>A385&amp;". How often have you experienced any of the following issues with a bank agent agent? "&amp;Other!V10</f>
        <v>BA3.9. How often have you experienced any of the following issues with a bank agent agent? Agent’s place was not secure or there were suspicious people at agent’s place</v>
      </c>
      <c r="C385" s="117" t="s">
        <v>144</v>
      </c>
      <c r="D385" s="4" t="s">
        <v>30</v>
      </c>
      <c r="E385" s="4">
        <v>1</v>
      </c>
      <c r="F385" s="5" t="s">
        <v>353</v>
      </c>
      <c r="G385" s="4" t="str">
        <f t="shared" si="33"/>
        <v>BA3_9</v>
      </c>
      <c r="H385" s="27"/>
    </row>
    <row r="386" spans="1:8" s="3" customFormat="1" ht="44.25" customHeight="1">
      <c r="A386" s="123" t="s">
        <v>1599</v>
      </c>
      <c r="B386" s="117" t="str">
        <f>A386&amp;". How often have you experienced any of the following issues with a bank agent agent? "&amp;Other!V11</f>
        <v>BA3.10. How often have you experienced any of the following issues with a bank agent agent? Agent shared your personal or account information with other people without your knowledge or permission</v>
      </c>
      <c r="C386" s="117" t="s">
        <v>144</v>
      </c>
      <c r="D386" s="4" t="s">
        <v>30</v>
      </c>
      <c r="E386" s="4">
        <v>1</v>
      </c>
      <c r="F386" s="5" t="s">
        <v>353</v>
      </c>
      <c r="G386" s="4" t="str">
        <f t="shared" si="33"/>
        <v>BA3_10</v>
      </c>
      <c r="H386" s="68"/>
    </row>
    <row r="387" spans="1:8" s="19" customFormat="1" ht="25.5">
      <c r="A387" s="162" t="s">
        <v>1628</v>
      </c>
      <c r="B387" s="165"/>
      <c r="C387" s="165"/>
      <c r="D387" s="165"/>
      <c r="E387" s="165"/>
      <c r="F387" s="102" t="s">
        <v>355</v>
      </c>
      <c r="G387" s="87"/>
      <c r="H387" s="13"/>
    </row>
    <row r="388" spans="1:8" s="3" customFormat="1" ht="14.25">
      <c r="A388" s="6" t="s">
        <v>4</v>
      </c>
      <c r="B388" s="7" t="s">
        <v>5</v>
      </c>
      <c r="C388" s="7" t="s">
        <v>6</v>
      </c>
      <c r="D388" s="6" t="s">
        <v>7</v>
      </c>
      <c r="E388" s="7" t="s">
        <v>8</v>
      </c>
      <c r="F388" s="7" t="s">
        <v>9</v>
      </c>
      <c r="G388" s="6" t="s">
        <v>10</v>
      </c>
      <c r="H388" s="27"/>
    </row>
    <row r="389" spans="1:8" s="3" customFormat="1" ht="25.5">
      <c r="A389" s="4" t="s">
        <v>354</v>
      </c>
      <c r="B389" s="82" t="str">
        <f>A389&amp;". Is this a reason why you do not use a mobile money service? "&amp;Other!N2</f>
        <v>MM12.1. Is this a reason why you do not use a mobile money service? You don't know enough about mobile money services</v>
      </c>
      <c r="C389" s="82" t="s">
        <v>137</v>
      </c>
      <c r="D389" s="4" t="s">
        <v>30</v>
      </c>
      <c r="E389" s="4">
        <v>1</v>
      </c>
      <c r="F389" s="148" t="s">
        <v>1652</v>
      </c>
      <c r="G389" s="4" t="str">
        <f t="shared" ref="G389:G395" si="34">SUBSTITUTE(A389,".","_")</f>
        <v>MM12_1</v>
      </c>
      <c r="H389" s="27"/>
    </row>
    <row r="390" spans="1:8" s="3" customFormat="1" ht="25.5">
      <c r="A390" s="4" t="s">
        <v>356</v>
      </c>
      <c r="B390" s="82" t="str">
        <f>A390&amp;". Is this a reason why you do not use a mobile money service? "&amp;Other!N3</f>
        <v>MM12.2. Is this a reason why you do not use a mobile money service? You don't need to use a mobile money service</v>
      </c>
      <c r="C390" s="82" t="s">
        <v>137</v>
      </c>
      <c r="D390" s="4" t="s">
        <v>30</v>
      </c>
      <c r="E390" s="4">
        <v>1</v>
      </c>
      <c r="F390" s="148" t="s">
        <v>1652</v>
      </c>
      <c r="G390" s="4" t="str">
        <f t="shared" si="34"/>
        <v>MM12_2</v>
      </c>
      <c r="H390" s="27"/>
    </row>
    <row r="391" spans="1:8" s="3" customFormat="1" ht="25.5">
      <c r="A391" s="4" t="s">
        <v>357</v>
      </c>
      <c r="B391" s="82" t="str">
        <f>A391&amp;". Is this a reason why you do not use a mobile money service? "&amp;Other!N4</f>
        <v>MM12.3. Is this a reason why you do not use a mobile money service? You don't have the required documents</v>
      </c>
      <c r="C391" s="82" t="s">
        <v>137</v>
      </c>
      <c r="D391" s="4" t="s">
        <v>30</v>
      </c>
      <c r="E391" s="4">
        <v>1</v>
      </c>
      <c r="F391" s="148" t="s">
        <v>1652</v>
      </c>
      <c r="G391" s="4" t="str">
        <f t="shared" si="34"/>
        <v>MM12_3</v>
      </c>
      <c r="H391" s="27"/>
    </row>
    <row r="392" spans="1:8" s="3" customFormat="1" ht="25.5">
      <c r="A392" s="4" t="s">
        <v>358</v>
      </c>
      <c r="B392" s="82" t="str">
        <f>A392&amp;". Is this a reason why you do not use a mobile money service? "&amp;Other!N5</f>
        <v>MM12.4. Is this a reason why you do not use a mobile money service? You don't have enough money to use mobile money services</v>
      </c>
      <c r="C392" s="82" t="s">
        <v>137</v>
      </c>
      <c r="D392" s="4" t="s">
        <v>30</v>
      </c>
      <c r="E392" s="4">
        <v>1</v>
      </c>
      <c r="F392" s="148" t="s">
        <v>1652</v>
      </c>
      <c r="G392" s="4" t="str">
        <f t="shared" si="34"/>
        <v>MM12_4</v>
      </c>
      <c r="H392" s="27"/>
    </row>
    <row r="393" spans="1:8" s="3" customFormat="1" ht="25.5">
      <c r="A393" s="4" t="s">
        <v>359</v>
      </c>
      <c r="B393" s="82" t="str">
        <f>A393&amp;". Is this a reason why you do not use a mobile money service? "&amp;Other!N6</f>
        <v xml:space="preserve">MM12.5. Is this a reason why you do not use a mobile money service? You don't trust mobile money </v>
      </c>
      <c r="C393" s="82" t="s">
        <v>137</v>
      </c>
      <c r="D393" s="4" t="s">
        <v>30</v>
      </c>
      <c r="E393" s="4">
        <v>1</v>
      </c>
      <c r="F393" s="148" t="s">
        <v>1652</v>
      </c>
      <c r="G393" s="4" t="str">
        <f t="shared" si="34"/>
        <v>MM12_5</v>
      </c>
      <c r="H393" s="27"/>
    </row>
    <row r="394" spans="1:8" s="3" customFormat="1" ht="25.5">
      <c r="A394" s="4" t="s">
        <v>360</v>
      </c>
      <c r="B394" s="82" t="str">
        <f>A394&amp;". Is this a reason why you do not use a mobile money service? "&amp;Other!N7</f>
        <v>MM12.6. Is this a reason why you do not use a mobile money service? You prefer to use other financial services</v>
      </c>
      <c r="C394" s="82" t="s">
        <v>137</v>
      </c>
      <c r="D394" s="4" t="s">
        <v>30</v>
      </c>
      <c r="E394" s="4">
        <v>1</v>
      </c>
      <c r="F394" s="148" t="s">
        <v>1652</v>
      </c>
      <c r="G394" s="4" t="str">
        <f t="shared" si="34"/>
        <v>MM12_6</v>
      </c>
      <c r="H394" s="27"/>
    </row>
    <row r="395" spans="1:8" s="3" customFormat="1" ht="25.5">
      <c r="A395" s="4" t="s">
        <v>361</v>
      </c>
      <c r="B395" s="82" t="str">
        <f>A395&amp;". Is this a reason why you do not use a mobile money service? "&amp;Other!N8</f>
        <v>MM12.7. Is this a reason why you do not use a mobile money service? You prefer to use cash</v>
      </c>
      <c r="C395" s="82" t="s">
        <v>137</v>
      </c>
      <c r="D395" s="4" t="s">
        <v>30</v>
      </c>
      <c r="E395" s="4">
        <v>1</v>
      </c>
      <c r="F395" s="148" t="s">
        <v>1652</v>
      </c>
      <c r="G395" s="4" t="str">
        <f t="shared" si="34"/>
        <v>MM12_7</v>
      </c>
      <c r="H395" s="27"/>
    </row>
    <row r="396" spans="1:8" s="3" customFormat="1" ht="44.25" customHeight="1">
      <c r="A396" s="123" t="s">
        <v>1602</v>
      </c>
      <c r="B396" s="117" t="str">
        <f>A396&amp;". Is this a reason why you do not use a mobile money service? "&amp;Other!N9</f>
        <v>MM12.8. Is this a reason why you do not use a mobile money service? Fees and expenses for using mobile money services are too high</v>
      </c>
      <c r="C396" s="117" t="s">
        <v>137</v>
      </c>
      <c r="D396" s="123" t="s">
        <v>30</v>
      </c>
      <c r="E396" s="123">
        <v>2</v>
      </c>
      <c r="F396" s="148" t="s">
        <v>1652</v>
      </c>
      <c r="G396" s="123" t="str">
        <f t="shared" ref="G396" si="35">SUBSTITUTE(A396,".","_")</f>
        <v>MM12_8</v>
      </c>
      <c r="H396" s="68"/>
    </row>
    <row r="397" spans="1:8" s="19" customFormat="1" ht="12.75">
      <c r="A397" s="162" t="s">
        <v>1555</v>
      </c>
      <c r="B397" s="165"/>
      <c r="C397" s="165"/>
      <c r="D397" s="165"/>
      <c r="E397" s="165"/>
      <c r="F397" s="102" t="s">
        <v>1567</v>
      </c>
      <c r="G397" s="87"/>
      <c r="H397" s="13"/>
    </row>
    <row r="398" spans="1:8" s="3" customFormat="1" ht="14.25">
      <c r="A398" s="6" t="s">
        <v>4</v>
      </c>
      <c r="B398" s="7" t="s">
        <v>5</v>
      </c>
      <c r="C398" s="7" t="s">
        <v>6</v>
      </c>
      <c r="D398" s="6" t="s">
        <v>7</v>
      </c>
      <c r="E398" s="7" t="s">
        <v>8</v>
      </c>
      <c r="F398" s="7" t="s">
        <v>9</v>
      </c>
      <c r="G398" s="6" t="s">
        <v>10</v>
      </c>
      <c r="H398" s="27"/>
    </row>
    <row r="399" spans="1:8" s="3" customFormat="1" ht="25.5">
      <c r="A399" s="4" t="s">
        <v>1557</v>
      </c>
      <c r="B399" s="82" t="str">
        <f>A399&amp;". Is this a reason why you do not use a payments bank? "&amp;Other!AY2</f>
        <v>PB4.1. Is this a reason why you do not use a payments bank? You don't know enough about payments banks</v>
      </c>
      <c r="C399" s="82" t="s">
        <v>137</v>
      </c>
      <c r="D399" s="4" t="s">
        <v>30</v>
      </c>
      <c r="E399" s="4">
        <v>1</v>
      </c>
      <c r="F399" s="95" t="s">
        <v>1567</v>
      </c>
      <c r="G399" s="4" t="str">
        <f t="shared" ref="G399:G405" si="36">SUBSTITUTE(A399,".","_")</f>
        <v>PB4_1</v>
      </c>
      <c r="H399" s="27"/>
    </row>
    <row r="400" spans="1:8" s="3" customFormat="1" ht="25.5">
      <c r="A400" s="4" t="s">
        <v>1558</v>
      </c>
      <c r="B400" s="82" t="str">
        <f>A400&amp;". Is this a reason why you do not use a payments bank? "&amp;Other!AY3</f>
        <v>PB4.2. Is this a reason why you do not use a payments bank? You don't need to use a payments bank</v>
      </c>
      <c r="C400" s="82" t="s">
        <v>137</v>
      </c>
      <c r="D400" s="4" t="s">
        <v>30</v>
      </c>
      <c r="E400" s="4">
        <v>1</v>
      </c>
      <c r="F400" s="95" t="s">
        <v>1567</v>
      </c>
      <c r="G400" s="4" t="str">
        <f t="shared" si="36"/>
        <v>PB4_2</v>
      </c>
      <c r="H400" s="27"/>
    </row>
    <row r="401" spans="1:8" s="3" customFormat="1" ht="25.5">
      <c r="A401" s="4" t="s">
        <v>1559</v>
      </c>
      <c r="B401" s="82" t="str">
        <f>A401&amp;". Is this a reason why you do not use a payments bank? "&amp;Other!AY4</f>
        <v>PB4.3. Is this a reason why you do not use a payments bank? You don't have the required documents</v>
      </c>
      <c r="C401" s="82" t="s">
        <v>137</v>
      </c>
      <c r="D401" s="4" t="s">
        <v>30</v>
      </c>
      <c r="E401" s="4">
        <v>1</v>
      </c>
      <c r="F401" s="95" t="s">
        <v>1567</v>
      </c>
      <c r="G401" s="4" t="str">
        <f t="shared" si="36"/>
        <v>PB4_3</v>
      </c>
      <c r="H401" s="27"/>
    </row>
    <row r="402" spans="1:8" s="3" customFormat="1" ht="25.5">
      <c r="A402" s="4" t="s">
        <v>1560</v>
      </c>
      <c r="B402" s="82" t="str">
        <f>A402&amp;". Is this a reason why you do not use a payments bank? "&amp;Other!AY5</f>
        <v>PB4.4. Is this a reason why you do not use a payments bank? You don't have enough money to use a payments bank</v>
      </c>
      <c r="C402" s="82" t="s">
        <v>137</v>
      </c>
      <c r="D402" s="4" t="s">
        <v>30</v>
      </c>
      <c r="E402" s="4">
        <v>1</v>
      </c>
      <c r="F402" s="95" t="s">
        <v>1567</v>
      </c>
      <c r="G402" s="4" t="str">
        <f t="shared" si="36"/>
        <v>PB4_4</v>
      </c>
      <c r="H402" s="27"/>
    </row>
    <row r="403" spans="1:8" s="3" customFormat="1" ht="25.5">
      <c r="A403" s="4" t="s">
        <v>1561</v>
      </c>
      <c r="B403" s="82" t="str">
        <f>A403&amp;". Is this a reason why you do not use a payments bank? "&amp;Other!AY6</f>
        <v>PB4.5. Is this a reason why you do not use a payments bank? You don't trust payments banks</v>
      </c>
      <c r="C403" s="82" t="s">
        <v>137</v>
      </c>
      <c r="D403" s="4" t="s">
        <v>30</v>
      </c>
      <c r="E403" s="4">
        <v>1</v>
      </c>
      <c r="F403" s="95" t="s">
        <v>1567</v>
      </c>
      <c r="G403" s="4" t="str">
        <f t="shared" si="36"/>
        <v>PB4_5</v>
      </c>
      <c r="H403" s="27"/>
    </row>
    <row r="404" spans="1:8" s="3" customFormat="1" ht="25.5">
      <c r="A404" s="4" t="s">
        <v>1562</v>
      </c>
      <c r="B404" s="82" t="str">
        <f>A404&amp;". Is this a reason why you do not use a payments bank? "&amp;Other!AY7</f>
        <v>PB4.6. Is this a reason why you do not use a payments bank? You prefer to use other financial services</v>
      </c>
      <c r="C404" s="82" t="s">
        <v>137</v>
      </c>
      <c r="D404" s="4" t="s">
        <v>30</v>
      </c>
      <c r="E404" s="4">
        <v>1</v>
      </c>
      <c r="F404" s="95" t="s">
        <v>1567</v>
      </c>
      <c r="G404" s="4" t="str">
        <f t="shared" si="36"/>
        <v>PB4_6</v>
      </c>
      <c r="H404" s="27"/>
    </row>
    <row r="405" spans="1:8" s="3" customFormat="1" ht="25.5">
      <c r="A405" s="4" t="s">
        <v>1563</v>
      </c>
      <c r="B405" s="82" t="str">
        <f>A405&amp;". Is this a reason why you do not use a payments bank? "&amp;Other!AY8</f>
        <v>PB4.7. Is this a reason why you do not use a payments bank? You prefer to use cash</v>
      </c>
      <c r="C405" s="82" t="s">
        <v>137</v>
      </c>
      <c r="D405" s="4" t="s">
        <v>30</v>
      </c>
      <c r="E405" s="4">
        <v>1</v>
      </c>
      <c r="F405" s="95" t="s">
        <v>1567</v>
      </c>
      <c r="G405" s="4" t="str">
        <f t="shared" si="36"/>
        <v>PB4_7</v>
      </c>
      <c r="H405" s="27"/>
    </row>
    <row r="406" spans="1:8" s="3" customFormat="1" ht="40.5" customHeight="1">
      <c r="A406" s="4" t="s">
        <v>1566</v>
      </c>
      <c r="B406" s="82" t="str">
        <f>A406&amp;". Is this a reason why you do not use a payments bank? "&amp;Other!AY9</f>
        <v>PB4.8. Is this a reason why you do not use a payments bank? Fees and expenses for using payments banks are too high</v>
      </c>
      <c r="C406" s="82" t="s">
        <v>137</v>
      </c>
      <c r="D406" s="4" t="s">
        <v>30</v>
      </c>
      <c r="E406" s="4">
        <v>1</v>
      </c>
      <c r="F406" s="95" t="s">
        <v>1567</v>
      </c>
      <c r="G406" s="4" t="str">
        <f t="shared" ref="G406" si="37">SUBSTITUTE(A406,".","_")</f>
        <v>PB4_8</v>
      </c>
      <c r="H406" s="68"/>
    </row>
    <row r="407" spans="1:8" s="19" customFormat="1" ht="12.75">
      <c r="A407" s="162" t="s">
        <v>1568</v>
      </c>
      <c r="B407" s="165"/>
      <c r="C407" s="165"/>
      <c r="D407" s="165"/>
      <c r="E407" s="165"/>
      <c r="F407" s="87" t="s">
        <v>363</v>
      </c>
      <c r="G407" s="87"/>
      <c r="H407" s="13"/>
    </row>
    <row r="408" spans="1:8" s="3" customFormat="1" ht="14.25">
      <c r="A408" s="6" t="s">
        <v>4</v>
      </c>
      <c r="B408" s="7" t="s">
        <v>5</v>
      </c>
      <c r="C408" s="7" t="s">
        <v>6</v>
      </c>
      <c r="D408" s="6" t="s">
        <v>7</v>
      </c>
      <c r="E408" s="7" t="s">
        <v>8</v>
      </c>
      <c r="F408" s="7" t="s">
        <v>9</v>
      </c>
      <c r="G408" s="6" t="s">
        <v>10</v>
      </c>
      <c r="H408" s="27"/>
    </row>
    <row r="409" spans="1:8" s="3" customFormat="1" ht="25.5">
      <c r="A409" s="4" t="s">
        <v>362</v>
      </c>
      <c r="B409" s="82" t="str">
        <f>A409&amp;". Is this a reason why you do not have a bank account? " &amp;Other!J2</f>
        <v>FF3.1. Is this a reason why you do not have a bank account? You don't have the required documents</v>
      </c>
      <c r="C409" s="82" t="s">
        <v>137</v>
      </c>
      <c r="D409" s="4" t="s">
        <v>30</v>
      </c>
      <c r="E409" s="4">
        <v>1</v>
      </c>
      <c r="F409" s="95" t="s">
        <v>363</v>
      </c>
      <c r="G409" s="4" t="str">
        <f t="shared" ref="G409:G414" si="38">SUBSTITUTE(A409,".","_")</f>
        <v>FF3_1</v>
      </c>
      <c r="H409" s="27"/>
    </row>
    <row r="410" spans="1:8" s="3" customFormat="1" ht="25.5">
      <c r="A410" s="4" t="s">
        <v>364</v>
      </c>
      <c r="B410" s="82" t="str">
        <f>A410&amp;". Is this a reason why you do not have a bank account? " &amp;Other!J3</f>
        <v>FF3.2. Is this a reason why you do not have a bank account? Fees and expenses for using banks are too high</v>
      </c>
      <c r="C410" s="82" t="s">
        <v>137</v>
      </c>
      <c r="D410" s="4" t="s">
        <v>30</v>
      </c>
      <c r="E410" s="4">
        <v>1</v>
      </c>
      <c r="F410" s="95" t="s">
        <v>363</v>
      </c>
      <c r="G410" s="4" t="str">
        <f t="shared" si="38"/>
        <v>FF3_2</v>
      </c>
      <c r="H410" s="27"/>
    </row>
    <row r="411" spans="1:8" s="3" customFormat="1" ht="25.5">
      <c r="A411" s="4" t="s">
        <v>365</v>
      </c>
      <c r="B411" s="82" t="str">
        <f>A411&amp;". Is this a reason why you do not have a bank account? " &amp;Other!J4</f>
        <v>FF3.3. Is this a reason why you do not have a bank account? You don't need a bank account</v>
      </c>
      <c r="C411" s="82" t="s">
        <v>137</v>
      </c>
      <c r="D411" s="4" t="s">
        <v>30</v>
      </c>
      <c r="E411" s="4">
        <v>1</v>
      </c>
      <c r="F411" s="95" t="s">
        <v>363</v>
      </c>
      <c r="G411" s="4" t="str">
        <f t="shared" si="38"/>
        <v>FF3_3</v>
      </c>
      <c r="H411" s="27"/>
    </row>
    <row r="412" spans="1:8" s="3" customFormat="1" ht="25.5">
      <c r="A412" s="4" t="s">
        <v>366</v>
      </c>
      <c r="B412" s="82" t="str">
        <f>A412&amp;". Is this a reason why you do not have a bank account? " &amp;Other!J5</f>
        <v>FF3.4. Is this a reason why you do not have a bank account? You don't trust banks</v>
      </c>
      <c r="C412" s="82" t="s">
        <v>137</v>
      </c>
      <c r="D412" s="4" t="s">
        <v>367</v>
      </c>
      <c r="E412" s="4">
        <v>1</v>
      </c>
      <c r="F412" s="95" t="s">
        <v>363</v>
      </c>
      <c r="G412" s="4" t="str">
        <f t="shared" si="38"/>
        <v>FF3_4</v>
      </c>
      <c r="H412" s="27"/>
    </row>
    <row r="413" spans="1:8" s="3" customFormat="1" ht="25.5">
      <c r="A413" s="4" t="s">
        <v>368</v>
      </c>
      <c r="B413" s="82" t="str">
        <f>A413&amp;". Is this a reason why you do not have a bank account? " &amp;Other!J6</f>
        <v>FF3.5. Is this a reason why you do not have a bank account? The closest bank is too far away</v>
      </c>
      <c r="C413" s="82" t="s">
        <v>137</v>
      </c>
      <c r="D413" s="4" t="s">
        <v>30</v>
      </c>
      <c r="E413" s="4">
        <v>1</v>
      </c>
      <c r="F413" s="95" t="s">
        <v>363</v>
      </c>
      <c r="G413" s="4" t="str">
        <f t="shared" si="38"/>
        <v>FF3_5</v>
      </c>
      <c r="H413" s="27"/>
    </row>
    <row r="414" spans="1:8" s="9" customFormat="1" ht="42" customHeight="1">
      <c r="A414" s="4" t="s">
        <v>369</v>
      </c>
      <c r="B414" s="82" t="str">
        <f>A414&amp;". Is this a reason why you do not have a bank account? " &amp;Other!J7</f>
        <v>FF3.6. Is this a reason why you do not have a bank account? You don't have enough money to use the account</v>
      </c>
      <c r="C414" s="82" t="s">
        <v>137</v>
      </c>
      <c r="D414" s="4" t="s">
        <v>30</v>
      </c>
      <c r="E414" s="4">
        <v>1</v>
      </c>
      <c r="F414" s="95" t="s">
        <v>363</v>
      </c>
      <c r="G414" s="4" t="str">
        <f t="shared" si="38"/>
        <v>FF3_6</v>
      </c>
    </row>
    <row r="415" spans="1:8" s="9" customFormat="1" ht="42" customHeight="1">
      <c r="A415" s="166" t="s">
        <v>1629</v>
      </c>
      <c r="B415" s="166"/>
      <c r="C415" s="166"/>
      <c r="D415" s="166"/>
      <c r="E415" s="166"/>
      <c r="F415" s="87" t="s">
        <v>15</v>
      </c>
      <c r="G415" s="87"/>
    </row>
    <row r="416" spans="1:8" s="9" customFormat="1" ht="14.25">
      <c r="A416" s="6" t="s">
        <v>4</v>
      </c>
      <c r="B416" s="7" t="s">
        <v>5</v>
      </c>
      <c r="C416" s="7" t="s">
        <v>6</v>
      </c>
      <c r="D416" s="6" t="s">
        <v>7</v>
      </c>
      <c r="E416" s="7" t="s">
        <v>8</v>
      </c>
      <c r="F416" s="7" t="s">
        <v>9</v>
      </c>
      <c r="G416" s="6" t="s">
        <v>10</v>
      </c>
    </row>
    <row r="417" spans="1:7" s="9" customFormat="1" ht="25.5">
      <c r="A417" s="103" t="s">
        <v>370</v>
      </c>
      <c r="B417" s="96" t="str">
        <f>A417&amp;". Have you ever "&amp;Activity!A5&amp;"?"</f>
        <v>AD1. Have you ever sent money to, or received money from someone?</v>
      </c>
      <c r="C417" s="96" t="s">
        <v>137</v>
      </c>
      <c r="D417" s="103" t="s">
        <v>30</v>
      </c>
      <c r="E417" s="103">
        <v>1</v>
      </c>
      <c r="F417" s="104" t="s">
        <v>15</v>
      </c>
      <c r="G417" s="76" t="str">
        <f t="shared" ref="G417:G424" si="39">SUBSTITUTE(A417,".","_")</f>
        <v>AD1</v>
      </c>
    </row>
    <row r="418" spans="1:7" s="9" customFormat="1" ht="25.5">
      <c r="A418" s="103" t="s">
        <v>372</v>
      </c>
      <c r="B418" s="96" t="str">
        <f>A418&amp;". Have you ever sent money to, or received money from someone using "&amp;Institution!B2&amp;"?"</f>
        <v>AD1.1. Have you ever sent money to, or received money from someone using a bank?</v>
      </c>
      <c r="C418" s="96" t="s">
        <v>137</v>
      </c>
      <c r="D418" s="103" t="s">
        <v>30</v>
      </c>
      <c r="E418" s="103">
        <v>1</v>
      </c>
      <c r="F418" s="104" t="s">
        <v>373</v>
      </c>
      <c r="G418" s="76" t="str">
        <f t="shared" si="39"/>
        <v>AD1_1</v>
      </c>
    </row>
    <row r="419" spans="1:7" s="9" customFormat="1" ht="25.5">
      <c r="A419" s="103" t="s">
        <v>374</v>
      </c>
      <c r="B419" s="96" t="str">
        <f>A419&amp;". Have you ever sent money to, or received money from someone using "&amp;Institution!B3&amp;"?"</f>
        <v>AD1.2. Have you ever sent money to, or received money from someone using a post office bank?</v>
      </c>
      <c r="C419" s="96" t="s">
        <v>137</v>
      </c>
      <c r="D419" s="103" t="s">
        <v>30</v>
      </c>
      <c r="E419" s="103">
        <v>1</v>
      </c>
      <c r="F419" s="104" t="s">
        <v>375</v>
      </c>
      <c r="G419" s="76" t="str">
        <f t="shared" si="39"/>
        <v>AD1_2</v>
      </c>
    </row>
    <row r="420" spans="1:7" s="9" customFormat="1" ht="25.5">
      <c r="A420" s="103" t="s">
        <v>376</v>
      </c>
      <c r="B420" s="96" t="str">
        <f>A420&amp;". Have you ever sent money to, or received money from someone using "&amp;Institution!B4&amp;"?"</f>
        <v>AD1.3. Have you ever sent money to, or received money from someone using a payments bank?</v>
      </c>
      <c r="C420" s="96" t="s">
        <v>137</v>
      </c>
      <c r="D420" s="103" t="s">
        <v>30</v>
      </c>
      <c r="E420" s="103">
        <v>1</v>
      </c>
      <c r="F420" s="104" t="s">
        <v>377</v>
      </c>
      <c r="G420" s="76" t="str">
        <f t="shared" si="39"/>
        <v>AD1_3</v>
      </c>
    </row>
    <row r="421" spans="1:7" s="9" customFormat="1" ht="25.5">
      <c r="A421" s="103" t="s">
        <v>378</v>
      </c>
      <c r="B421" s="96" t="str">
        <f>A421&amp;". Have you ever sent money to, or received money from someone using "&amp;Institution!B5&amp;"?"</f>
        <v>AD1.4. Have you ever sent money to, or received money from someone using a mobile money service?</v>
      </c>
      <c r="C421" s="96" t="s">
        <v>137</v>
      </c>
      <c r="D421" s="103" t="s">
        <v>30</v>
      </c>
      <c r="E421" s="103">
        <v>1</v>
      </c>
      <c r="F421" s="104" t="s">
        <v>379</v>
      </c>
      <c r="G421" s="76" t="str">
        <f t="shared" si="39"/>
        <v>AD1_4</v>
      </c>
    </row>
    <row r="422" spans="1:7" s="9" customFormat="1" ht="25.5">
      <c r="A422" s="103" t="s">
        <v>380</v>
      </c>
      <c r="B422" s="96" t="str">
        <f>A422&amp;". Have you ever sent money to, or received money from someone using "&amp;Institution!B6&amp;"?"</f>
        <v>AD1.5. Have you ever sent money to, or received money from someone using a smartphone app?</v>
      </c>
      <c r="C422" s="96" t="s">
        <v>137</v>
      </c>
      <c r="D422" s="103" t="s">
        <v>30</v>
      </c>
      <c r="E422" s="103">
        <v>1</v>
      </c>
      <c r="F422" s="104" t="s">
        <v>381</v>
      </c>
      <c r="G422" s="76" t="str">
        <f t="shared" si="39"/>
        <v>AD1_5</v>
      </c>
    </row>
    <row r="423" spans="1:7" s="9" customFormat="1" ht="25.5">
      <c r="A423" s="103" t="s">
        <v>382</v>
      </c>
      <c r="B423" s="96" t="str">
        <f>A423&amp;". Have you ever sent money to, or received money from someone using "&amp;Institution!B7&amp;"?"</f>
        <v>AD1.6. Have you ever sent money to, or received money from someone using the *99# menu on a mobile phone?</v>
      </c>
      <c r="C423" s="96" t="s">
        <v>137</v>
      </c>
      <c r="D423" s="103" t="s">
        <v>30</v>
      </c>
      <c r="E423" s="103">
        <v>1</v>
      </c>
      <c r="F423" s="104" t="s">
        <v>383</v>
      </c>
      <c r="G423" s="76" t="str">
        <f t="shared" si="39"/>
        <v>AD1_6</v>
      </c>
    </row>
    <row r="424" spans="1:7" s="9" customFormat="1" ht="38.25">
      <c r="A424" s="103" t="s">
        <v>384</v>
      </c>
      <c r="B424" s="96" t="str">
        <f>A424&amp;". Have you ever sent money to, or received money from someone using "&amp;Institution!B8&amp;"?"</f>
        <v>AD1.7. Have you ever sent money to, or received money from someone using your Aadhaar number and also your fingerprint, iris scan, or a onetime password from your mobile phone?</v>
      </c>
      <c r="C424" s="96" t="s">
        <v>137</v>
      </c>
      <c r="D424" s="103" t="s">
        <v>30</v>
      </c>
      <c r="E424" s="103">
        <v>1</v>
      </c>
      <c r="F424" s="104" t="s">
        <v>385</v>
      </c>
      <c r="G424" s="76" t="str">
        <f t="shared" si="39"/>
        <v>AD1_7</v>
      </c>
    </row>
    <row r="425" spans="1:7" s="9" customFormat="1" ht="25.5">
      <c r="A425" s="103" t="s">
        <v>386</v>
      </c>
      <c r="B425" s="96" t="str">
        <f>A425&amp;". Have you ever sent money to, or received money from someone in cash using public or private transportation?"</f>
        <v>AD1.8. Have you ever sent money to, or received money from someone in cash using public or private transportation?</v>
      </c>
      <c r="C425" s="96" t="s">
        <v>137</v>
      </c>
      <c r="D425" s="103" t="s">
        <v>30</v>
      </c>
      <c r="E425" s="103">
        <v>1</v>
      </c>
      <c r="F425" s="104" t="s">
        <v>387</v>
      </c>
      <c r="G425" s="76" t="str">
        <f t="shared" ref="G425:G426" si="40">SUBSTITUTE(A425,".","_")</f>
        <v>AD1_8</v>
      </c>
    </row>
    <row r="426" spans="1:7" s="9" customFormat="1" ht="25.5">
      <c r="A426" s="103" t="s">
        <v>388</v>
      </c>
      <c r="B426" s="96" t="str">
        <f>A426&amp;". Have you ever sent money to, or received money from someone using a money transfer agent?"</f>
        <v>AD1.9. Have you ever sent money to, or received money from someone using a money transfer agent?</v>
      </c>
      <c r="C426" s="96" t="s">
        <v>137</v>
      </c>
      <c r="D426" s="103" t="s">
        <v>30</v>
      </c>
      <c r="E426" s="103">
        <v>1</v>
      </c>
      <c r="F426" s="104" t="s">
        <v>387</v>
      </c>
      <c r="G426" s="76" t="str">
        <f t="shared" si="40"/>
        <v>AD1_9</v>
      </c>
    </row>
    <row r="427" spans="1:7" s="9" customFormat="1" ht="76.5">
      <c r="A427" s="103" t="s">
        <v>389</v>
      </c>
      <c r="B427" s="96" t="str">
        <f>A427&amp;". When was the last time you sent money to, or received money from someone using "&amp;Institution!B2&amp;"?"</f>
        <v>AD1.10. When was the last time you sent money to, or received money from someone using a bank?</v>
      </c>
      <c r="C427" s="82" t="s">
        <v>295</v>
      </c>
      <c r="D427" s="103" t="s">
        <v>30</v>
      </c>
      <c r="E427" s="103">
        <v>1</v>
      </c>
      <c r="F427" s="104" t="s">
        <v>390</v>
      </c>
      <c r="G427" s="76" t="str">
        <f t="shared" ref="G427:G433" si="41">SUBSTITUTE(A427,".","_")</f>
        <v>AD1_10</v>
      </c>
    </row>
    <row r="428" spans="1:7" s="9" customFormat="1" ht="76.5">
      <c r="A428" s="103" t="s">
        <v>391</v>
      </c>
      <c r="B428" s="96" t="str">
        <f>A428&amp;". When was the last time you sent money to, or received money from someone using "&amp;Institution!B3&amp;"?"</f>
        <v>AD1.11. When was the last time you sent money to, or received money from someone using a post office bank?</v>
      </c>
      <c r="C428" s="82" t="s">
        <v>295</v>
      </c>
      <c r="D428" s="103" t="s">
        <v>30</v>
      </c>
      <c r="E428" s="103">
        <v>1</v>
      </c>
      <c r="F428" s="104" t="s">
        <v>392</v>
      </c>
      <c r="G428" s="76" t="str">
        <f t="shared" si="41"/>
        <v>AD1_11</v>
      </c>
    </row>
    <row r="429" spans="1:7" s="9" customFormat="1" ht="76.5">
      <c r="A429" s="103" t="s">
        <v>393</v>
      </c>
      <c r="B429" s="96" t="str">
        <f>A429&amp;". When was the last time you sent money to, or received money from someone using "&amp;Institution!B4&amp;"?"</f>
        <v>AD1.12. When was the last time you sent money to, or received money from someone using a payments bank?</v>
      </c>
      <c r="C429" s="82" t="s">
        <v>295</v>
      </c>
      <c r="D429" s="103" t="s">
        <v>30</v>
      </c>
      <c r="E429" s="103">
        <v>1</v>
      </c>
      <c r="F429" s="104" t="s">
        <v>394</v>
      </c>
      <c r="G429" s="76" t="str">
        <f t="shared" si="41"/>
        <v>AD1_12</v>
      </c>
    </row>
    <row r="430" spans="1:7" s="9" customFormat="1" ht="76.5">
      <c r="A430" s="103" t="s">
        <v>395</v>
      </c>
      <c r="B430" s="96" t="str">
        <f>A430&amp;". When was the last time you sent money to, or received money from someone using "&amp;Institution!B5&amp;"?"</f>
        <v>AD1.13. When was the last time you sent money to, or received money from someone using a mobile money service?</v>
      </c>
      <c r="C430" s="82" t="s">
        <v>295</v>
      </c>
      <c r="D430" s="103" t="s">
        <v>30</v>
      </c>
      <c r="E430" s="103">
        <v>1</v>
      </c>
      <c r="F430" s="104" t="s">
        <v>396</v>
      </c>
      <c r="G430" s="76" t="str">
        <f t="shared" si="41"/>
        <v>AD1_13</v>
      </c>
    </row>
    <row r="431" spans="1:7" s="9" customFormat="1" ht="76.5">
      <c r="A431" s="103" t="s">
        <v>397</v>
      </c>
      <c r="B431" s="96" t="str">
        <f>A431&amp;". When was the last time you sent money to, or received money from someone using "&amp;Institution!B6&amp;"?"</f>
        <v>AD1.14. When was the last time you sent money to, or received money from someone using a smartphone app?</v>
      </c>
      <c r="C431" s="82" t="s">
        <v>295</v>
      </c>
      <c r="D431" s="103" t="s">
        <v>30</v>
      </c>
      <c r="E431" s="103">
        <v>1</v>
      </c>
      <c r="F431" s="104" t="s">
        <v>398</v>
      </c>
      <c r="G431" s="76" t="str">
        <f t="shared" si="41"/>
        <v>AD1_14</v>
      </c>
    </row>
    <row r="432" spans="1:7" s="9" customFormat="1" ht="76.5">
      <c r="A432" s="103" t="s">
        <v>399</v>
      </c>
      <c r="B432" s="96" t="str">
        <f>A432&amp;". When was the last time you sent money to, or received money from someone using "&amp;Institution!B7&amp;"?"</f>
        <v>AD1.15. When was the last time you sent money to, or received money from someone using the *99# menu on a mobile phone?</v>
      </c>
      <c r="C432" s="82" t="s">
        <v>295</v>
      </c>
      <c r="D432" s="103" t="s">
        <v>30</v>
      </c>
      <c r="E432" s="103">
        <v>1</v>
      </c>
      <c r="F432" s="104" t="s">
        <v>400</v>
      </c>
      <c r="G432" s="76" t="str">
        <f t="shared" si="41"/>
        <v>AD1_15</v>
      </c>
    </row>
    <row r="433" spans="1:8" s="9" customFormat="1" ht="76.5">
      <c r="A433" s="103" t="s">
        <v>401</v>
      </c>
      <c r="B433" s="96" t="str">
        <f>A433&amp;". When was the last time you sent money to, or received money from someone using "&amp;Institution!B8&amp;"?"</f>
        <v>AD1.16. When was the last time you sent money to, or received money from someone using your Aadhaar number and also your fingerprint, iris scan, or a onetime password from your mobile phone?</v>
      </c>
      <c r="C433" s="82" t="s">
        <v>295</v>
      </c>
      <c r="D433" s="103" t="s">
        <v>30</v>
      </c>
      <c r="E433" s="103">
        <v>1</v>
      </c>
      <c r="F433" s="104" t="s">
        <v>402</v>
      </c>
      <c r="G433" s="76" t="str">
        <f t="shared" si="41"/>
        <v>AD1_16</v>
      </c>
    </row>
    <row r="434" spans="1:8" s="9" customFormat="1" ht="76.5">
      <c r="A434" s="103" t="s">
        <v>403</v>
      </c>
      <c r="B434" s="96" t="str">
        <f>A434&amp;". When was the last time you sent money to, or received money from someone in cash using public or private transportation?"</f>
        <v>AD1.17. When was the last time you sent money to, or received money from someone in cash using public or private transportation?</v>
      </c>
      <c r="C434" s="82" t="s">
        <v>295</v>
      </c>
      <c r="D434" s="103" t="s">
        <v>30</v>
      </c>
      <c r="E434" s="103">
        <v>1</v>
      </c>
      <c r="F434" s="104" t="s">
        <v>404</v>
      </c>
      <c r="G434" s="76" t="str">
        <f t="shared" ref="G434:G435" si="42">SUBSTITUTE(A434,".","_")</f>
        <v>AD1_17</v>
      </c>
    </row>
    <row r="435" spans="1:8" s="9" customFormat="1" ht="27.75" customHeight="1">
      <c r="A435" s="103" t="s">
        <v>405</v>
      </c>
      <c r="B435" s="96" t="str">
        <f>A435&amp;". When was the last time you sent money to, or received money from someone using a money transfer agent?"</f>
        <v>AD1.18. When was the last time you sent money to, or received money from someone using a money transfer agent?</v>
      </c>
      <c r="C435" s="82" t="s">
        <v>295</v>
      </c>
      <c r="D435" s="103" t="s">
        <v>30</v>
      </c>
      <c r="E435" s="103">
        <v>1</v>
      </c>
      <c r="F435" s="104" t="s">
        <v>406</v>
      </c>
      <c r="G435" s="76" t="str">
        <f t="shared" si="42"/>
        <v>AD1_18</v>
      </c>
    </row>
    <row r="436" spans="1:8" s="9" customFormat="1" ht="30" customHeight="1">
      <c r="A436" s="162" t="s">
        <v>1569</v>
      </c>
      <c r="B436" s="162"/>
      <c r="C436" s="162"/>
      <c r="D436" s="162"/>
      <c r="E436" s="162"/>
      <c r="F436" s="87" t="s">
        <v>15</v>
      </c>
      <c r="G436" s="87"/>
    </row>
    <row r="437" spans="1:8" s="9" customFormat="1" ht="14.25">
      <c r="A437" s="6" t="s">
        <v>4</v>
      </c>
      <c r="B437" s="7" t="s">
        <v>5</v>
      </c>
      <c r="C437" s="7" t="s">
        <v>6</v>
      </c>
      <c r="D437" s="6" t="s">
        <v>7</v>
      </c>
      <c r="E437" s="7" t="s">
        <v>8</v>
      </c>
      <c r="F437" s="7" t="s">
        <v>9</v>
      </c>
      <c r="G437" s="6" t="s">
        <v>10</v>
      </c>
    </row>
    <row r="438" spans="1:8" s="9" customFormat="1" ht="25.5">
      <c r="A438" s="103" t="s">
        <v>407</v>
      </c>
      <c r="B438" s="96" t="str">
        <f>A438&amp;". Have you ever paid for goods or services at a store, shop, restaurant or other place of business using " &amp;Institution!B2&amp;"?"</f>
        <v>AD2.1. Have you ever paid for goods or services at a store, shop, restaurant or other place of business using a bank?</v>
      </c>
      <c r="C438" s="96" t="s">
        <v>137</v>
      </c>
      <c r="D438" s="103" t="s">
        <v>30</v>
      </c>
      <c r="E438" s="103">
        <v>1</v>
      </c>
      <c r="F438" s="104" t="s">
        <v>352</v>
      </c>
      <c r="G438" s="76" t="str">
        <f t="shared" ref="G438:G445" si="43">SUBSTITUTE(A438,".","_")</f>
        <v>AD2_1</v>
      </c>
    </row>
    <row r="439" spans="1:8" s="9" customFormat="1" ht="25.5">
      <c r="A439" s="103" t="s">
        <v>408</v>
      </c>
      <c r="B439" s="96" t="str">
        <f>A439&amp;". Have you ever paid for goods or services at a store, shop, restaurant or other place of business using " &amp;Institution!B3&amp;"?"</f>
        <v>AD2.2. Have you ever paid for goods or services at a store, shop, restaurant or other place of business using a post office bank?</v>
      </c>
      <c r="C439" s="96" t="s">
        <v>137</v>
      </c>
      <c r="D439" s="103" t="s">
        <v>30</v>
      </c>
      <c r="E439" s="103">
        <v>1</v>
      </c>
      <c r="F439" s="104" t="s">
        <v>409</v>
      </c>
      <c r="G439" s="76" t="str">
        <f t="shared" si="43"/>
        <v>AD2_2</v>
      </c>
    </row>
    <row r="440" spans="1:8" s="9" customFormat="1" ht="25.5">
      <c r="A440" s="103" t="s">
        <v>410</v>
      </c>
      <c r="B440" s="96" t="str">
        <f>A440&amp;". Have you ever paid for goods or services at a store, shop, restaurant or other place of business using " &amp;Institution!B4&amp;"?"</f>
        <v>AD2.3. Have you ever paid for goods or services at a store, shop, restaurant or other place of business using a payments bank?</v>
      </c>
      <c r="C440" s="96" t="s">
        <v>137</v>
      </c>
      <c r="D440" s="103" t="s">
        <v>30</v>
      </c>
      <c r="E440" s="103">
        <v>1</v>
      </c>
      <c r="F440" s="104" t="s">
        <v>411</v>
      </c>
      <c r="G440" s="76" t="str">
        <f t="shared" si="43"/>
        <v>AD2_3</v>
      </c>
    </row>
    <row r="441" spans="1:8" s="9" customFormat="1" ht="25.5">
      <c r="A441" s="103" t="s">
        <v>412</v>
      </c>
      <c r="B441" s="96" t="str">
        <f>A441&amp;". Have you ever paid for goods or services at a store, shop, restaurant or other place of business using " &amp;Institution!B5&amp;"?"</f>
        <v>AD2.4. Have you ever paid for goods or services at a store, shop, restaurant or other place of business using a mobile money service?</v>
      </c>
      <c r="C441" s="96" t="s">
        <v>137</v>
      </c>
      <c r="D441" s="103" t="s">
        <v>30</v>
      </c>
      <c r="E441" s="103">
        <v>1</v>
      </c>
      <c r="F441" s="104" t="s">
        <v>413</v>
      </c>
      <c r="G441" s="76" t="str">
        <f t="shared" si="43"/>
        <v>AD2_4</v>
      </c>
    </row>
    <row r="442" spans="1:8" s="9" customFormat="1" ht="25.5">
      <c r="A442" s="103" t="s">
        <v>414</v>
      </c>
      <c r="B442" s="96" t="str">
        <f>A442&amp;". Have you ever paid for goods or services at a store, shop, restaurant or other place of business using " &amp;Institution!B6&amp;"?"</f>
        <v>AD2.5. Have you ever paid for goods or services at a store, shop, restaurant or other place of business using a smartphone app?</v>
      </c>
      <c r="C442" s="96" t="s">
        <v>137</v>
      </c>
      <c r="D442" s="103" t="s">
        <v>30</v>
      </c>
      <c r="E442" s="103">
        <v>1</v>
      </c>
      <c r="F442" s="104" t="s">
        <v>299</v>
      </c>
      <c r="G442" s="76" t="str">
        <f t="shared" si="43"/>
        <v>AD2_5</v>
      </c>
    </row>
    <row r="443" spans="1:8" s="9" customFormat="1" ht="25.5">
      <c r="A443" s="103" t="s">
        <v>415</v>
      </c>
      <c r="B443" s="96" t="str">
        <f>A443&amp;". Have you ever paid for goods or services at a store, shop, restaurant or other place of business using " &amp;Institution!B7&amp;"?"</f>
        <v>AD2.6. Have you ever paid for goods or services at a store, shop, restaurant or other place of business using the *99# menu on a mobile phone?</v>
      </c>
      <c r="C443" s="96" t="s">
        <v>137</v>
      </c>
      <c r="D443" s="103" t="s">
        <v>30</v>
      </c>
      <c r="E443" s="103">
        <v>1</v>
      </c>
      <c r="F443" s="104" t="s">
        <v>301</v>
      </c>
      <c r="G443" s="76" t="str">
        <f t="shared" si="43"/>
        <v>AD2_6</v>
      </c>
    </row>
    <row r="444" spans="1:8" s="80" customFormat="1" ht="38.25">
      <c r="A444" s="103" t="s">
        <v>416</v>
      </c>
      <c r="B444" s="96" t="str">
        <f>A444&amp;". Have you ever paid for goods or services at a store, shop, restaurant or other place of business using " &amp;Institution!B8&amp;"?"</f>
        <v>AD2.7. Have you ever paid for goods or services at a store, shop, restaurant or other place of business using your Aadhaar number and also your fingerprint, iris scan, or a onetime password from your mobile phone?</v>
      </c>
      <c r="C444" s="96" t="s">
        <v>137</v>
      </c>
      <c r="D444" s="103" t="s">
        <v>30</v>
      </c>
      <c r="E444" s="103">
        <v>1</v>
      </c>
      <c r="F444" s="104" t="s">
        <v>303</v>
      </c>
      <c r="G444" s="76" t="str">
        <f t="shared" si="43"/>
        <v>AD2_7</v>
      </c>
    </row>
    <row r="445" spans="1:8" s="9" customFormat="1" ht="25.5">
      <c r="A445" s="70" t="s">
        <v>417</v>
      </c>
      <c r="B445" s="71" t="str">
        <f>A445&amp;". Have you ever paid for goods or services at a store, shop, restaurant or other place of business using " &amp;Institution!B9&amp;"?"</f>
        <v>AD2.8. Have you ever paid for goods or services at a store, shop, restaurant or other place of business using a Rupay, debit or credit card?</v>
      </c>
      <c r="C445" s="71" t="s">
        <v>137</v>
      </c>
      <c r="D445" s="70" t="s">
        <v>30</v>
      </c>
      <c r="E445" s="70">
        <v>1</v>
      </c>
      <c r="F445" s="104" t="s">
        <v>305</v>
      </c>
      <c r="G445" s="73" t="str">
        <f t="shared" si="43"/>
        <v>AD2_8</v>
      </c>
    </row>
    <row r="446" spans="1:8" s="9" customFormat="1" ht="76.5">
      <c r="A446" s="103" t="s">
        <v>418</v>
      </c>
      <c r="B446" s="96" t="str">
        <f>A446&amp;". When was the last time you paid for goods or services at a store, shop, restaurant or other place of business using "&amp;Institution!B2&amp;"?"</f>
        <v>AD2.9. When was the last time you paid for goods or services at a store, shop, restaurant or other place of business using a bank?</v>
      </c>
      <c r="C446" s="82" t="s">
        <v>295</v>
      </c>
      <c r="D446" s="103" t="s">
        <v>30</v>
      </c>
      <c r="E446" s="103">
        <v>1</v>
      </c>
      <c r="F446" s="104" t="s">
        <v>419</v>
      </c>
      <c r="G446" s="76" t="str">
        <f>SUBSTITUTE(A446,".","_")</f>
        <v>AD2_9</v>
      </c>
    </row>
    <row r="447" spans="1:8" s="9" customFormat="1" ht="76.5">
      <c r="A447" s="103" t="s">
        <v>420</v>
      </c>
      <c r="B447" s="96" t="str">
        <f>A447&amp;". When was the last time you paid for goods or services at a store, shop, restaurant or other place of business using "&amp;Institution!B3&amp;"?"</f>
        <v>AD2.10. When was the last time you paid for goods or services at a store, shop, restaurant or other place of business using a post office bank?</v>
      </c>
      <c r="C447" s="82" t="s">
        <v>295</v>
      </c>
      <c r="D447" s="103" t="s">
        <v>30</v>
      </c>
      <c r="E447" s="103">
        <v>1</v>
      </c>
      <c r="F447" s="104" t="s">
        <v>421</v>
      </c>
      <c r="G447" s="76" t="str">
        <f>SUBSTITUTE(A447,".","_")</f>
        <v>AD2_10</v>
      </c>
    </row>
    <row r="448" spans="1:8" customFormat="1" ht="76.5">
      <c r="A448" s="103" t="s">
        <v>422</v>
      </c>
      <c r="B448" s="96" t="str">
        <f>A448&amp;". When was the last time you paid for goods or services at a store, shop, restaurant or other place of business using "&amp;Institution!B4&amp;"?"</f>
        <v>AD2.11. When was the last time you paid for goods or services at a store, shop, restaurant or other place of business using a payments bank?</v>
      </c>
      <c r="C448" s="82" t="s">
        <v>295</v>
      </c>
      <c r="D448" s="103" t="s">
        <v>30</v>
      </c>
      <c r="E448" s="103">
        <v>1</v>
      </c>
      <c r="F448" s="104" t="s">
        <v>423</v>
      </c>
      <c r="G448" s="76" t="str">
        <f>SUBSTITUTE(A448,".","_")</f>
        <v>AD2_11</v>
      </c>
      <c r="H448" s="12"/>
    </row>
    <row r="449" spans="1:8" customFormat="1" ht="76.5">
      <c r="A449" s="103" t="s">
        <v>424</v>
      </c>
      <c r="B449" s="96" t="str">
        <f>A449&amp;". When was the last time you paid for goods or services at a store, shop, restaurant or other place of business using "&amp;Institution!B5&amp;"?"</f>
        <v>AD2.12. When was the last time you paid for goods or services at a store, shop, restaurant or other place of business using a mobile money service?</v>
      </c>
      <c r="C449" s="82" t="s">
        <v>295</v>
      </c>
      <c r="D449" s="103" t="s">
        <v>30</v>
      </c>
      <c r="E449" s="103">
        <v>1</v>
      </c>
      <c r="F449" s="104" t="s">
        <v>425</v>
      </c>
      <c r="G449" s="76" t="str">
        <f>SUBSTITUTE(A449,".","_")</f>
        <v>AD2_12</v>
      </c>
      <c r="H449" s="12"/>
    </row>
    <row r="450" spans="1:8" customFormat="1" ht="76.5">
      <c r="A450" s="103" t="s">
        <v>426</v>
      </c>
      <c r="B450" s="96" t="str">
        <f>A450&amp;". When was the last time you paid for goods or services at a store, shop, restaurant or other place of business using "&amp;Institution!B6&amp;"?"</f>
        <v>AD2.13. When was the last time you paid for goods or services at a store, shop, restaurant or other place of business using a smartphone app?</v>
      </c>
      <c r="C450" s="82" t="s">
        <v>295</v>
      </c>
      <c r="D450" s="103" t="s">
        <v>30</v>
      </c>
      <c r="E450" s="103">
        <v>1</v>
      </c>
      <c r="F450" s="104" t="s">
        <v>427</v>
      </c>
      <c r="G450" s="76" t="str">
        <f>SUBSTITUTE(A450,".","_")</f>
        <v>AD2_13</v>
      </c>
      <c r="H450" s="12"/>
    </row>
    <row r="451" spans="1:8" customFormat="1" ht="76.5">
      <c r="A451" s="103" t="s">
        <v>428</v>
      </c>
      <c r="B451" s="96" t="str">
        <f>A451&amp;". When was the last time you paid for goods or services at a store, shop, restaurant or other place of business using "&amp;Institution!B7&amp;"?"</f>
        <v>AD2.14. When was the last time you paid for goods or services at a store, shop, restaurant or other place of business using the *99# menu on a mobile phone?</v>
      </c>
      <c r="C451" s="82" t="s">
        <v>295</v>
      </c>
      <c r="D451" s="103" t="s">
        <v>30</v>
      </c>
      <c r="E451" s="103">
        <v>1</v>
      </c>
      <c r="F451" s="104" t="s">
        <v>429</v>
      </c>
      <c r="G451" s="76" t="str">
        <f t="shared" ref="G451:G452" si="44">SUBSTITUTE(A451,".","_")</f>
        <v>AD2_14</v>
      </c>
      <c r="H451" s="12"/>
    </row>
    <row r="452" spans="1:8" customFormat="1" ht="76.5">
      <c r="A452" s="103" t="s">
        <v>430</v>
      </c>
      <c r="B452" s="96" t="str">
        <f>A452&amp;". When was the last time you paid for goods or services at a store, shop, restaurant or other place of business using "&amp;Institution!B8&amp;"?"</f>
        <v>AD2.15. When was the last time you paid for goods or services at a store, shop, restaurant or other place of business using your Aadhaar number and also your fingerprint, iris scan, or a onetime password from your mobile phone?</v>
      </c>
      <c r="C452" s="82" t="s">
        <v>295</v>
      </c>
      <c r="D452" s="103" t="s">
        <v>30</v>
      </c>
      <c r="E452" s="103">
        <v>1</v>
      </c>
      <c r="F452" s="104" t="s">
        <v>431</v>
      </c>
      <c r="G452" s="76" t="str">
        <f t="shared" si="44"/>
        <v>AD2_15</v>
      </c>
      <c r="H452" s="12"/>
    </row>
    <row r="453" spans="1:8" customFormat="1" ht="76.5">
      <c r="A453" s="103" t="s">
        <v>432</v>
      </c>
      <c r="B453" s="96" t="str">
        <f>A453&amp;". When was the last time you paid for goods or services at a store, shop, restaurant or other place of business using "&amp;Institution!B9&amp;"?"</f>
        <v>AD2.16. When was the last time you paid for goods or services at a store, shop, restaurant or other place of business using a Rupay, debit or credit card?</v>
      </c>
      <c r="C453" s="82" t="s">
        <v>295</v>
      </c>
      <c r="D453" s="103" t="s">
        <v>30</v>
      </c>
      <c r="E453" s="103">
        <v>1</v>
      </c>
      <c r="F453" s="95" t="s">
        <v>433</v>
      </c>
      <c r="G453" s="76" t="str">
        <f t="shared" ref="G453:G455" si="45">SUBSTITUTE(A453,".","_")</f>
        <v>AD2_16</v>
      </c>
      <c r="H453" s="12"/>
    </row>
    <row r="454" spans="1:8" customFormat="1" ht="89.25">
      <c r="A454" s="103" t="s">
        <v>434</v>
      </c>
      <c r="B454" s="96" t="str">
        <f>A454&amp;". When was the last time you paid for goods or services at a store, shop, restaurant or other place of business using cash?"</f>
        <v>AD2.17. When was the last time you paid for goods or services at a store, shop, restaurant or other place of business using cash?</v>
      </c>
      <c r="C454" s="82" t="s">
        <v>196</v>
      </c>
      <c r="D454" s="103" t="s">
        <v>30</v>
      </c>
      <c r="E454" s="103">
        <v>1</v>
      </c>
      <c r="F454" s="104" t="s">
        <v>15</v>
      </c>
      <c r="G454" s="76" t="str">
        <f t="shared" si="45"/>
        <v>AD2_17</v>
      </c>
      <c r="H454" s="12"/>
    </row>
    <row r="455" spans="1:8" customFormat="1" ht="76.5">
      <c r="A455" s="100" t="s">
        <v>435</v>
      </c>
      <c r="B455" s="85" t="str">
        <f>A455&amp;". Thinking about the places where you usually shop, about how many merchants accept the following type of cashless payment? "&amp;Institution!B2&amp;" cheque"</f>
        <v>AD2.18. Thinking about the places where you usually shop, about how many merchants accept the following type of cashless payment? a bank cheque</v>
      </c>
      <c r="C455" s="85" t="s">
        <v>437</v>
      </c>
      <c r="D455" s="4" t="s">
        <v>30</v>
      </c>
      <c r="E455" s="4">
        <v>2</v>
      </c>
      <c r="F455" s="5" t="s">
        <v>15</v>
      </c>
      <c r="G455" s="76" t="str">
        <f t="shared" si="45"/>
        <v>AD2_18</v>
      </c>
      <c r="H455" s="12"/>
    </row>
    <row r="456" spans="1:8" customFormat="1" ht="76.5">
      <c r="A456" s="100" t="s">
        <v>436</v>
      </c>
      <c r="B456" s="85" t="str">
        <f>A456&amp;". Thinking about the places where you usually shop, about how many merchants accept the following type of cashless payment? "&amp;Institution!B3&amp;" cheque"</f>
        <v>AD2.19. Thinking about the places where you usually shop, about how many merchants accept the following type of cashless payment? a post office bank cheque</v>
      </c>
      <c r="C456" s="85" t="s">
        <v>437</v>
      </c>
      <c r="D456" s="4" t="s">
        <v>30</v>
      </c>
      <c r="E456" s="4">
        <v>2</v>
      </c>
      <c r="F456" s="5" t="s">
        <v>15</v>
      </c>
      <c r="G456" s="4" t="str">
        <f t="shared" ref="G456:G462" si="46">SUBSTITUTE(A456,".","_")</f>
        <v>AD2_19</v>
      </c>
      <c r="H456" s="12"/>
    </row>
    <row r="457" spans="1:8" customFormat="1" ht="76.5">
      <c r="A457" s="100" t="s">
        <v>438</v>
      </c>
      <c r="B457" s="85" t="str">
        <f>A457&amp;". Thinking about the places where you usually shop, about how many merchants accept the following type of cashless payment? "&amp;Institution!B4</f>
        <v>AD2.20. Thinking about the places where you usually shop, about how many merchants accept the following type of cashless payment? a payments bank</v>
      </c>
      <c r="C457" s="85" t="s">
        <v>437</v>
      </c>
      <c r="D457" s="4" t="s">
        <v>30</v>
      </c>
      <c r="E457" s="4">
        <v>2</v>
      </c>
      <c r="F457" s="5" t="s">
        <v>15</v>
      </c>
      <c r="G457" s="4" t="str">
        <f t="shared" si="46"/>
        <v>AD2_20</v>
      </c>
      <c r="H457" s="12"/>
    </row>
    <row r="458" spans="1:8" customFormat="1" ht="76.5">
      <c r="A458" s="100" t="s">
        <v>439</v>
      </c>
      <c r="B458" s="85" t="str">
        <f>A458&amp;". Thinking about the places where you usually shop, about how many merchants accept the following type of cashless payment? "&amp;Institution!B5</f>
        <v>AD2.21. Thinking about the places where you usually shop, about how many merchants accept the following type of cashless payment? a mobile money service</v>
      </c>
      <c r="C458" s="85" t="s">
        <v>437</v>
      </c>
      <c r="D458" s="4" t="s">
        <v>30</v>
      </c>
      <c r="E458" s="4">
        <v>2</v>
      </c>
      <c r="F458" s="5" t="s">
        <v>15</v>
      </c>
      <c r="G458" s="4" t="str">
        <f t="shared" si="46"/>
        <v>AD2_21</v>
      </c>
      <c r="H458" s="12"/>
    </row>
    <row r="459" spans="1:8" customFormat="1" ht="76.5">
      <c r="A459" s="100" t="s">
        <v>440</v>
      </c>
      <c r="B459" s="85" t="str">
        <f>A459&amp;". Thinking about the places where you usually shop, about how many merchants accept the following type of cashless payment? "&amp;Institution!B6</f>
        <v>AD2.22. Thinking about the places where you usually shop, about how many merchants accept the following type of cashless payment? a smartphone app</v>
      </c>
      <c r="C459" s="85" t="s">
        <v>437</v>
      </c>
      <c r="D459" s="4" t="s">
        <v>30</v>
      </c>
      <c r="E459" s="4">
        <v>2</v>
      </c>
      <c r="F459" s="5" t="s">
        <v>15</v>
      </c>
      <c r="G459" s="4" t="str">
        <f t="shared" si="46"/>
        <v>AD2_22</v>
      </c>
      <c r="H459" s="12"/>
    </row>
    <row r="460" spans="1:8" customFormat="1" ht="76.5">
      <c r="A460" s="100" t="s">
        <v>441</v>
      </c>
      <c r="B460" s="85" t="str">
        <f>A460&amp;". Thinking about the places where you usually shop, about how many merchants accept the following type of cashless payment? "&amp;Institution!B7</f>
        <v>AD2.23. Thinking about the places where you usually shop, about how many merchants accept the following type of cashless payment? the *99# menu on a mobile phone</v>
      </c>
      <c r="C460" s="85" t="s">
        <v>437</v>
      </c>
      <c r="D460" s="4" t="s">
        <v>30</v>
      </c>
      <c r="E460" s="4">
        <v>2</v>
      </c>
      <c r="F460" s="5" t="s">
        <v>15</v>
      </c>
      <c r="G460" s="4" t="str">
        <f t="shared" si="46"/>
        <v>AD2_23</v>
      </c>
      <c r="H460" s="12"/>
    </row>
    <row r="461" spans="1:8" customFormat="1" ht="76.5">
      <c r="A461" s="100" t="s">
        <v>442</v>
      </c>
      <c r="B461" s="85" t="str">
        <f>A461&amp;". Thinking about the places where you usually shop, about how many merchants accept the following type of cashless payment? "&amp;Institution!B8</f>
        <v>AD2.24. Thinking about the places where you usually shop, about how many merchants accept the following type of cashless payment? your Aadhaar number and also your fingerprint, iris scan, or a onetime password from your mobile phone</v>
      </c>
      <c r="C461" s="85" t="s">
        <v>437</v>
      </c>
      <c r="D461" s="4" t="s">
        <v>30</v>
      </c>
      <c r="E461" s="4">
        <v>2</v>
      </c>
      <c r="F461" s="5" t="s">
        <v>15</v>
      </c>
      <c r="G461" s="4" t="str">
        <f t="shared" si="46"/>
        <v>AD2_24</v>
      </c>
      <c r="H461" s="12"/>
    </row>
    <row r="462" spans="1:8" customFormat="1" ht="76.5">
      <c r="A462" s="100" t="s">
        <v>443</v>
      </c>
      <c r="B462" s="85" t="str">
        <f>A462&amp;". Thinking about the places where you usually shop, about how many merchants accept the following type of cashless payment? "&amp;Institution!B9</f>
        <v>AD2.25. Thinking about the places where you usually shop, about how many merchants accept the following type of cashless payment? a Rupay, debit or credit card</v>
      </c>
      <c r="C462" s="85" t="s">
        <v>437</v>
      </c>
      <c r="D462" s="4" t="s">
        <v>30</v>
      </c>
      <c r="E462" s="4">
        <v>2</v>
      </c>
      <c r="F462" s="5" t="s">
        <v>15</v>
      </c>
      <c r="G462" s="4" t="str">
        <f t="shared" si="46"/>
        <v>AD2_25</v>
      </c>
      <c r="H462" s="12"/>
    </row>
    <row r="463" spans="1:8" s="3" customFormat="1" ht="66.75" customHeight="1">
      <c r="A463" s="100" t="s">
        <v>444</v>
      </c>
      <c r="B463" s="85" t="str">
        <f>A463&amp;". Thinking about the places where you usually shop, about how many merchants accept only cash?"</f>
        <v>AD2.26. Thinking about the places where you usually shop, about how many merchants accept only cash?</v>
      </c>
      <c r="C463" s="85" t="s">
        <v>437</v>
      </c>
      <c r="D463" s="4" t="s">
        <v>30</v>
      </c>
      <c r="E463" s="4">
        <v>2</v>
      </c>
      <c r="F463" s="5" t="s">
        <v>15</v>
      </c>
      <c r="G463" s="4" t="str">
        <f t="shared" ref="G463" si="47">SUBSTITUTE(A463,".","_")</f>
        <v>AD2_26</v>
      </c>
      <c r="H463" s="27"/>
    </row>
    <row r="464" spans="1:8" customFormat="1" ht="69" customHeight="1">
      <c r="A464" s="162" t="s">
        <v>1570</v>
      </c>
      <c r="B464" s="162"/>
      <c r="C464" s="162"/>
      <c r="D464" s="162"/>
      <c r="E464" s="162"/>
      <c r="F464" s="87" t="s">
        <v>15</v>
      </c>
      <c r="G464" s="87"/>
      <c r="H464" s="12"/>
    </row>
    <row r="465" spans="1:7" s="9" customFormat="1" ht="14.25">
      <c r="A465" s="6" t="s">
        <v>4</v>
      </c>
      <c r="B465" s="7" t="s">
        <v>5</v>
      </c>
      <c r="C465" s="7" t="s">
        <v>6</v>
      </c>
      <c r="D465" s="6" t="s">
        <v>7</v>
      </c>
      <c r="E465" s="7" t="s">
        <v>8</v>
      </c>
      <c r="F465" s="7" t="s">
        <v>9</v>
      </c>
      <c r="G465" s="6" t="s">
        <v>10</v>
      </c>
    </row>
    <row r="466" spans="1:7" s="9" customFormat="1" ht="25.5">
      <c r="A466" s="103" t="s">
        <v>445</v>
      </c>
      <c r="B466" s="96" t="str">
        <f>A466&amp;". Have you ever "&amp;Activity!A3&amp;"?"</f>
        <v>AD3. Have you ever paid a bill for medical treatment, housing, trash collection, electricity, water, solar, television or any other bill?</v>
      </c>
      <c r="C466" s="96" t="s">
        <v>137</v>
      </c>
      <c r="D466" s="103" t="s">
        <v>30</v>
      </c>
      <c r="E466" s="103">
        <v>1</v>
      </c>
      <c r="F466" s="104" t="s">
        <v>15</v>
      </c>
      <c r="G466" s="76" t="str">
        <f t="shared" ref="G466:G484" si="48">SUBSTITUTE(A466,".","_")</f>
        <v>AD3</v>
      </c>
    </row>
    <row r="467" spans="1:7" s="9" customFormat="1" ht="25.5">
      <c r="A467" s="103" t="s">
        <v>446</v>
      </c>
      <c r="B467" s="96" t="str">
        <f>A467&amp;". Have you ever paid a bill using "&amp;Institution!B2&amp;"?"</f>
        <v>AD3.1. Have you ever paid a bill using a bank?</v>
      </c>
      <c r="C467" s="96" t="s">
        <v>137</v>
      </c>
      <c r="D467" s="103" t="s">
        <v>30</v>
      </c>
      <c r="E467" s="103">
        <v>1</v>
      </c>
      <c r="F467" s="104" t="s">
        <v>447</v>
      </c>
      <c r="G467" s="76" t="str">
        <f t="shared" si="48"/>
        <v>AD3_1</v>
      </c>
    </row>
    <row r="468" spans="1:7" s="9" customFormat="1" ht="25.5">
      <c r="A468" s="103" t="s">
        <v>448</v>
      </c>
      <c r="B468" s="96" t="str">
        <f>A468&amp;". Have you ever paid a bill using "&amp;Institution!B3&amp;"?"</f>
        <v>AD3.2. Have you ever paid a bill using a post office bank?</v>
      </c>
      <c r="C468" s="96" t="s">
        <v>137</v>
      </c>
      <c r="D468" s="103" t="s">
        <v>30</v>
      </c>
      <c r="E468" s="103">
        <v>1</v>
      </c>
      <c r="F468" s="104" t="s">
        <v>449</v>
      </c>
      <c r="G468" s="76" t="str">
        <f t="shared" si="48"/>
        <v>AD3_2</v>
      </c>
    </row>
    <row r="469" spans="1:7" s="9" customFormat="1" ht="25.5">
      <c r="A469" s="103" t="s">
        <v>450</v>
      </c>
      <c r="B469" s="96" t="str">
        <f>A469&amp;". Have you ever paid a bill using "&amp;Institution!B4&amp;"?"</f>
        <v>AD3.3. Have you ever paid a bill using a payments bank?</v>
      </c>
      <c r="C469" s="96" t="s">
        <v>137</v>
      </c>
      <c r="D469" s="103" t="s">
        <v>30</v>
      </c>
      <c r="E469" s="103">
        <v>1</v>
      </c>
      <c r="F469" s="104" t="s">
        <v>451</v>
      </c>
      <c r="G469" s="76" t="str">
        <f t="shared" si="48"/>
        <v>AD3_3</v>
      </c>
    </row>
    <row r="470" spans="1:7" s="9" customFormat="1" ht="25.5">
      <c r="A470" s="103" t="s">
        <v>452</v>
      </c>
      <c r="B470" s="96" t="str">
        <f>A470&amp;". Have you ever paid a bill using "&amp;Institution!B5&amp;"?"</f>
        <v>AD3.4. Have you ever paid a bill using a mobile money service?</v>
      </c>
      <c r="C470" s="96" t="s">
        <v>137</v>
      </c>
      <c r="D470" s="103" t="s">
        <v>30</v>
      </c>
      <c r="E470" s="103">
        <v>1</v>
      </c>
      <c r="F470" s="104" t="s">
        <v>453</v>
      </c>
      <c r="G470" s="76" t="str">
        <f t="shared" si="48"/>
        <v>AD3_4</v>
      </c>
    </row>
    <row r="471" spans="1:7" s="9" customFormat="1" ht="25.5">
      <c r="A471" s="103" t="s">
        <v>454</v>
      </c>
      <c r="B471" s="96" t="str">
        <f>A471&amp;". Have you ever paid a bill using "&amp;Institution!B6&amp;"?"</f>
        <v>AD3.5. Have you ever paid a bill using a smartphone app?</v>
      </c>
      <c r="C471" s="96" t="s">
        <v>137</v>
      </c>
      <c r="D471" s="103" t="s">
        <v>30</v>
      </c>
      <c r="E471" s="103">
        <v>1</v>
      </c>
      <c r="F471" s="104" t="s">
        <v>455</v>
      </c>
      <c r="G471" s="76" t="str">
        <f t="shared" si="48"/>
        <v>AD3_5</v>
      </c>
    </row>
    <row r="472" spans="1:7" s="9" customFormat="1" ht="25.5">
      <c r="A472" s="103" t="s">
        <v>456</v>
      </c>
      <c r="B472" s="96" t="str">
        <f>A472&amp;". Have you ever paid a bill using "&amp;Institution!B7&amp;"?"</f>
        <v>AD3.6. Have you ever paid a bill using the *99# menu on a mobile phone?</v>
      </c>
      <c r="C472" s="96" t="s">
        <v>137</v>
      </c>
      <c r="D472" s="103" t="s">
        <v>30</v>
      </c>
      <c r="E472" s="103">
        <v>1</v>
      </c>
      <c r="F472" s="104" t="s">
        <v>457</v>
      </c>
      <c r="G472" s="76" t="str">
        <f t="shared" si="48"/>
        <v>AD3_6</v>
      </c>
    </row>
    <row r="473" spans="1:7" s="9" customFormat="1" ht="25.5">
      <c r="A473" s="103" t="s">
        <v>458</v>
      </c>
      <c r="B473" s="96" t="str">
        <f>A473&amp;". Have you ever paid a bill using "&amp;Institution!B8&amp;"?"</f>
        <v>AD3.7. Have you ever paid a bill using your Aadhaar number and also your fingerprint, iris scan, or a onetime password from your mobile phone?</v>
      </c>
      <c r="C473" s="96" t="s">
        <v>137</v>
      </c>
      <c r="D473" s="103" t="s">
        <v>30</v>
      </c>
      <c r="E473" s="103">
        <v>1</v>
      </c>
      <c r="F473" s="104" t="s">
        <v>459</v>
      </c>
      <c r="G473" s="76" t="str">
        <f t="shared" si="48"/>
        <v>AD3_7</v>
      </c>
    </row>
    <row r="474" spans="1:7" s="9" customFormat="1" ht="25.5">
      <c r="A474" s="103" t="s">
        <v>460</v>
      </c>
      <c r="B474" s="96" t="str">
        <f>A474&amp;". Have you ever paid a bill using "&amp;Institution!B9&amp;"?"</f>
        <v>AD3.8. Have you ever paid a bill using a Rupay, debit or credit card?</v>
      </c>
      <c r="C474" s="96" t="s">
        <v>137</v>
      </c>
      <c r="D474" s="103" t="s">
        <v>30</v>
      </c>
      <c r="E474" s="103">
        <v>2</v>
      </c>
      <c r="F474" s="104" t="s">
        <v>461</v>
      </c>
      <c r="G474" s="76" t="str">
        <f t="shared" si="48"/>
        <v>AD3_8</v>
      </c>
    </row>
    <row r="475" spans="1:7" s="9" customFormat="1" ht="76.5">
      <c r="A475" s="103" t="s">
        <v>462</v>
      </c>
      <c r="B475" s="96" t="str">
        <f>A475&amp;". When was the last time you paid a bill using "&amp;Institution!B2&amp;"?"</f>
        <v>AD3.9. When was the last time you paid a bill using a bank?</v>
      </c>
      <c r="C475" s="82" t="s">
        <v>295</v>
      </c>
      <c r="D475" s="103" t="s">
        <v>30</v>
      </c>
      <c r="E475" s="103">
        <v>1</v>
      </c>
      <c r="F475" s="104" t="s">
        <v>463</v>
      </c>
      <c r="G475" s="76" t="str">
        <f t="shared" si="48"/>
        <v>AD3_9</v>
      </c>
    </row>
    <row r="476" spans="1:7" s="9" customFormat="1" ht="76.5">
      <c r="A476" s="103" t="s">
        <v>464</v>
      </c>
      <c r="B476" s="96" t="str">
        <f>A476&amp;". When was the last time you paid a bill using "&amp;Institution!B3&amp;"?"</f>
        <v>AD3.10. When was the last time you paid a bill using a post office bank?</v>
      </c>
      <c r="C476" s="82" t="s">
        <v>295</v>
      </c>
      <c r="D476" s="103" t="s">
        <v>30</v>
      </c>
      <c r="E476" s="103">
        <v>1</v>
      </c>
      <c r="F476" s="104" t="s">
        <v>465</v>
      </c>
      <c r="G476" s="76" t="str">
        <f t="shared" si="48"/>
        <v>AD3_10</v>
      </c>
    </row>
    <row r="477" spans="1:7" s="9" customFormat="1" ht="76.5">
      <c r="A477" s="103" t="s">
        <v>466</v>
      </c>
      <c r="B477" s="96" t="str">
        <f>A477&amp;". When was the last time you paid a bill using "&amp;Institution!B4&amp;"?"</f>
        <v>AD3.11. When was the last time you paid a bill using a payments bank?</v>
      </c>
      <c r="C477" s="82" t="s">
        <v>295</v>
      </c>
      <c r="D477" s="103" t="s">
        <v>30</v>
      </c>
      <c r="E477" s="103">
        <v>1</v>
      </c>
      <c r="F477" s="104" t="s">
        <v>467</v>
      </c>
      <c r="G477" s="76" t="str">
        <f t="shared" si="48"/>
        <v>AD3_11</v>
      </c>
    </row>
    <row r="478" spans="1:7" s="9" customFormat="1" ht="76.5">
      <c r="A478" s="103" t="s">
        <v>468</v>
      </c>
      <c r="B478" s="96" t="str">
        <f>A478&amp;". When was the last time you paid a bill using "&amp;Institution!B5&amp;"?"</f>
        <v>AD3.12. When was the last time you paid a bill using a mobile money service?</v>
      </c>
      <c r="C478" s="82" t="s">
        <v>295</v>
      </c>
      <c r="D478" s="103" t="s">
        <v>30</v>
      </c>
      <c r="E478" s="103">
        <v>1</v>
      </c>
      <c r="F478" s="104" t="s">
        <v>469</v>
      </c>
      <c r="G478" s="76" t="str">
        <f t="shared" si="48"/>
        <v>AD3_12</v>
      </c>
    </row>
    <row r="479" spans="1:7" s="9" customFormat="1" ht="76.5">
      <c r="A479" s="103" t="s">
        <v>470</v>
      </c>
      <c r="B479" s="96" t="str">
        <f>A479&amp;". When was the last time you paid a bill using "&amp;Institution!B6&amp;"?"</f>
        <v>AD3.13. When was the last time you paid a bill using a smartphone app?</v>
      </c>
      <c r="C479" s="82" t="s">
        <v>295</v>
      </c>
      <c r="D479" s="103" t="s">
        <v>30</v>
      </c>
      <c r="E479" s="103">
        <v>1</v>
      </c>
      <c r="F479" s="104" t="s">
        <v>471</v>
      </c>
      <c r="G479" s="76" t="str">
        <f t="shared" si="48"/>
        <v>AD3_13</v>
      </c>
    </row>
    <row r="480" spans="1:7" s="9" customFormat="1" ht="76.5">
      <c r="A480" s="103" t="s">
        <v>472</v>
      </c>
      <c r="B480" s="96" t="str">
        <f>A480&amp;". When was the last time you paid a bill using "&amp;Institution!B7&amp;"?"</f>
        <v>AD3.14. When was the last time you paid a bill using the *99# menu on a mobile phone?</v>
      </c>
      <c r="C480" s="82" t="s">
        <v>295</v>
      </c>
      <c r="D480" s="103" t="s">
        <v>30</v>
      </c>
      <c r="E480" s="103">
        <v>1</v>
      </c>
      <c r="F480" s="104" t="s">
        <v>473</v>
      </c>
      <c r="G480" s="76" t="str">
        <f t="shared" si="48"/>
        <v>AD3_14</v>
      </c>
    </row>
    <row r="481" spans="1:8" s="9" customFormat="1" ht="76.5">
      <c r="A481" s="103" t="s">
        <v>474</v>
      </c>
      <c r="B481" s="96" t="str">
        <f>A481&amp;". When was the last time you paid a bill using "&amp;Institution!B8&amp;"?"</f>
        <v>AD3.15. When was the last time you paid a bill using your Aadhaar number and also your fingerprint, iris scan, or a onetime password from your mobile phone?</v>
      </c>
      <c r="C481" s="82" t="s">
        <v>295</v>
      </c>
      <c r="D481" s="103" t="s">
        <v>30</v>
      </c>
      <c r="E481" s="103">
        <v>1</v>
      </c>
      <c r="F481" s="104" t="s">
        <v>475</v>
      </c>
      <c r="G481" s="76" t="str">
        <f t="shared" si="48"/>
        <v>AD3_15</v>
      </c>
    </row>
    <row r="482" spans="1:8" s="9" customFormat="1" ht="76.5">
      <c r="A482" s="103" t="s">
        <v>476</v>
      </c>
      <c r="B482" s="96" t="str">
        <f>A482&amp;". When was the last time you paid a bill using "&amp;Institution!B9&amp;"?"</f>
        <v>AD3.16. When was the last time you paid a bill using a Rupay, debit or credit card?</v>
      </c>
      <c r="C482" s="82" t="s">
        <v>295</v>
      </c>
      <c r="D482" s="103" t="s">
        <v>30</v>
      </c>
      <c r="E482" s="103">
        <v>1</v>
      </c>
      <c r="F482" s="104" t="s">
        <v>477</v>
      </c>
      <c r="G482" s="76" t="str">
        <f t="shared" si="48"/>
        <v>AD3_16</v>
      </c>
      <c r="H482" s="81"/>
    </row>
    <row r="483" spans="1:8" s="9" customFormat="1" ht="89.25">
      <c r="A483" s="103" t="s">
        <v>478</v>
      </c>
      <c r="B483" s="96" t="str">
        <f>A483&amp;". When was the last time you paid a bill using cash?"</f>
        <v>AD3.17. When was the last time you paid a bill using cash?</v>
      </c>
      <c r="C483" s="82" t="s">
        <v>196</v>
      </c>
      <c r="D483" s="103" t="s">
        <v>30</v>
      </c>
      <c r="E483" s="103">
        <v>1</v>
      </c>
      <c r="F483" s="104" t="s">
        <v>479</v>
      </c>
      <c r="G483" s="76" t="str">
        <f t="shared" si="48"/>
        <v>AD3_17</v>
      </c>
    </row>
    <row r="484" spans="1:8" s="3" customFormat="1" ht="59.25" customHeight="1">
      <c r="A484" s="100" t="s">
        <v>480</v>
      </c>
      <c r="B484" s="96" t="str">
        <f>A484&amp;". Thinking about the bills that you pay regularly, how often do you miss or delay payments?"</f>
        <v>AD3.18. Thinking about the bills that you pay regularly, how often do you miss or delay payments?</v>
      </c>
      <c r="C484" s="82" t="s">
        <v>481</v>
      </c>
      <c r="D484" s="103" t="s">
        <v>30</v>
      </c>
      <c r="E484" s="103">
        <v>1</v>
      </c>
      <c r="F484" s="104" t="s">
        <v>479</v>
      </c>
      <c r="G484" s="76" t="str">
        <f t="shared" si="48"/>
        <v>AD3_18</v>
      </c>
      <c r="H484" s="27"/>
    </row>
    <row r="485" spans="1:8" customFormat="1" ht="51.75" customHeight="1">
      <c r="A485" s="162" t="s">
        <v>1571</v>
      </c>
      <c r="B485" s="162"/>
      <c r="C485" s="162"/>
      <c r="D485" s="162"/>
      <c r="E485" s="162"/>
      <c r="F485" s="87" t="s">
        <v>15</v>
      </c>
      <c r="G485" s="87"/>
      <c r="H485" s="12"/>
    </row>
    <row r="486" spans="1:8" s="9" customFormat="1" ht="14.25">
      <c r="A486" s="6" t="s">
        <v>4</v>
      </c>
      <c r="B486" s="7" t="s">
        <v>5</v>
      </c>
      <c r="C486" s="7" t="s">
        <v>6</v>
      </c>
      <c r="D486" s="6" t="s">
        <v>7</v>
      </c>
      <c r="E486" s="7" t="s">
        <v>8</v>
      </c>
      <c r="F486" s="7" t="s">
        <v>9</v>
      </c>
      <c r="G486" s="6" t="s">
        <v>10</v>
      </c>
    </row>
    <row r="487" spans="1:8" s="9" customFormat="1" ht="25.5">
      <c r="A487" s="103" t="s">
        <v>482</v>
      </c>
      <c r="B487" s="96" t="str">
        <f>A487&amp;". Have you ever "&amp;Activity!A2&amp;"?"</f>
        <v>AD4. Have you ever paid a fee for school, education, or training?</v>
      </c>
      <c r="C487" s="96" t="s">
        <v>137</v>
      </c>
      <c r="D487" s="103" t="s">
        <v>30</v>
      </c>
      <c r="E487" s="103">
        <v>1</v>
      </c>
      <c r="F487" s="95" t="s">
        <v>15</v>
      </c>
      <c r="G487" s="76" t="str">
        <f t="shared" ref="G487:G571" si="49">SUBSTITUTE(A487,".","_")</f>
        <v>AD4</v>
      </c>
    </row>
    <row r="488" spans="1:8" s="9" customFormat="1" ht="25.5">
      <c r="A488" s="103" t="s">
        <v>483</v>
      </c>
      <c r="B488" s="96" t="str">
        <f>A488&amp;". Have you ever paid a fee for school, education, or training using "&amp;Institution!B2&amp;"?"</f>
        <v>AD4.1. Have you ever paid a fee for school, education, or training using a bank?</v>
      </c>
      <c r="C488" s="96" t="s">
        <v>137</v>
      </c>
      <c r="D488" s="103" t="s">
        <v>30</v>
      </c>
      <c r="E488" s="103">
        <v>1</v>
      </c>
      <c r="F488" s="95" t="s">
        <v>484</v>
      </c>
      <c r="G488" s="76" t="str">
        <f t="shared" ref="G488:G504" si="50">SUBSTITUTE(A488,".","_")</f>
        <v>AD4_1</v>
      </c>
    </row>
    <row r="489" spans="1:8" s="9" customFormat="1" ht="25.5">
      <c r="A489" s="103" t="s">
        <v>485</v>
      </c>
      <c r="B489" s="96" t="str">
        <f>A489&amp;". Have you ever paid a fee for school, education, or training using "&amp;Institution!B3&amp;"?"</f>
        <v>AD4.2. Have you ever paid a fee for school, education, or training using a post office bank?</v>
      </c>
      <c r="C489" s="96" t="s">
        <v>137</v>
      </c>
      <c r="D489" s="103" t="s">
        <v>30</v>
      </c>
      <c r="E489" s="103">
        <v>1</v>
      </c>
      <c r="F489" s="95" t="s">
        <v>486</v>
      </c>
      <c r="G489" s="76" t="str">
        <f t="shared" si="50"/>
        <v>AD4_2</v>
      </c>
    </row>
    <row r="490" spans="1:8" s="9" customFormat="1" ht="25.5">
      <c r="A490" s="103" t="s">
        <v>487</v>
      </c>
      <c r="B490" s="96" t="str">
        <f>A490&amp;". Have you ever paid a fee for school, education, or training using "&amp;Institution!B4&amp;"?"</f>
        <v>AD4.3. Have you ever paid a fee for school, education, or training using a payments bank?</v>
      </c>
      <c r="C490" s="96" t="s">
        <v>137</v>
      </c>
      <c r="D490" s="103" t="s">
        <v>30</v>
      </c>
      <c r="E490" s="103">
        <v>1</v>
      </c>
      <c r="F490" s="95" t="s">
        <v>488</v>
      </c>
      <c r="G490" s="76" t="str">
        <f t="shared" si="50"/>
        <v>AD4_3</v>
      </c>
    </row>
    <row r="491" spans="1:8" s="9" customFormat="1" ht="25.5">
      <c r="A491" s="103" t="s">
        <v>489</v>
      </c>
      <c r="B491" s="96" t="str">
        <f>A491&amp;". Have you ever paid a fee for school, education, or training using "&amp;Institution!B5&amp;"?"</f>
        <v>AD4.4. Have you ever paid a fee for school, education, or training using a mobile money service?</v>
      </c>
      <c r="C491" s="96" t="s">
        <v>137</v>
      </c>
      <c r="D491" s="103" t="s">
        <v>30</v>
      </c>
      <c r="E491" s="103">
        <v>1</v>
      </c>
      <c r="F491" s="95" t="s">
        <v>490</v>
      </c>
      <c r="G491" s="76" t="str">
        <f t="shared" si="50"/>
        <v>AD4_4</v>
      </c>
    </row>
    <row r="492" spans="1:8" s="9" customFormat="1" ht="25.5">
      <c r="A492" s="103" t="s">
        <v>491</v>
      </c>
      <c r="B492" s="96" t="str">
        <f>A492&amp;". Have you ever paid a fee for school, education, or training using "&amp;Institution!B6&amp;"?"</f>
        <v>AD4.5. Have you ever paid a fee for school, education, or training using a smartphone app?</v>
      </c>
      <c r="C492" s="96" t="s">
        <v>137</v>
      </c>
      <c r="D492" s="103" t="s">
        <v>30</v>
      </c>
      <c r="E492" s="103">
        <v>1</v>
      </c>
      <c r="F492" s="95" t="s">
        <v>492</v>
      </c>
      <c r="G492" s="76" t="str">
        <f t="shared" si="50"/>
        <v>AD4_5</v>
      </c>
    </row>
    <row r="493" spans="1:8" s="9" customFormat="1" ht="25.5">
      <c r="A493" s="103" t="s">
        <v>493</v>
      </c>
      <c r="B493" s="96" t="str">
        <f>A493&amp;". Have you ever paid a fee for school, education, or training using "&amp;Institution!B7&amp;"?"</f>
        <v>AD4.6. Have you ever paid a fee for school, education, or training using the *99# menu on a mobile phone?</v>
      </c>
      <c r="C493" s="96" t="s">
        <v>137</v>
      </c>
      <c r="D493" s="103" t="s">
        <v>30</v>
      </c>
      <c r="E493" s="103">
        <v>1</v>
      </c>
      <c r="F493" s="95" t="s">
        <v>494</v>
      </c>
      <c r="G493" s="76" t="str">
        <f t="shared" si="50"/>
        <v>AD4_6</v>
      </c>
    </row>
    <row r="494" spans="1:8" s="9" customFormat="1" ht="38.25">
      <c r="A494" s="103" t="s">
        <v>495</v>
      </c>
      <c r="B494" s="96" t="str">
        <f>A494&amp;". Have you ever paid a fee for school, education, or training using "&amp;Institution!B8&amp;"?"</f>
        <v>AD4.7. Have you ever paid a fee for school, education, or training using your Aadhaar number and also your fingerprint, iris scan, or a onetime password from your mobile phone?</v>
      </c>
      <c r="C494" s="96" t="s">
        <v>137</v>
      </c>
      <c r="D494" s="103" t="s">
        <v>30</v>
      </c>
      <c r="E494" s="103">
        <v>1</v>
      </c>
      <c r="F494" s="95" t="s">
        <v>496</v>
      </c>
      <c r="G494" s="76" t="str">
        <f t="shared" si="50"/>
        <v>AD4_7</v>
      </c>
    </row>
    <row r="495" spans="1:8" s="9" customFormat="1" ht="25.5">
      <c r="A495" s="103" t="s">
        <v>497</v>
      </c>
      <c r="B495" s="96" t="str">
        <f>A495&amp;". Have you ever paid a fee for school, education, or training using "&amp;Institution!B9&amp;"?"</f>
        <v>AD4.8. Have you ever paid a fee for school, education, or training using a Rupay, debit or credit card?</v>
      </c>
      <c r="C495" s="96" t="s">
        <v>137</v>
      </c>
      <c r="D495" s="103" t="s">
        <v>30</v>
      </c>
      <c r="E495" s="103">
        <v>1</v>
      </c>
      <c r="F495" s="95" t="s">
        <v>498</v>
      </c>
      <c r="G495" s="76" t="str">
        <f t="shared" si="50"/>
        <v>AD4_8</v>
      </c>
    </row>
    <row r="496" spans="1:8" s="9" customFormat="1" ht="76.5">
      <c r="A496" s="103" t="s">
        <v>499</v>
      </c>
      <c r="B496" s="96" t="str">
        <f>A496&amp;". When was the last time you paid a fee for school, education, or training using "&amp;Institution!B2&amp;"?"</f>
        <v>AD4.9. When was the last time you paid a fee for school, education, or training using a bank?</v>
      </c>
      <c r="C496" s="82" t="s">
        <v>295</v>
      </c>
      <c r="D496" s="103" t="s">
        <v>30</v>
      </c>
      <c r="E496" s="103">
        <v>1</v>
      </c>
      <c r="F496" s="95" t="s">
        <v>500</v>
      </c>
      <c r="G496" s="76" t="str">
        <f t="shared" si="50"/>
        <v>AD4_9</v>
      </c>
    </row>
    <row r="497" spans="1:7" s="9" customFormat="1" ht="76.5">
      <c r="A497" s="103" t="s">
        <v>501</v>
      </c>
      <c r="B497" s="96" t="str">
        <f>A497&amp;". When was the last time you paid a fee for school, education, or training using "&amp;Institution!B3&amp;"?"</f>
        <v>AD4.10. When was the last time you paid a fee for school, education, or training using a post office bank?</v>
      </c>
      <c r="C497" s="82" t="s">
        <v>295</v>
      </c>
      <c r="D497" s="103" t="s">
        <v>30</v>
      </c>
      <c r="E497" s="103">
        <v>1</v>
      </c>
      <c r="F497" s="95" t="s">
        <v>502</v>
      </c>
      <c r="G497" s="76" t="str">
        <f t="shared" si="50"/>
        <v>AD4_10</v>
      </c>
    </row>
    <row r="498" spans="1:7" s="9" customFormat="1" ht="76.5">
      <c r="A498" s="103" t="s">
        <v>503</v>
      </c>
      <c r="B498" s="96" t="str">
        <f>A498&amp;". When was the last time you paid a fee for school, education, or training using "&amp;Institution!B4&amp;"?"</f>
        <v>AD4.11. When was the last time you paid a fee for school, education, or training using a payments bank?</v>
      </c>
      <c r="C498" s="82" t="s">
        <v>295</v>
      </c>
      <c r="D498" s="103" t="s">
        <v>30</v>
      </c>
      <c r="E498" s="103">
        <v>1</v>
      </c>
      <c r="F498" s="95" t="s">
        <v>504</v>
      </c>
      <c r="G498" s="76" t="str">
        <f t="shared" si="50"/>
        <v>AD4_11</v>
      </c>
    </row>
    <row r="499" spans="1:7" s="9" customFormat="1" ht="76.5">
      <c r="A499" s="103" t="s">
        <v>505</v>
      </c>
      <c r="B499" s="96" t="str">
        <f>A499&amp;". When was the last time you paid a fee for school, education, or training using "&amp;Institution!B5&amp;"?"</f>
        <v>AD4.12. When was the last time you paid a fee for school, education, or training using a mobile money service?</v>
      </c>
      <c r="C499" s="82" t="s">
        <v>295</v>
      </c>
      <c r="D499" s="103" t="s">
        <v>30</v>
      </c>
      <c r="E499" s="103">
        <v>1</v>
      </c>
      <c r="F499" s="95" t="s">
        <v>506</v>
      </c>
      <c r="G499" s="76" t="str">
        <f t="shared" si="50"/>
        <v>AD4_12</v>
      </c>
    </row>
    <row r="500" spans="1:7" s="9" customFormat="1" ht="76.5">
      <c r="A500" s="103" t="s">
        <v>507</v>
      </c>
      <c r="B500" s="96" t="str">
        <f>A500&amp;". When was the last time you paid a fee for school, education, or training using "&amp;Institution!B6&amp;"?"</f>
        <v>AD4.13. When was the last time you paid a fee for school, education, or training using a smartphone app?</v>
      </c>
      <c r="C500" s="82" t="s">
        <v>295</v>
      </c>
      <c r="D500" s="103" t="s">
        <v>30</v>
      </c>
      <c r="E500" s="103">
        <v>1</v>
      </c>
      <c r="F500" s="95" t="s">
        <v>508</v>
      </c>
      <c r="G500" s="76" t="str">
        <f t="shared" si="50"/>
        <v>AD4_13</v>
      </c>
    </row>
    <row r="501" spans="1:7" s="9" customFormat="1" ht="76.5">
      <c r="A501" s="103" t="s">
        <v>509</v>
      </c>
      <c r="B501" s="96" t="str">
        <f>A501&amp;". When was the last time you paid a fee for school, education, or training using "&amp;Institution!B7&amp;"?"</f>
        <v>AD4.14. When was the last time you paid a fee for school, education, or training using the *99# menu on a mobile phone?</v>
      </c>
      <c r="C501" s="82" t="s">
        <v>295</v>
      </c>
      <c r="D501" s="103" t="s">
        <v>30</v>
      </c>
      <c r="E501" s="103">
        <v>1</v>
      </c>
      <c r="F501" s="95" t="s">
        <v>510</v>
      </c>
      <c r="G501" s="76" t="str">
        <f t="shared" si="50"/>
        <v>AD4_14</v>
      </c>
    </row>
    <row r="502" spans="1:7" s="9" customFormat="1" ht="76.5">
      <c r="A502" s="103" t="s">
        <v>511</v>
      </c>
      <c r="B502" s="96" t="str">
        <f>A502&amp;". When was the last time you paid a fee for school, education, or training using "&amp;Institution!B8&amp;"?"</f>
        <v>AD4.15. When was the last time you paid a fee for school, education, or training using your Aadhaar number and also your fingerprint, iris scan, or a onetime password from your mobile phone?</v>
      </c>
      <c r="C502" s="82" t="s">
        <v>295</v>
      </c>
      <c r="D502" s="103" t="s">
        <v>30</v>
      </c>
      <c r="E502" s="103">
        <v>1</v>
      </c>
      <c r="F502" s="95" t="s">
        <v>512</v>
      </c>
      <c r="G502" s="76" t="str">
        <f t="shared" si="50"/>
        <v>AD4_15</v>
      </c>
    </row>
    <row r="503" spans="1:7" s="9" customFormat="1" ht="76.5">
      <c r="A503" s="103" t="s">
        <v>513</v>
      </c>
      <c r="B503" s="96" t="str">
        <f>A503&amp;". When was the last time you paid a fee for school, education, or training using "&amp;Institution!B9&amp;"?"</f>
        <v>AD4.16. When was the last time you paid a fee for school, education, or training using a Rupay, debit or credit card?</v>
      </c>
      <c r="C503" s="82" t="s">
        <v>295</v>
      </c>
      <c r="D503" s="103" t="s">
        <v>30</v>
      </c>
      <c r="E503" s="103">
        <v>1</v>
      </c>
      <c r="F503" s="95" t="s">
        <v>514</v>
      </c>
      <c r="G503" s="76" t="str">
        <f t="shared" si="50"/>
        <v>AD4_16</v>
      </c>
    </row>
    <row r="504" spans="1:7" s="9" customFormat="1" ht="42.75" customHeight="1">
      <c r="A504" s="103" t="s">
        <v>515</v>
      </c>
      <c r="B504" s="96" t="str">
        <f>A504&amp;". When was the last time you paid a fee for school, education, or training using cash?"</f>
        <v>AD4.17. When was the last time you paid a fee for school, education, or training using cash?</v>
      </c>
      <c r="C504" s="82" t="s">
        <v>196</v>
      </c>
      <c r="D504" s="103" t="s">
        <v>30</v>
      </c>
      <c r="E504" s="103">
        <v>1</v>
      </c>
      <c r="F504" s="95" t="s">
        <v>516</v>
      </c>
      <c r="G504" s="76" t="str">
        <f t="shared" si="50"/>
        <v>AD4_17</v>
      </c>
    </row>
    <row r="505" spans="1:7" s="9" customFormat="1" ht="39.75" customHeight="1">
      <c r="A505" s="162" t="s">
        <v>1572</v>
      </c>
      <c r="B505" s="162"/>
      <c r="C505" s="162"/>
      <c r="D505" s="162"/>
      <c r="E505" s="162"/>
      <c r="F505" s="87" t="s">
        <v>15</v>
      </c>
      <c r="G505" s="87"/>
    </row>
    <row r="506" spans="1:7" s="9" customFormat="1" ht="14.25">
      <c r="A506" s="6" t="s">
        <v>4</v>
      </c>
      <c r="B506" s="7" t="s">
        <v>5</v>
      </c>
      <c r="C506" s="7" t="s">
        <v>6</v>
      </c>
      <c r="D506" s="6" t="s">
        <v>7</v>
      </c>
      <c r="E506" s="7" t="s">
        <v>8</v>
      </c>
      <c r="F506" s="7" t="s">
        <v>9</v>
      </c>
      <c r="G506" s="6" t="s">
        <v>10</v>
      </c>
    </row>
    <row r="507" spans="1:7" s="9" customFormat="1" ht="25.5">
      <c r="A507" s="103" t="s">
        <v>517</v>
      </c>
      <c r="B507" s="96" t="str">
        <f>A507&amp;". Have you ever "&amp;Activity!A4&amp;"?"</f>
        <v>AD5. Have you ever paid a tax, fine, fee, or other payment to the government?</v>
      </c>
      <c r="C507" s="96" t="s">
        <v>137</v>
      </c>
      <c r="D507" s="103" t="s">
        <v>30</v>
      </c>
      <c r="E507" s="103">
        <v>1</v>
      </c>
      <c r="F507" s="104" t="s">
        <v>371</v>
      </c>
      <c r="G507" s="76" t="str">
        <f>SUBSTITUTE(A507,".","_")</f>
        <v>AD5</v>
      </c>
    </row>
    <row r="508" spans="1:7" s="9" customFormat="1" ht="25.5">
      <c r="A508" s="103" t="s">
        <v>518</v>
      </c>
      <c r="B508" s="96" t="str">
        <f>A508&amp;". Have you ever paid a tax, fine, fee, or other payment to the government using "&amp;Institution!B2&amp;"?"</f>
        <v>AD5.1. Have you ever paid a tax, fine, fee, or other payment to the government using a bank?</v>
      </c>
      <c r="C508" s="96" t="s">
        <v>137</v>
      </c>
      <c r="D508" s="103" t="s">
        <v>30</v>
      </c>
      <c r="E508" s="103">
        <v>1</v>
      </c>
      <c r="F508" s="95" t="s">
        <v>519</v>
      </c>
      <c r="G508" s="76" t="str">
        <f t="shared" si="49"/>
        <v>AD5_1</v>
      </c>
    </row>
    <row r="509" spans="1:7" s="9" customFormat="1" ht="25.5">
      <c r="A509" s="103" t="s">
        <v>520</v>
      </c>
      <c r="B509" s="96" t="str">
        <f>A509&amp;". Have you ever paid a tax, fine, fee, or other payment to the government using "&amp;Institution!B3&amp;"?"</f>
        <v>AD5.2. Have you ever paid a tax, fine, fee, or other payment to the government using a post office bank?</v>
      </c>
      <c r="C509" s="96" t="s">
        <v>137</v>
      </c>
      <c r="D509" s="103" t="s">
        <v>30</v>
      </c>
      <c r="E509" s="103">
        <v>1</v>
      </c>
      <c r="F509" s="95" t="s">
        <v>521</v>
      </c>
      <c r="G509" s="76" t="str">
        <f t="shared" si="49"/>
        <v>AD5_2</v>
      </c>
    </row>
    <row r="510" spans="1:7" s="9" customFormat="1" ht="25.5">
      <c r="A510" s="103" t="s">
        <v>522</v>
      </c>
      <c r="B510" s="96" t="str">
        <f>A510&amp;". Have you ever paid a tax, fine, fee, or other payment to the government using "&amp;Institution!B4&amp;"?"</f>
        <v>AD5.3. Have you ever paid a tax, fine, fee, or other payment to the government using a payments bank?</v>
      </c>
      <c r="C510" s="96" t="s">
        <v>137</v>
      </c>
      <c r="D510" s="103" t="s">
        <v>30</v>
      </c>
      <c r="E510" s="103">
        <v>1</v>
      </c>
      <c r="F510" s="95" t="s">
        <v>523</v>
      </c>
      <c r="G510" s="76" t="str">
        <f t="shared" si="49"/>
        <v>AD5_3</v>
      </c>
    </row>
    <row r="511" spans="1:7" s="9" customFormat="1" ht="25.5">
      <c r="A511" s="103" t="s">
        <v>524</v>
      </c>
      <c r="B511" s="96" t="str">
        <f>A511&amp;". Have you ever paid a tax, fine, fee, or other payment to the government using "&amp;Institution!B5&amp;"?"</f>
        <v>AD5.4. Have you ever paid a tax, fine, fee, or other payment to the government using a mobile money service?</v>
      </c>
      <c r="C511" s="96" t="s">
        <v>137</v>
      </c>
      <c r="D511" s="103" t="s">
        <v>30</v>
      </c>
      <c r="E511" s="103">
        <v>1</v>
      </c>
      <c r="F511" s="95" t="s">
        <v>525</v>
      </c>
      <c r="G511" s="76" t="str">
        <f t="shared" si="49"/>
        <v>AD5_4</v>
      </c>
    </row>
    <row r="512" spans="1:7" s="9" customFormat="1" ht="25.5">
      <c r="A512" s="103" t="s">
        <v>526</v>
      </c>
      <c r="B512" s="96" t="str">
        <f>A512&amp;". Have you ever paid a tax, fine, fee, or other payment to the government using "&amp;Institution!B6&amp;"?"</f>
        <v>AD5.5. Have you ever paid a tax, fine, fee, or other payment to the government using a smartphone app?</v>
      </c>
      <c r="C512" s="96" t="s">
        <v>137</v>
      </c>
      <c r="D512" s="103" t="s">
        <v>30</v>
      </c>
      <c r="E512" s="103">
        <v>1</v>
      </c>
      <c r="F512" s="95" t="s">
        <v>527</v>
      </c>
      <c r="G512" s="76" t="str">
        <f t="shared" si="49"/>
        <v>AD5_5</v>
      </c>
    </row>
    <row r="513" spans="1:8" s="9" customFormat="1" ht="25.5">
      <c r="A513" s="103" t="s">
        <v>528</v>
      </c>
      <c r="B513" s="96" t="str">
        <f>A513&amp;". Have you ever paid a tax, fine, fee, or other payment to the government using "&amp;Institution!B7&amp;"?"</f>
        <v>AD5.6. Have you ever paid a tax, fine, fee, or other payment to the government using the *99# menu on a mobile phone?</v>
      </c>
      <c r="C513" s="96" t="s">
        <v>137</v>
      </c>
      <c r="D513" s="103" t="s">
        <v>30</v>
      </c>
      <c r="E513" s="103">
        <v>1</v>
      </c>
      <c r="F513" s="95" t="s">
        <v>529</v>
      </c>
      <c r="G513" s="76" t="str">
        <f t="shared" si="49"/>
        <v>AD5_6</v>
      </c>
    </row>
    <row r="514" spans="1:8" s="9" customFormat="1" ht="38.25">
      <c r="A514" s="103" t="s">
        <v>530</v>
      </c>
      <c r="B514" s="96" t="str">
        <f>A514&amp;". Have you ever paid a tax, fine, fee, or other payment to the government using "&amp;Institution!B8&amp;"?"</f>
        <v>AD5.7. Have you ever paid a tax, fine, fee, or other payment to the government using your Aadhaar number and also your fingerprint, iris scan, or a onetime password from your mobile phone?</v>
      </c>
      <c r="C514" s="96" t="s">
        <v>137</v>
      </c>
      <c r="D514" s="103" t="s">
        <v>30</v>
      </c>
      <c r="E514" s="103">
        <v>1</v>
      </c>
      <c r="F514" s="95" t="s">
        <v>531</v>
      </c>
      <c r="G514" s="76" t="str">
        <f t="shared" si="49"/>
        <v>AD5_7</v>
      </c>
    </row>
    <row r="515" spans="1:8" s="9" customFormat="1" ht="25.5">
      <c r="A515" s="103" t="s">
        <v>532</v>
      </c>
      <c r="B515" s="96" t="str">
        <f>A515&amp;". Have you ever paid a tax, fine, fee, or other payment to the government using "&amp;Institution!B9&amp;"?"</f>
        <v>AD5.8. Have you ever paid a tax, fine, fee, or other payment to the government using a Rupay, debit or credit card?</v>
      </c>
      <c r="C515" s="96" t="s">
        <v>137</v>
      </c>
      <c r="D515" s="103" t="s">
        <v>30</v>
      </c>
      <c r="E515" s="103">
        <v>1</v>
      </c>
      <c r="F515" s="95" t="s">
        <v>533</v>
      </c>
      <c r="G515" s="76" t="str">
        <f t="shared" si="49"/>
        <v>AD5_8</v>
      </c>
    </row>
    <row r="516" spans="1:8" s="9" customFormat="1" ht="76.5">
      <c r="A516" s="103" t="s">
        <v>534</v>
      </c>
      <c r="B516" s="96" t="str">
        <f>A516&amp;". When was the last time you paid a tax, fine, fee, or other payment to the government using "&amp;Institution!B2&amp;"?"</f>
        <v>AD5.9. When was the last time you paid a tax, fine, fee, or other payment to the government using a bank?</v>
      </c>
      <c r="C516" s="82" t="s">
        <v>295</v>
      </c>
      <c r="D516" s="103" t="s">
        <v>30</v>
      </c>
      <c r="E516" s="103">
        <v>1</v>
      </c>
      <c r="F516" s="95" t="s">
        <v>535</v>
      </c>
      <c r="G516" s="76" t="str">
        <f t="shared" ref="G516:G524" si="51">SUBSTITUTE(A516,".","_")</f>
        <v>AD5_9</v>
      </c>
    </row>
    <row r="517" spans="1:8" s="9" customFormat="1" ht="76.5">
      <c r="A517" s="103" t="s">
        <v>536</v>
      </c>
      <c r="B517" s="96" t="str">
        <f>A517&amp;". When was the last time you paid a tax, fine, fee, or other payment to the government using "&amp;Institution!B3&amp;"?"</f>
        <v>AD5.10. When was the last time you paid a tax, fine, fee, or other payment to the government using a post office bank?</v>
      </c>
      <c r="C517" s="82" t="s">
        <v>295</v>
      </c>
      <c r="D517" s="103" t="s">
        <v>30</v>
      </c>
      <c r="E517" s="103">
        <v>1</v>
      </c>
      <c r="F517" s="95" t="s">
        <v>537</v>
      </c>
      <c r="G517" s="76" t="str">
        <f t="shared" si="51"/>
        <v>AD5_10</v>
      </c>
    </row>
    <row r="518" spans="1:8" s="9" customFormat="1" ht="76.5">
      <c r="A518" s="103" t="s">
        <v>538</v>
      </c>
      <c r="B518" s="96" t="str">
        <f>A518&amp;". When was the last time you paid a tax, fine, fee, or other payment to the government using "&amp;Institution!B4&amp;"?"</f>
        <v>AD5.11. When was the last time you paid a tax, fine, fee, or other payment to the government using a payments bank?</v>
      </c>
      <c r="C518" s="82" t="s">
        <v>295</v>
      </c>
      <c r="D518" s="103" t="s">
        <v>30</v>
      </c>
      <c r="E518" s="103">
        <v>1</v>
      </c>
      <c r="F518" s="95" t="s">
        <v>539</v>
      </c>
      <c r="G518" s="76" t="str">
        <f t="shared" si="51"/>
        <v>AD5_11</v>
      </c>
    </row>
    <row r="519" spans="1:8" s="9" customFormat="1" ht="76.5">
      <c r="A519" s="103" t="s">
        <v>540</v>
      </c>
      <c r="B519" s="96" t="str">
        <f>A519&amp;". When was the last time you paid a tax, fine, fee, or other payment to the government using "&amp;Institution!B5&amp;"?"</f>
        <v>AD5.12. When was the last time you paid a tax, fine, fee, or other payment to the government using a mobile money service?</v>
      </c>
      <c r="C519" s="82" t="s">
        <v>295</v>
      </c>
      <c r="D519" s="103" t="s">
        <v>30</v>
      </c>
      <c r="E519" s="103">
        <v>1</v>
      </c>
      <c r="F519" s="95" t="s">
        <v>541</v>
      </c>
      <c r="G519" s="76" t="str">
        <f t="shared" si="51"/>
        <v>AD5_12</v>
      </c>
    </row>
    <row r="520" spans="1:8" s="9" customFormat="1" ht="76.5">
      <c r="A520" s="103" t="s">
        <v>542</v>
      </c>
      <c r="B520" s="96" t="str">
        <f>A520&amp;". When was the last time you paid a tax, fine, fee, or other payment to the government using "&amp;Institution!B6&amp;"?"</f>
        <v>AD5.13. When was the last time you paid a tax, fine, fee, or other payment to the government using a smartphone app?</v>
      </c>
      <c r="C520" s="82" t="s">
        <v>295</v>
      </c>
      <c r="D520" s="103" t="s">
        <v>30</v>
      </c>
      <c r="E520" s="103">
        <v>1</v>
      </c>
      <c r="F520" s="95" t="s">
        <v>543</v>
      </c>
      <c r="G520" s="76" t="str">
        <f t="shared" si="51"/>
        <v>AD5_13</v>
      </c>
    </row>
    <row r="521" spans="1:8" s="9" customFormat="1" ht="76.5">
      <c r="A521" s="103" t="s">
        <v>544</v>
      </c>
      <c r="B521" s="96" t="str">
        <f>A521&amp;". When was the last time you paid a tax, fine, fee, or other payment to the government using "&amp;Institution!B7&amp;"?"</f>
        <v>AD5.14. When was the last time you paid a tax, fine, fee, or other payment to the government using the *99# menu on a mobile phone?</v>
      </c>
      <c r="C521" s="82" t="s">
        <v>295</v>
      </c>
      <c r="D521" s="103" t="s">
        <v>30</v>
      </c>
      <c r="E521" s="103">
        <v>1</v>
      </c>
      <c r="F521" s="95" t="s">
        <v>545</v>
      </c>
      <c r="G521" s="76" t="str">
        <f t="shared" si="51"/>
        <v>AD5_14</v>
      </c>
    </row>
    <row r="522" spans="1:8" s="9" customFormat="1" ht="76.5">
      <c r="A522" s="103" t="s">
        <v>546</v>
      </c>
      <c r="B522" s="96" t="str">
        <f>A522&amp;". When was the last time you paid a tax, fine, fee, or other payment to the government using "&amp;Institution!B8&amp;"?"</f>
        <v>AD5.15. When was the last time you paid a tax, fine, fee, or other payment to the government using your Aadhaar number and also your fingerprint, iris scan, or a onetime password from your mobile phone?</v>
      </c>
      <c r="C522" s="82" t="s">
        <v>295</v>
      </c>
      <c r="D522" s="103" t="s">
        <v>30</v>
      </c>
      <c r="E522" s="103">
        <v>1</v>
      </c>
      <c r="F522" s="95" t="s">
        <v>547</v>
      </c>
      <c r="G522" s="76" t="str">
        <f t="shared" si="51"/>
        <v>AD5_15</v>
      </c>
    </row>
    <row r="523" spans="1:8" s="9" customFormat="1" ht="76.5">
      <c r="A523" s="103" t="s">
        <v>548</v>
      </c>
      <c r="B523" s="96" t="str">
        <f>A523&amp;". When was the last time you paid a tax, fine, fee, or other payment to the government using "&amp;Institution!B9&amp;"?"</f>
        <v>AD5.16. When was the last time you paid a tax, fine, fee, or other payment to the government using a Rupay, debit or credit card?</v>
      </c>
      <c r="C523" s="82" t="s">
        <v>295</v>
      </c>
      <c r="D523" s="103" t="s">
        <v>30</v>
      </c>
      <c r="E523" s="103">
        <v>1</v>
      </c>
      <c r="F523" s="95" t="s">
        <v>549</v>
      </c>
      <c r="G523" s="76" t="str">
        <f t="shared" si="51"/>
        <v>AD5_16</v>
      </c>
      <c r="H523" s="81"/>
    </row>
    <row r="524" spans="1:8" s="9" customFormat="1" ht="56.25" customHeight="1">
      <c r="A524" s="103" t="s">
        <v>550</v>
      </c>
      <c r="B524" s="96" t="str">
        <f>A524&amp;". When was the last time you paid a tax, fine, fee, or other payment to the government using cash?"</f>
        <v>AD5.17. When was the last time you paid a tax, fine, fee, or other payment to the government using cash?</v>
      </c>
      <c r="C524" s="82" t="s">
        <v>196</v>
      </c>
      <c r="D524" s="103" t="s">
        <v>30</v>
      </c>
      <c r="E524" s="103">
        <v>1</v>
      </c>
      <c r="F524" s="104" t="s">
        <v>551</v>
      </c>
      <c r="G524" s="76" t="str">
        <f t="shared" si="51"/>
        <v>AD5_17</v>
      </c>
    </row>
    <row r="525" spans="1:8" s="9" customFormat="1" ht="57" customHeight="1">
      <c r="A525" s="162" t="s">
        <v>1573</v>
      </c>
      <c r="B525" s="165"/>
      <c r="C525" s="165"/>
      <c r="D525" s="165"/>
      <c r="E525" s="165"/>
      <c r="F525" s="87" t="s">
        <v>15</v>
      </c>
      <c r="G525" s="87"/>
    </row>
    <row r="526" spans="1:8" s="9" customFormat="1" ht="14.25">
      <c r="A526" s="6" t="s">
        <v>4</v>
      </c>
      <c r="B526" s="7" t="s">
        <v>5</v>
      </c>
      <c r="C526" s="7" t="s">
        <v>6</v>
      </c>
      <c r="D526" s="6" t="s">
        <v>7</v>
      </c>
      <c r="E526" s="7" t="s">
        <v>8</v>
      </c>
      <c r="F526" s="7" t="s">
        <v>9</v>
      </c>
      <c r="G526" s="6" t="s">
        <v>10</v>
      </c>
    </row>
    <row r="527" spans="1:8" s="9" customFormat="1" ht="25.5">
      <c r="A527" s="103" t="s">
        <v>552</v>
      </c>
      <c r="B527" s="96" t="str">
        <f>A527&amp;". Have you ever received money from the government?"</f>
        <v>AD6. Have you ever received money from the government?</v>
      </c>
      <c r="C527" s="96" t="s">
        <v>137</v>
      </c>
      <c r="D527" s="103" t="s">
        <v>30</v>
      </c>
      <c r="E527" s="103">
        <v>1</v>
      </c>
      <c r="F527" s="104" t="s">
        <v>15</v>
      </c>
      <c r="G527" s="76" t="str">
        <f>SUBSTITUTE(A527,".","_")</f>
        <v>AD6</v>
      </c>
    </row>
    <row r="528" spans="1:8" s="9" customFormat="1" ht="25.5">
      <c r="A528" s="103" t="s">
        <v>553</v>
      </c>
      <c r="B528" s="96" t="str">
        <f>INDIA!A528&amp;". Have you ever received money from the government using "&amp;Institution!B2&amp;"?"</f>
        <v>AD6.1. Have you ever received money from the government using a bank?</v>
      </c>
      <c r="C528" s="96" t="s">
        <v>137</v>
      </c>
      <c r="D528" s="103" t="s">
        <v>30</v>
      </c>
      <c r="E528" s="103">
        <v>1</v>
      </c>
      <c r="F528" s="95" t="s">
        <v>554</v>
      </c>
      <c r="G528" s="76" t="str">
        <f t="shared" si="49"/>
        <v>AD6_1</v>
      </c>
    </row>
    <row r="529" spans="1:7" s="9" customFormat="1" ht="25.5">
      <c r="A529" s="103" t="s">
        <v>555</v>
      </c>
      <c r="B529" s="96" t="str">
        <f>INDIA!A529&amp;". Have you ever received money from the government using "&amp;Institution!B3&amp;"?"</f>
        <v>AD6.2. Have you ever received money from the government using a post office bank?</v>
      </c>
      <c r="C529" s="96" t="s">
        <v>137</v>
      </c>
      <c r="D529" s="103" t="s">
        <v>30</v>
      </c>
      <c r="E529" s="103">
        <v>1</v>
      </c>
      <c r="F529" s="95" t="s">
        <v>556</v>
      </c>
      <c r="G529" s="76" t="str">
        <f t="shared" si="49"/>
        <v>AD6_2</v>
      </c>
    </row>
    <row r="530" spans="1:7" s="9" customFormat="1" ht="25.5">
      <c r="A530" s="103" t="s">
        <v>557</v>
      </c>
      <c r="B530" s="96" t="str">
        <f>INDIA!A530&amp;". Have you ever received money from the government using "&amp;Institution!B4&amp;"?"</f>
        <v>AD6.3. Have you ever received money from the government using a payments bank?</v>
      </c>
      <c r="C530" s="96" t="s">
        <v>137</v>
      </c>
      <c r="D530" s="103" t="s">
        <v>30</v>
      </c>
      <c r="E530" s="103">
        <v>1</v>
      </c>
      <c r="F530" s="95" t="s">
        <v>558</v>
      </c>
      <c r="G530" s="76" t="str">
        <f t="shared" si="49"/>
        <v>AD6_3</v>
      </c>
    </row>
    <row r="531" spans="1:7" s="9" customFormat="1" ht="25.5">
      <c r="A531" s="103" t="s">
        <v>559</v>
      </c>
      <c r="B531" s="96" t="str">
        <f>INDIA!A531&amp;". Have you ever received money from the government using "&amp;Institution!B5&amp;"?"</f>
        <v>AD6.4. Have you ever received money from the government using a mobile money service?</v>
      </c>
      <c r="C531" s="96" t="s">
        <v>137</v>
      </c>
      <c r="D531" s="103" t="s">
        <v>30</v>
      </c>
      <c r="E531" s="103">
        <v>1</v>
      </c>
      <c r="F531" s="95" t="s">
        <v>560</v>
      </c>
      <c r="G531" s="76" t="str">
        <f t="shared" si="49"/>
        <v>AD6_4</v>
      </c>
    </row>
    <row r="532" spans="1:7" s="9" customFormat="1" ht="25.5">
      <c r="A532" s="103" t="s">
        <v>561</v>
      </c>
      <c r="B532" s="96" t="str">
        <f>INDIA!A532&amp;". Have you ever received money from the government using "&amp;Institution!B6&amp;"?"</f>
        <v>AD6.5. Have you ever received money from the government using a smartphone app?</v>
      </c>
      <c r="C532" s="96" t="s">
        <v>137</v>
      </c>
      <c r="D532" s="103" t="s">
        <v>30</v>
      </c>
      <c r="E532" s="103">
        <v>1</v>
      </c>
      <c r="F532" s="95" t="s">
        <v>562</v>
      </c>
      <c r="G532" s="76" t="str">
        <f t="shared" si="49"/>
        <v>AD6_5</v>
      </c>
    </row>
    <row r="533" spans="1:7" s="9" customFormat="1" ht="25.5">
      <c r="A533" s="103" t="s">
        <v>563</v>
      </c>
      <c r="B533" s="96" t="str">
        <f>INDIA!A533&amp;". Have you ever received money from the government using "&amp;Institution!B7&amp;"?"</f>
        <v>AD6.6. Have you ever received money from the government using the *99# menu on a mobile phone?</v>
      </c>
      <c r="C533" s="96" t="s">
        <v>137</v>
      </c>
      <c r="D533" s="103" t="s">
        <v>30</v>
      </c>
      <c r="E533" s="103">
        <v>1</v>
      </c>
      <c r="F533" s="95" t="s">
        <v>564</v>
      </c>
      <c r="G533" s="76" t="str">
        <f t="shared" si="49"/>
        <v>AD6_6</v>
      </c>
    </row>
    <row r="534" spans="1:7" s="9" customFormat="1" ht="25.5">
      <c r="A534" s="103" t="s">
        <v>565</v>
      </c>
      <c r="B534" s="96" t="str">
        <f>INDIA!A534&amp;". Have you ever received money from the government using "&amp;Institution!B8&amp;"?"</f>
        <v>AD6.7. Have you ever received money from the government using your Aadhaar number and also your fingerprint, iris scan, or a onetime password from your mobile phone?</v>
      </c>
      <c r="C534" s="96" t="s">
        <v>137</v>
      </c>
      <c r="D534" s="103" t="s">
        <v>30</v>
      </c>
      <c r="E534" s="103">
        <v>1</v>
      </c>
      <c r="F534" s="95" t="s">
        <v>566</v>
      </c>
      <c r="G534" s="76" t="str">
        <f t="shared" si="49"/>
        <v>AD6_7</v>
      </c>
    </row>
    <row r="535" spans="1:7" s="9" customFormat="1" ht="76.5">
      <c r="A535" s="103" t="s">
        <v>567</v>
      </c>
      <c r="B535" s="96" t="str">
        <f>INDIA!A535&amp;". When was the last time you received money from the government using "&amp;Institution!B2&amp;"?"</f>
        <v>AD6.9. When was the last time you received money from the government using a bank?</v>
      </c>
      <c r="C535" s="82" t="s">
        <v>295</v>
      </c>
      <c r="D535" s="103" t="s">
        <v>30</v>
      </c>
      <c r="E535" s="103">
        <v>1</v>
      </c>
      <c r="F535" s="95" t="s">
        <v>568</v>
      </c>
      <c r="G535" s="76" t="str">
        <f t="shared" ref="G535:G542" si="52">SUBSTITUTE(A535,".","_")</f>
        <v>AD6_9</v>
      </c>
    </row>
    <row r="536" spans="1:7" s="9" customFormat="1" ht="76.5">
      <c r="A536" s="103" t="s">
        <v>569</v>
      </c>
      <c r="B536" s="96" t="str">
        <f>INDIA!A536&amp;". When was the last time you received money from the government using "&amp;Institution!B3&amp;"?"</f>
        <v>AD6.10. When was the last time you received money from the government using a post office bank?</v>
      </c>
      <c r="C536" s="82" t="s">
        <v>295</v>
      </c>
      <c r="D536" s="103" t="s">
        <v>30</v>
      </c>
      <c r="E536" s="103">
        <v>1</v>
      </c>
      <c r="F536" s="95" t="s">
        <v>570</v>
      </c>
      <c r="G536" s="76" t="str">
        <f t="shared" si="52"/>
        <v>AD6_10</v>
      </c>
    </row>
    <row r="537" spans="1:7" s="9" customFormat="1" ht="76.5">
      <c r="A537" s="103" t="s">
        <v>571</v>
      </c>
      <c r="B537" s="96" t="str">
        <f>INDIA!A537&amp;". When was the last time you received money from the government using "&amp;Institution!B4&amp;"?"</f>
        <v>AD6.11. When was the last time you received money from the government using a payments bank?</v>
      </c>
      <c r="C537" s="82" t="s">
        <v>295</v>
      </c>
      <c r="D537" s="103" t="s">
        <v>30</v>
      </c>
      <c r="E537" s="103">
        <v>1</v>
      </c>
      <c r="F537" s="95" t="s">
        <v>572</v>
      </c>
      <c r="G537" s="76" t="str">
        <f t="shared" si="52"/>
        <v>AD6_11</v>
      </c>
    </row>
    <row r="538" spans="1:7" s="9" customFormat="1" ht="76.5">
      <c r="A538" s="103" t="s">
        <v>573</v>
      </c>
      <c r="B538" s="96" t="str">
        <f>INDIA!A538&amp;". When was the last time you received money from the government using "&amp;Institution!B5&amp;"?"</f>
        <v>AD6.12. When was the last time you received money from the government using a mobile money service?</v>
      </c>
      <c r="C538" s="82" t="s">
        <v>295</v>
      </c>
      <c r="D538" s="103" t="s">
        <v>30</v>
      </c>
      <c r="E538" s="103">
        <v>1</v>
      </c>
      <c r="F538" s="95" t="s">
        <v>574</v>
      </c>
      <c r="G538" s="76" t="str">
        <f t="shared" si="52"/>
        <v>AD6_12</v>
      </c>
    </row>
    <row r="539" spans="1:7" s="9" customFormat="1" ht="76.5">
      <c r="A539" s="103" t="s">
        <v>575</v>
      </c>
      <c r="B539" s="96" t="str">
        <f>INDIA!A539&amp;". When was the last time you received money from the government using "&amp;Institution!B6&amp;"?"</f>
        <v>AD6.13. When was the last time you received money from the government using a smartphone app?</v>
      </c>
      <c r="C539" s="82" t="s">
        <v>295</v>
      </c>
      <c r="D539" s="103" t="s">
        <v>30</v>
      </c>
      <c r="E539" s="103">
        <v>1</v>
      </c>
      <c r="F539" s="95" t="s">
        <v>576</v>
      </c>
      <c r="G539" s="76" t="str">
        <f t="shared" si="52"/>
        <v>AD6_13</v>
      </c>
    </row>
    <row r="540" spans="1:7" s="9" customFormat="1" ht="76.5">
      <c r="A540" s="103" t="s">
        <v>577</v>
      </c>
      <c r="B540" s="96" t="str">
        <f>INDIA!A540&amp;". When was the last time you received money from the government using "&amp;Institution!B7&amp;"?"</f>
        <v>AD6.14. When was the last time you received money from the government using the *99# menu on a mobile phone?</v>
      </c>
      <c r="C540" s="82" t="s">
        <v>295</v>
      </c>
      <c r="D540" s="103" t="s">
        <v>30</v>
      </c>
      <c r="E540" s="103">
        <v>1</v>
      </c>
      <c r="F540" s="95" t="s">
        <v>578</v>
      </c>
      <c r="G540" s="76" t="str">
        <f t="shared" si="52"/>
        <v>AD6_14</v>
      </c>
    </row>
    <row r="541" spans="1:7" s="9" customFormat="1" ht="76.5">
      <c r="A541" s="103" t="s">
        <v>579</v>
      </c>
      <c r="B541" s="96" t="str">
        <f>INDIA!A541&amp;". When was the last time you received money from the government using "&amp;Institution!B8&amp;"?"</f>
        <v>AD6.15. When was the last time you received money from the government using your Aadhaar number and also your fingerprint, iris scan, or a onetime password from your mobile phone?</v>
      </c>
      <c r="C541" s="82" t="s">
        <v>295</v>
      </c>
      <c r="D541" s="103" t="s">
        <v>30</v>
      </c>
      <c r="E541" s="103">
        <v>1</v>
      </c>
      <c r="F541" s="95" t="s">
        <v>580</v>
      </c>
      <c r="G541" s="76" t="str">
        <f t="shared" si="52"/>
        <v>AD6_15</v>
      </c>
    </row>
    <row r="542" spans="1:7" s="9" customFormat="1" ht="72.75" customHeight="1">
      <c r="A542" s="103" t="s">
        <v>581</v>
      </c>
      <c r="B542" s="96" t="str">
        <f>INDIA!A542&amp;". When was the last time you received money from the government using cash?"</f>
        <v>AD6.17. When was the last time you received money from the government using cash?</v>
      </c>
      <c r="C542" s="82" t="s">
        <v>196</v>
      </c>
      <c r="D542" s="103" t="s">
        <v>30</v>
      </c>
      <c r="E542" s="103">
        <v>1</v>
      </c>
      <c r="F542" s="95" t="s">
        <v>582</v>
      </c>
      <c r="G542" s="76" t="str">
        <f t="shared" si="52"/>
        <v>AD6_17</v>
      </c>
    </row>
    <row r="543" spans="1:7" s="9" customFormat="1" ht="66" customHeight="1">
      <c r="A543" s="162" t="s">
        <v>1574</v>
      </c>
      <c r="B543" s="162"/>
      <c r="C543" s="162"/>
      <c r="D543" s="162"/>
      <c r="E543" s="162"/>
      <c r="F543" s="87" t="s">
        <v>15</v>
      </c>
      <c r="G543" s="87"/>
    </row>
    <row r="544" spans="1:7" s="9" customFormat="1" ht="14.25">
      <c r="A544" s="6" t="s">
        <v>4</v>
      </c>
      <c r="B544" s="7" t="s">
        <v>5</v>
      </c>
      <c r="C544" s="7" t="s">
        <v>6</v>
      </c>
      <c r="D544" s="6" t="s">
        <v>7</v>
      </c>
      <c r="E544" s="7" t="s">
        <v>8</v>
      </c>
      <c r="F544" s="7" t="s">
        <v>9</v>
      </c>
      <c r="G544" s="6" t="s">
        <v>10</v>
      </c>
    </row>
    <row r="545" spans="1:8" s="9" customFormat="1" ht="25.5">
      <c r="A545" s="103" t="s">
        <v>583</v>
      </c>
      <c r="B545" s="96" t="str">
        <f>A545&amp;". Have you ever received payment from an employer?"</f>
        <v>AD7. Have you ever received payment from an employer?</v>
      </c>
      <c r="C545" s="96" t="s">
        <v>137</v>
      </c>
      <c r="D545" s="103" t="s">
        <v>30</v>
      </c>
      <c r="E545" s="103">
        <v>1</v>
      </c>
      <c r="F545" s="95" t="s">
        <v>15</v>
      </c>
      <c r="G545" s="76" t="str">
        <f>SUBSTITUTE(A545,".","_")</f>
        <v>AD7</v>
      </c>
    </row>
    <row r="546" spans="1:8" s="9" customFormat="1" ht="25.5">
      <c r="A546" s="103" t="s">
        <v>584</v>
      </c>
      <c r="B546" s="96" t="str">
        <f>A546&amp;". Have you ever received payment from an employer using "&amp;Institution!B2&amp;"?"</f>
        <v>AD7.1. Have you ever received payment from an employer using a bank?</v>
      </c>
      <c r="C546" s="96" t="s">
        <v>137</v>
      </c>
      <c r="D546" s="103" t="s">
        <v>30</v>
      </c>
      <c r="E546" s="103">
        <v>1</v>
      </c>
      <c r="F546" s="95" t="s">
        <v>585</v>
      </c>
      <c r="G546" s="76" t="str">
        <f t="shared" si="49"/>
        <v>AD7_1</v>
      </c>
    </row>
    <row r="547" spans="1:8" s="9" customFormat="1" ht="25.5">
      <c r="A547" s="103" t="s">
        <v>586</v>
      </c>
      <c r="B547" s="96" t="str">
        <f>A547&amp;". Have you ever received payment from an employer using "&amp;Institution!B3&amp;"?"</f>
        <v>AD7.2. Have you ever received payment from an employer using a post office bank?</v>
      </c>
      <c r="C547" s="96" t="s">
        <v>137</v>
      </c>
      <c r="D547" s="103" t="s">
        <v>30</v>
      </c>
      <c r="E547" s="103">
        <v>1</v>
      </c>
      <c r="F547" s="95" t="s">
        <v>587</v>
      </c>
      <c r="G547" s="76" t="str">
        <f t="shared" si="49"/>
        <v>AD7_2</v>
      </c>
    </row>
    <row r="548" spans="1:8" s="9" customFormat="1" ht="25.5">
      <c r="A548" s="103" t="s">
        <v>588</v>
      </c>
      <c r="B548" s="96" t="str">
        <f>A548&amp;". Have you ever received payment from an employer using "&amp;Institution!B4&amp;"?"</f>
        <v>AD7.3. Have you ever received payment from an employer using a payments bank?</v>
      </c>
      <c r="C548" s="96" t="s">
        <v>137</v>
      </c>
      <c r="D548" s="103" t="s">
        <v>30</v>
      </c>
      <c r="E548" s="103">
        <v>1</v>
      </c>
      <c r="F548" s="95" t="s">
        <v>589</v>
      </c>
      <c r="G548" s="76" t="str">
        <f t="shared" si="49"/>
        <v>AD7_3</v>
      </c>
    </row>
    <row r="549" spans="1:8" s="9" customFormat="1" ht="25.5">
      <c r="A549" s="103" t="s">
        <v>590</v>
      </c>
      <c r="B549" s="96" t="str">
        <f>A549&amp;". Have you ever received payment from an employer using "&amp;Institution!B5&amp;"?"</f>
        <v>AD7.4. Have you ever received payment from an employer using a mobile money service?</v>
      </c>
      <c r="C549" s="96" t="s">
        <v>137</v>
      </c>
      <c r="D549" s="103" t="s">
        <v>30</v>
      </c>
      <c r="E549" s="103">
        <v>1</v>
      </c>
      <c r="F549" s="95" t="s">
        <v>591</v>
      </c>
      <c r="G549" s="76" t="str">
        <f t="shared" si="49"/>
        <v>AD7_4</v>
      </c>
    </row>
    <row r="550" spans="1:8" s="9" customFormat="1" ht="25.5">
      <c r="A550" s="103" t="s">
        <v>592</v>
      </c>
      <c r="B550" s="96" t="str">
        <f>A550&amp;". Have you ever received payment from an employer using "&amp;Institution!B6&amp;"?"</f>
        <v>AD7.5. Have you ever received payment from an employer using a smartphone app?</v>
      </c>
      <c r="C550" s="96" t="s">
        <v>137</v>
      </c>
      <c r="D550" s="103" t="s">
        <v>30</v>
      </c>
      <c r="E550" s="103">
        <v>1</v>
      </c>
      <c r="F550" s="95" t="s">
        <v>593</v>
      </c>
      <c r="G550" s="76" t="str">
        <f t="shared" si="49"/>
        <v>AD7_5</v>
      </c>
    </row>
    <row r="551" spans="1:8" s="9" customFormat="1" ht="25.5">
      <c r="A551" s="103" t="s">
        <v>594</v>
      </c>
      <c r="B551" s="96" t="str">
        <f>A551&amp;". Have you ever received payment from an employer using "&amp;Institution!B7&amp;"?"</f>
        <v>AD7.6. Have you ever received payment from an employer using the *99# menu on a mobile phone?</v>
      </c>
      <c r="C551" s="96" t="s">
        <v>137</v>
      </c>
      <c r="D551" s="103" t="s">
        <v>30</v>
      </c>
      <c r="E551" s="103">
        <v>1</v>
      </c>
      <c r="F551" s="95" t="s">
        <v>595</v>
      </c>
      <c r="G551" s="76" t="str">
        <f t="shared" si="49"/>
        <v>AD7_6</v>
      </c>
    </row>
    <row r="552" spans="1:8" s="9" customFormat="1" ht="25.5">
      <c r="A552" s="103" t="s">
        <v>596</v>
      </c>
      <c r="B552" s="96" t="str">
        <f>A552&amp;". Have you ever received payment from an employer using "&amp;Institution!B8&amp;"?"</f>
        <v>AD7.7. Have you ever received payment from an employer using your Aadhaar number and also your fingerprint, iris scan, or a onetime password from your mobile phone?</v>
      </c>
      <c r="C552" s="96" t="s">
        <v>137</v>
      </c>
      <c r="D552" s="103" t="s">
        <v>30</v>
      </c>
      <c r="E552" s="103">
        <v>1</v>
      </c>
      <c r="F552" s="95" t="s">
        <v>597</v>
      </c>
      <c r="G552" s="76" t="str">
        <f t="shared" si="49"/>
        <v>AD7_7</v>
      </c>
    </row>
    <row r="553" spans="1:8" s="9" customFormat="1" ht="76.5">
      <c r="A553" s="103" t="s">
        <v>598</v>
      </c>
      <c r="B553" s="96" t="str">
        <f>A553&amp;". When was the last time you received payment from an employer using "&amp;Institution!B2&amp;"?"</f>
        <v>AD7.9. When was the last time you received payment from an employer using a bank?</v>
      </c>
      <c r="C553" s="82" t="s">
        <v>295</v>
      </c>
      <c r="D553" s="103" t="s">
        <v>30</v>
      </c>
      <c r="E553" s="103">
        <v>1</v>
      </c>
      <c r="F553" s="95" t="s">
        <v>599</v>
      </c>
      <c r="G553" s="76" t="str">
        <f t="shared" ref="G553:G560" si="53">SUBSTITUTE(A553,".","_")</f>
        <v>AD7_9</v>
      </c>
    </row>
    <row r="554" spans="1:8" s="9" customFormat="1" ht="76.5">
      <c r="A554" s="103" t="s">
        <v>600</v>
      </c>
      <c r="B554" s="96" t="str">
        <f>A554&amp;". When was the last time you received payment from an employer using "&amp;Institution!B3&amp;"?"</f>
        <v>AD7.10. When was the last time you received payment from an employer using a post office bank?</v>
      </c>
      <c r="C554" s="82" t="s">
        <v>295</v>
      </c>
      <c r="D554" s="103" t="s">
        <v>30</v>
      </c>
      <c r="E554" s="103">
        <v>1</v>
      </c>
      <c r="F554" s="95" t="s">
        <v>601</v>
      </c>
      <c r="G554" s="76" t="str">
        <f t="shared" si="53"/>
        <v>AD7_10</v>
      </c>
    </row>
    <row r="555" spans="1:8" s="9" customFormat="1" ht="76.5">
      <c r="A555" s="103" t="s">
        <v>602</v>
      </c>
      <c r="B555" s="96" t="str">
        <f>A555&amp;". When was the last time you received payment from an employer using "&amp;Institution!B4&amp;"?"</f>
        <v>AD7.11. When was the last time you received payment from an employer using a payments bank?</v>
      </c>
      <c r="C555" s="82" t="s">
        <v>295</v>
      </c>
      <c r="D555" s="103" t="s">
        <v>30</v>
      </c>
      <c r="E555" s="103">
        <v>1</v>
      </c>
      <c r="F555" s="95" t="s">
        <v>603</v>
      </c>
      <c r="G555" s="76" t="str">
        <f t="shared" si="53"/>
        <v>AD7_11</v>
      </c>
    </row>
    <row r="556" spans="1:8" s="9" customFormat="1" ht="76.5">
      <c r="A556" s="103" t="s">
        <v>604</v>
      </c>
      <c r="B556" s="96" t="str">
        <f>A556&amp;". When was the last time you received payment from an employer using "&amp;Institution!B5&amp;"?"</f>
        <v>AD7.12. When was the last time you received payment from an employer using a mobile money service?</v>
      </c>
      <c r="C556" s="82" t="s">
        <v>295</v>
      </c>
      <c r="D556" s="103" t="s">
        <v>30</v>
      </c>
      <c r="E556" s="103">
        <v>1</v>
      </c>
      <c r="F556" s="95" t="s">
        <v>605</v>
      </c>
      <c r="G556" s="76" t="str">
        <f t="shared" si="53"/>
        <v>AD7_12</v>
      </c>
    </row>
    <row r="557" spans="1:8" s="9" customFormat="1" ht="76.5">
      <c r="A557" s="103" t="s">
        <v>606</v>
      </c>
      <c r="B557" s="96" t="str">
        <f>A557&amp;". When was the last time you received payment from an employer using "&amp;Institution!B6&amp;"?"</f>
        <v>AD7.13. When was the last time you received payment from an employer using a smartphone app?</v>
      </c>
      <c r="C557" s="82" t="s">
        <v>295</v>
      </c>
      <c r="D557" s="103" t="s">
        <v>30</v>
      </c>
      <c r="E557" s="103">
        <v>1</v>
      </c>
      <c r="F557" s="95" t="s">
        <v>607</v>
      </c>
      <c r="G557" s="76" t="str">
        <f t="shared" si="53"/>
        <v>AD7_13</v>
      </c>
    </row>
    <row r="558" spans="1:8" s="9" customFormat="1" ht="76.5">
      <c r="A558" s="103" t="s">
        <v>608</v>
      </c>
      <c r="B558" s="96" t="str">
        <f>A558&amp;". When was the last time you received payment from an employer using "&amp;Institution!B7&amp;"?"</f>
        <v>AD7.14. When was the last time you received payment from an employer using the *99# menu on a mobile phone?</v>
      </c>
      <c r="C558" s="82" t="s">
        <v>295</v>
      </c>
      <c r="D558" s="103" t="s">
        <v>30</v>
      </c>
      <c r="E558" s="103">
        <v>1</v>
      </c>
      <c r="F558" s="95" t="s">
        <v>609</v>
      </c>
      <c r="G558" s="76" t="str">
        <f t="shared" si="53"/>
        <v>AD7_14</v>
      </c>
    </row>
    <row r="559" spans="1:8" s="9" customFormat="1" ht="76.5">
      <c r="A559" s="103" t="s">
        <v>610</v>
      </c>
      <c r="B559" s="96" t="str">
        <f>A559&amp;". When was the last time you received payment from an employer using "&amp;Institution!B8&amp;"?"</f>
        <v>AD7.15. When was the last time you received payment from an employer using your Aadhaar number and also your fingerprint, iris scan, or a onetime password from your mobile phone?</v>
      </c>
      <c r="C559" s="82" t="s">
        <v>295</v>
      </c>
      <c r="D559" s="103" t="s">
        <v>30</v>
      </c>
      <c r="E559" s="103">
        <v>1</v>
      </c>
      <c r="F559" s="95" t="s">
        <v>611</v>
      </c>
      <c r="G559" s="76" t="str">
        <f t="shared" si="53"/>
        <v>AD7_15</v>
      </c>
      <c r="H559" s="81"/>
    </row>
    <row r="560" spans="1:8" s="9" customFormat="1" ht="81" customHeight="1">
      <c r="A560" s="103" t="s">
        <v>612</v>
      </c>
      <c r="B560" s="96" t="str">
        <f>A560&amp;". When was the last time you received payment from an employer in cash?"</f>
        <v>AD7.17. When was the last time you received payment from an employer in cash?</v>
      </c>
      <c r="C560" s="82" t="s">
        <v>196</v>
      </c>
      <c r="D560" s="103" t="s">
        <v>30</v>
      </c>
      <c r="E560" s="103">
        <v>1</v>
      </c>
      <c r="F560" s="95" t="s">
        <v>613</v>
      </c>
      <c r="G560" s="76" t="str">
        <f t="shared" si="53"/>
        <v>AD7_17</v>
      </c>
    </row>
    <row r="561" spans="1:7" s="9" customFormat="1" ht="36" customHeight="1">
      <c r="A561" s="162" t="s">
        <v>1575</v>
      </c>
      <c r="B561" s="162"/>
      <c r="C561" s="162"/>
      <c r="D561" s="162"/>
      <c r="E561" s="162"/>
      <c r="F561" s="102" t="s">
        <v>15</v>
      </c>
      <c r="G561" s="102"/>
    </row>
    <row r="562" spans="1:7" s="9" customFormat="1" ht="14.25">
      <c r="A562" s="6" t="s">
        <v>4</v>
      </c>
      <c r="B562" s="7" t="s">
        <v>5</v>
      </c>
      <c r="C562" s="7" t="s">
        <v>6</v>
      </c>
      <c r="D562" s="6" t="s">
        <v>7</v>
      </c>
      <c r="E562" s="7" t="s">
        <v>8</v>
      </c>
      <c r="F562" s="7" t="s">
        <v>9</v>
      </c>
      <c r="G562" s="6" t="s">
        <v>10</v>
      </c>
    </row>
    <row r="563" spans="1:7" s="9" customFormat="1" ht="25.5">
      <c r="A563" s="103" t="s">
        <v>626</v>
      </c>
      <c r="B563" s="96" t="str">
        <f>A563&amp;". Have you ever "&amp;Activity!A8&amp;"?"</f>
        <v>AD8. Have you ever paid for insurance or received payment from insurance?</v>
      </c>
      <c r="C563" s="96" t="s">
        <v>137</v>
      </c>
      <c r="D563" s="103" t="s">
        <v>30</v>
      </c>
      <c r="E563" s="103">
        <v>1</v>
      </c>
      <c r="F563" s="82" t="s">
        <v>15</v>
      </c>
      <c r="G563" s="76" t="str">
        <f>SUBSTITUTE(A563,".","_")</f>
        <v>AD8</v>
      </c>
    </row>
    <row r="564" spans="1:7" s="9" customFormat="1" ht="25.5">
      <c r="A564" s="103" t="s">
        <v>627</v>
      </c>
      <c r="B564" s="96" t="str">
        <f>A564&amp;". Have you ever paid for insurance or received payment from insurance using "&amp;Institution!B2&amp;"?"</f>
        <v>AD8.1. Have you ever paid for insurance or received payment from insurance using a bank?</v>
      </c>
      <c r="C564" s="96" t="s">
        <v>137</v>
      </c>
      <c r="D564" s="103" t="s">
        <v>30</v>
      </c>
      <c r="E564" s="103">
        <v>1</v>
      </c>
      <c r="F564" s="95" t="s">
        <v>628</v>
      </c>
      <c r="G564" s="76" t="str">
        <f t="shared" si="49"/>
        <v>AD8_1</v>
      </c>
    </row>
    <row r="565" spans="1:7" s="9" customFormat="1" ht="25.5">
      <c r="A565" s="103" t="s">
        <v>629</v>
      </c>
      <c r="B565" s="96" t="str">
        <f>A565&amp;". Have you ever paid for insurance or received payment from insurance using "&amp;Institution!B3&amp;"?"</f>
        <v>AD8.2. Have you ever paid for insurance or received payment from insurance using a post office bank?</v>
      </c>
      <c r="C565" s="96" t="s">
        <v>137</v>
      </c>
      <c r="D565" s="103" t="s">
        <v>30</v>
      </c>
      <c r="E565" s="103">
        <v>1</v>
      </c>
      <c r="F565" s="95" t="s">
        <v>630</v>
      </c>
      <c r="G565" s="76" t="str">
        <f t="shared" si="49"/>
        <v>AD8_2</v>
      </c>
    </row>
    <row r="566" spans="1:7" s="9" customFormat="1" ht="25.5">
      <c r="A566" s="103" t="s">
        <v>631</v>
      </c>
      <c r="B566" s="96" t="str">
        <f>A566&amp;". Have you ever paid for insurance or received payment from insurance using "&amp;Institution!B4&amp;"?"</f>
        <v>AD8.3. Have you ever paid for insurance or received payment from insurance using a payments bank?</v>
      </c>
      <c r="C566" s="96" t="s">
        <v>137</v>
      </c>
      <c r="D566" s="103" t="s">
        <v>30</v>
      </c>
      <c r="E566" s="103">
        <v>1</v>
      </c>
      <c r="F566" s="95" t="s">
        <v>632</v>
      </c>
      <c r="G566" s="76" t="str">
        <f t="shared" si="49"/>
        <v>AD8_3</v>
      </c>
    </row>
    <row r="567" spans="1:7" s="9" customFormat="1" ht="25.5">
      <c r="A567" s="103" t="s">
        <v>633</v>
      </c>
      <c r="B567" s="96" t="str">
        <f>A567&amp;". Have you ever paid for insurance or received payment from insurance using "&amp;Institution!B5&amp;"?"</f>
        <v>AD8.4. Have you ever paid for insurance or received payment from insurance using a mobile money service?</v>
      </c>
      <c r="C567" s="96" t="s">
        <v>137</v>
      </c>
      <c r="D567" s="103" t="s">
        <v>30</v>
      </c>
      <c r="E567" s="103">
        <v>1</v>
      </c>
      <c r="F567" s="95" t="s">
        <v>634</v>
      </c>
      <c r="G567" s="76" t="str">
        <f t="shared" si="49"/>
        <v>AD8_4</v>
      </c>
    </row>
    <row r="568" spans="1:7" s="9" customFormat="1" ht="25.5">
      <c r="A568" s="103" t="s">
        <v>635</v>
      </c>
      <c r="B568" s="96" t="str">
        <f>A568&amp;". Have you ever paid for insurance or received payment from insurance using "&amp;Institution!B6&amp;"?"</f>
        <v>AD8.5. Have you ever paid for insurance or received payment from insurance using a smartphone app?</v>
      </c>
      <c r="C568" s="96" t="s">
        <v>137</v>
      </c>
      <c r="D568" s="103" t="s">
        <v>30</v>
      </c>
      <c r="E568" s="103">
        <v>1</v>
      </c>
      <c r="F568" s="95" t="s">
        <v>636</v>
      </c>
      <c r="G568" s="76" t="str">
        <f t="shared" si="49"/>
        <v>AD8_5</v>
      </c>
    </row>
    <row r="569" spans="1:7" s="9" customFormat="1" ht="25.5">
      <c r="A569" s="103" t="s">
        <v>637</v>
      </c>
      <c r="B569" s="96" t="str">
        <f>A569&amp;". Have you ever paid for insurance or received payment from insurance using "&amp;Institution!B7&amp;"?"</f>
        <v>AD8.6. Have you ever paid for insurance or received payment from insurance using the *99# menu on a mobile phone?</v>
      </c>
      <c r="C569" s="96" t="s">
        <v>137</v>
      </c>
      <c r="D569" s="103" t="s">
        <v>30</v>
      </c>
      <c r="E569" s="103">
        <v>1</v>
      </c>
      <c r="F569" s="95" t="s">
        <v>638</v>
      </c>
      <c r="G569" s="76" t="str">
        <f t="shared" si="49"/>
        <v>AD8_6</v>
      </c>
    </row>
    <row r="570" spans="1:7" s="9" customFormat="1" ht="38.25">
      <c r="A570" s="103" t="s">
        <v>639</v>
      </c>
      <c r="B570" s="96" t="str">
        <f>A570&amp;". Have you ever paid for insurance or received payment from insurance using "&amp;Institution!B8&amp;"?"</f>
        <v>AD8.7. Have you ever paid for insurance or received payment from insurance using your Aadhaar number and also your fingerprint, iris scan, or a onetime password from your mobile phone?</v>
      </c>
      <c r="C570" s="96" t="s">
        <v>137</v>
      </c>
      <c r="D570" s="103" t="s">
        <v>30</v>
      </c>
      <c r="E570" s="103">
        <v>1</v>
      </c>
      <c r="F570" s="95" t="s">
        <v>640</v>
      </c>
      <c r="G570" s="76" t="str">
        <f t="shared" si="49"/>
        <v>AD8_7</v>
      </c>
    </row>
    <row r="571" spans="1:7" s="9" customFormat="1" ht="25.5">
      <c r="A571" s="103" t="s">
        <v>641</v>
      </c>
      <c r="B571" s="96" t="str">
        <f>A571&amp;". Have you ever paid for insurance or received payment from insurance using "&amp;Institution!B9&amp;"?"</f>
        <v>AD8.8. Have you ever paid for insurance or received payment from insurance using a Rupay, debit or credit card?</v>
      </c>
      <c r="C571" s="96" t="s">
        <v>137</v>
      </c>
      <c r="D571" s="103" t="s">
        <v>30</v>
      </c>
      <c r="E571" s="103">
        <v>1</v>
      </c>
      <c r="F571" s="95" t="s">
        <v>1329</v>
      </c>
      <c r="G571" s="76" t="str">
        <f t="shared" si="49"/>
        <v>AD8_8</v>
      </c>
    </row>
    <row r="572" spans="1:7" s="9" customFormat="1" ht="76.5">
      <c r="A572" s="103" t="s">
        <v>643</v>
      </c>
      <c r="B572" s="96" t="str">
        <f>A572&amp;". When was the last time you paid for insurance or received payment from insurance using "&amp;Institution!B2&amp;"?"</f>
        <v>AD8.9. When was the last time you paid for insurance or received payment from insurance using a bank?</v>
      </c>
      <c r="C572" s="82" t="s">
        <v>295</v>
      </c>
      <c r="D572" s="103" t="s">
        <v>30</v>
      </c>
      <c r="E572" s="103">
        <v>1</v>
      </c>
      <c r="F572" s="95" t="s">
        <v>642</v>
      </c>
      <c r="G572" s="76" t="str">
        <f t="shared" ref="G572:G579" si="54">SUBSTITUTE(A572,".","_")</f>
        <v>AD8_9</v>
      </c>
    </row>
    <row r="573" spans="1:7" s="9" customFormat="1" ht="76.5">
      <c r="A573" s="103" t="s">
        <v>645</v>
      </c>
      <c r="B573" s="96" t="str">
        <f>A573&amp;". When was the last time you paid for insurance or received payment from insurance using "&amp;Institution!B3&amp;"?"</f>
        <v>AD8.10. When was the last time you paid for insurance or received payment from insurance using a post office bank?</v>
      </c>
      <c r="C573" s="82" t="s">
        <v>295</v>
      </c>
      <c r="D573" s="103" t="s">
        <v>30</v>
      </c>
      <c r="E573" s="103">
        <v>1</v>
      </c>
      <c r="F573" s="95" t="s">
        <v>644</v>
      </c>
      <c r="G573" s="76" t="str">
        <f t="shared" si="54"/>
        <v>AD8_10</v>
      </c>
    </row>
    <row r="574" spans="1:7" s="9" customFormat="1" ht="76.5">
      <c r="A574" s="103" t="s">
        <v>647</v>
      </c>
      <c r="B574" s="96" t="str">
        <f>A574&amp;". When was the last time you paid for insurance or received payment from insurance using "&amp;Institution!B4&amp;"?"</f>
        <v>AD8.11. When was the last time you paid for insurance or received payment from insurance using a payments bank?</v>
      </c>
      <c r="C574" s="82" t="s">
        <v>295</v>
      </c>
      <c r="D574" s="103" t="s">
        <v>30</v>
      </c>
      <c r="E574" s="103">
        <v>1</v>
      </c>
      <c r="F574" s="95" t="s">
        <v>646</v>
      </c>
      <c r="G574" s="76" t="str">
        <f t="shared" si="54"/>
        <v>AD8_11</v>
      </c>
    </row>
    <row r="575" spans="1:7" s="9" customFormat="1" ht="76.5">
      <c r="A575" s="103" t="s">
        <v>649</v>
      </c>
      <c r="B575" s="96" t="str">
        <f>A575&amp;". When was the last time you paid for insurance or received payment from insurance using "&amp;Institution!B5&amp;"?"</f>
        <v>AD8.12. When was the last time you paid for insurance or received payment from insurance using a mobile money service?</v>
      </c>
      <c r="C575" s="82" t="s">
        <v>295</v>
      </c>
      <c r="D575" s="103" t="s">
        <v>30</v>
      </c>
      <c r="E575" s="103">
        <v>1</v>
      </c>
      <c r="F575" s="95" t="s">
        <v>648</v>
      </c>
      <c r="G575" s="76" t="str">
        <f t="shared" si="54"/>
        <v>AD8_12</v>
      </c>
    </row>
    <row r="576" spans="1:7" s="9" customFormat="1" ht="76.5">
      <c r="A576" s="103" t="s">
        <v>651</v>
      </c>
      <c r="B576" s="96" t="str">
        <f>A576&amp;". When was the last time you paid for insurance or received payment from insurance using "&amp;Institution!B6&amp;"?"</f>
        <v>AD8.13. When was the last time you paid for insurance or received payment from insurance using a smartphone app?</v>
      </c>
      <c r="C576" s="82" t="s">
        <v>295</v>
      </c>
      <c r="D576" s="103" t="s">
        <v>30</v>
      </c>
      <c r="E576" s="103">
        <v>1</v>
      </c>
      <c r="F576" s="95" t="s">
        <v>650</v>
      </c>
      <c r="G576" s="76" t="str">
        <f t="shared" si="54"/>
        <v>AD8_13</v>
      </c>
    </row>
    <row r="577" spans="1:8" s="9" customFormat="1" ht="76.5">
      <c r="A577" s="103" t="s">
        <v>653</v>
      </c>
      <c r="B577" s="96" t="str">
        <f>A577&amp;". When was the last time you paid for insurance or received payment from insurance using "&amp;Institution!B7&amp;"?"</f>
        <v>AD8.14. When was the last time you paid for insurance or received payment from insurance using the *99# menu on a mobile phone?</v>
      </c>
      <c r="C577" s="82" t="s">
        <v>295</v>
      </c>
      <c r="D577" s="103" t="s">
        <v>30</v>
      </c>
      <c r="E577" s="103">
        <v>1</v>
      </c>
      <c r="F577" s="95" t="s">
        <v>652</v>
      </c>
      <c r="G577" s="76" t="str">
        <f t="shared" si="54"/>
        <v>AD8_14</v>
      </c>
    </row>
    <row r="578" spans="1:8" s="9" customFormat="1" ht="76.5">
      <c r="A578" s="103" t="s">
        <v>655</v>
      </c>
      <c r="B578" s="96" t="str">
        <f>A578&amp;". When was the last time you paid for insurance or received payment from insurance using "&amp;Institution!B8&amp;"?"</f>
        <v>AD8.15. When was the last time you paid for insurance or received payment from insurance using your Aadhaar number and also your fingerprint, iris scan, or a onetime password from your mobile phone?</v>
      </c>
      <c r="C578" s="82" t="s">
        <v>295</v>
      </c>
      <c r="D578" s="103" t="s">
        <v>30</v>
      </c>
      <c r="E578" s="103">
        <v>1</v>
      </c>
      <c r="F578" s="95" t="s">
        <v>654</v>
      </c>
      <c r="G578" s="76" t="str">
        <f t="shared" si="54"/>
        <v>AD8_15</v>
      </c>
    </row>
    <row r="579" spans="1:8" s="9" customFormat="1" ht="76.5">
      <c r="A579" s="103" t="s">
        <v>1330</v>
      </c>
      <c r="B579" s="96" t="str">
        <f>A579&amp;". When was the last time you paid for insurance or received payment from insurance using "&amp;Institution!B9&amp;"?"</f>
        <v>AD8.16. When was the last time you paid for insurance or received payment from insurance using a Rupay, debit or credit card?</v>
      </c>
      <c r="C579" s="82" t="s">
        <v>295</v>
      </c>
      <c r="D579" s="103" t="s">
        <v>30</v>
      </c>
      <c r="E579" s="103">
        <v>1</v>
      </c>
      <c r="F579" s="95" t="s">
        <v>1331</v>
      </c>
      <c r="G579" s="76" t="str">
        <f t="shared" si="54"/>
        <v>AD8_16</v>
      </c>
    </row>
    <row r="580" spans="1:8" s="3" customFormat="1" ht="89.25">
      <c r="A580" s="103" t="s">
        <v>1412</v>
      </c>
      <c r="B580" s="96" t="str">
        <f>A580&amp;". When was the last time you paid for insurance or received payment from insurance using cash?"</f>
        <v>AD8.17. When was the last time you paid for insurance or received payment from insurance using cash?</v>
      </c>
      <c r="C580" s="82" t="s">
        <v>196</v>
      </c>
      <c r="D580" s="103" t="s">
        <v>30</v>
      </c>
      <c r="E580" s="103">
        <v>1</v>
      </c>
      <c r="F580" s="95" t="s">
        <v>1413</v>
      </c>
      <c r="G580" s="76" t="str">
        <f t="shared" ref="G580" si="55">SUBSTITUTE(A580,".","_")</f>
        <v>AD8_17</v>
      </c>
      <c r="H580" s="27"/>
    </row>
    <row r="581" spans="1:8" s="3" customFormat="1" ht="25.5">
      <c r="A581" s="4" t="s">
        <v>614</v>
      </c>
      <c r="B581" s="82" t="str">
        <f>A581&amp;". Do you have any of the following types of insurance? "&amp;Other!AP2</f>
        <v>FB27.1. Do you have any of the following types of insurance? Health insurance plan or Mediclaim policy to pay for medical expenses</v>
      </c>
      <c r="C581" s="82" t="s">
        <v>615</v>
      </c>
      <c r="D581" s="4" t="s">
        <v>30</v>
      </c>
      <c r="E581" s="4">
        <v>1</v>
      </c>
      <c r="F581" s="82" t="s">
        <v>15</v>
      </c>
      <c r="G581" s="4" t="str">
        <f t="shared" ref="G581:G591" si="56">SUBSTITUTE(A581,".","_")</f>
        <v>FB27_1</v>
      </c>
      <c r="H581" s="27"/>
    </row>
    <row r="582" spans="1:8" s="3" customFormat="1" ht="25.5">
      <c r="A582" s="4" t="s">
        <v>616</v>
      </c>
      <c r="B582" s="82" t="str">
        <f>A582&amp;". Do you have any of the following types of insurance? "&amp;Other!AP3</f>
        <v>FB27.2. Do you have any of the following types of insurance? Life insurance to pay a sum on the event of your death</v>
      </c>
      <c r="C582" s="82" t="s">
        <v>615</v>
      </c>
      <c r="D582" s="4" t="s">
        <v>30</v>
      </c>
      <c r="E582" s="4">
        <v>1</v>
      </c>
      <c r="F582" s="82" t="s">
        <v>15</v>
      </c>
      <c r="G582" s="4" t="str">
        <f t="shared" si="56"/>
        <v>FB27_2</v>
      </c>
      <c r="H582" s="27"/>
    </row>
    <row r="583" spans="1:8" s="3" customFormat="1" ht="25.5">
      <c r="A583" s="4" t="s">
        <v>617</v>
      </c>
      <c r="B583" s="82" t="str">
        <f>A583&amp;". Do you have any of the following types of insurance? "&amp;Other!AP4</f>
        <v>FB27.3. Do you have any of the following types of insurance? Car or vehicle insurance to pay in case of an accident or damage</v>
      </c>
      <c r="C583" s="82" t="s">
        <v>615</v>
      </c>
      <c r="D583" s="4" t="s">
        <v>30</v>
      </c>
      <c r="E583" s="4">
        <v>1</v>
      </c>
      <c r="F583" s="82" t="s">
        <v>15</v>
      </c>
      <c r="G583" s="4" t="str">
        <f t="shared" si="56"/>
        <v>FB27_3</v>
      </c>
      <c r="H583" s="27"/>
    </row>
    <row r="584" spans="1:8" s="3" customFormat="1" ht="25.5">
      <c r="A584" s="4" t="s">
        <v>618</v>
      </c>
      <c r="B584" s="82" t="str">
        <f>A584&amp;". Do you have any of the following types of insurance? "&amp;Other!AP5</f>
        <v xml:space="preserve">FB27.4. Do you have any of the following types of insurance? Crop insurance to pay you in case your crops are destroyed by a natural calamity </v>
      </c>
      <c r="C584" s="82" t="s">
        <v>615</v>
      </c>
      <c r="D584" s="4" t="s">
        <v>30</v>
      </c>
      <c r="E584" s="4">
        <v>1</v>
      </c>
      <c r="F584" s="82" t="s">
        <v>15</v>
      </c>
      <c r="G584" s="4" t="str">
        <f t="shared" si="56"/>
        <v>FB27_4</v>
      </c>
      <c r="H584" s="27"/>
    </row>
    <row r="585" spans="1:8" s="36" customFormat="1" ht="25.5">
      <c r="A585" s="4" t="s">
        <v>619</v>
      </c>
      <c r="B585" s="82" t="str">
        <f>A585&amp;". Do you have any of the following types of insurance? "&amp;Other!AP6</f>
        <v>FB27.5. Do you have any of the following types of insurance? Property insurance to pay you in case your house or other things you own are destroyed by a fire or other calamity</v>
      </c>
      <c r="C585" s="82" t="s">
        <v>615</v>
      </c>
      <c r="D585" s="4" t="s">
        <v>30</v>
      </c>
      <c r="E585" s="4">
        <v>1</v>
      </c>
      <c r="F585" s="82" t="s">
        <v>15</v>
      </c>
      <c r="G585" s="4" t="str">
        <f t="shared" si="56"/>
        <v>FB27_5</v>
      </c>
      <c r="H585" s="34"/>
    </row>
    <row r="586" spans="1:8" s="3" customFormat="1" ht="25.5">
      <c r="A586" s="4" t="s">
        <v>620</v>
      </c>
      <c r="B586" s="150" t="str">
        <f>A586&amp;". Do you have any of the following types of insurance? "&amp;Other!AP7</f>
        <v>FB27.6. Do you have any of the following types of insurance? Unemployment or income insurance to pay you if you lose your job</v>
      </c>
      <c r="C586" s="82" t="s">
        <v>615</v>
      </c>
      <c r="D586" s="4" t="s">
        <v>30</v>
      </c>
      <c r="E586" s="4">
        <v>1</v>
      </c>
      <c r="F586" s="82" t="s">
        <v>15</v>
      </c>
      <c r="G586" s="4" t="str">
        <f t="shared" si="56"/>
        <v>FB27_6</v>
      </c>
      <c r="H586" s="27"/>
    </row>
    <row r="587" spans="1:8" s="19" customFormat="1" ht="25.5">
      <c r="A587" s="4" t="s">
        <v>621</v>
      </c>
      <c r="B587" s="82" t="str">
        <f>A587&amp;". Do you have any of the following types of insurance? "&amp;Other!AP8</f>
        <v>FB27.7. Do you have any of the following types of insurance? Disability insurance to pay you in case you get sick or hurt and cannot work</v>
      </c>
      <c r="C587" s="82" t="s">
        <v>615</v>
      </c>
      <c r="D587" s="4" t="s">
        <v>30</v>
      </c>
      <c r="E587" s="4">
        <v>1</v>
      </c>
      <c r="F587" s="82" t="s">
        <v>15</v>
      </c>
      <c r="G587" s="4" t="str">
        <f t="shared" ref="G587" si="57">SUBSTITUTE(A587,".","_")</f>
        <v>FB27_7</v>
      </c>
      <c r="H587" s="13"/>
    </row>
    <row r="588" spans="1:8" s="19" customFormat="1" ht="25.5">
      <c r="A588" s="4" t="s">
        <v>622</v>
      </c>
      <c r="B588" s="82" t="str">
        <f>A588&amp;". Do you have any of the following types of insurance? "&amp;Other!AP9</f>
        <v>FB27.8. Do you have any of the following types of insurance? Pension, retirement, or old age benefits to be paid when you stop working</v>
      </c>
      <c r="C588" s="82" t="s">
        <v>615</v>
      </c>
      <c r="D588" s="4" t="s">
        <v>30</v>
      </c>
      <c r="E588" s="4">
        <v>1</v>
      </c>
      <c r="F588" s="82" t="s">
        <v>15</v>
      </c>
      <c r="G588" s="4" t="str">
        <f t="shared" si="56"/>
        <v>FB27_8</v>
      </c>
      <c r="H588" s="13"/>
    </row>
    <row r="589" spans="1:8" s="19" customFormat="1" ht="25.5">
      <c r="A589" s="4" t="s">
        <v>623</v>
      </c>
      <c r="B589" s="82" t="str">
        <f>A589&amp;". Do you have any of the following types of insurance? "&amp;Other!AP10</f>
        <v>FB27.9. Do you have any of the following types of insurance? Cattle or livestock insurance to pay you in case livestock die</v>
      </c>
      <c r="C589" s="82" t="s">
        <v>615</v>
      </c>
      <c r="D589" s="4" t="s">
        <v>30</v>
      </c>
      <c r="E589" s="4">
        <v>1</v>
      </c>
      <c r="F589" s="82" t="s">
        <v>15</v>
      </c>
      <c r="G589" s="4" t="str">
        <f t="shared" si="56"/>
        <v>FB27_9</v>
      </c>
      <c r="H589" s="13"/>
    </row>
    <row r="590" spans="1:8" s="19" customFormat="1" ht="25.5">
      <c r="A590" s="4" t="s">
        <v>624</v>
      </c>
      <c r="B590" s="82" t="str">
        <f>A590&amp;". Do you have any of the following types of insurance? "&amp;Other!AP11</f>
        <v>FB27.10. Do you have any of the following types of insurance? Spousal or family insurance to pay you in case your spouse dies</v>
      </c>
      <c r="C590" s="82" t="s">
        <v>615</v>
      </c>
      <c r="D590" s="4" t="s">
        <v>30</v>
      </c>
      <c r="E590" s="4">
        <v>1</v>
      </c>
      <c r="F590" s="82" t="s">
        <v>15</v>
      </c>
      <c r="G590" s="4" t="str">
        <f t="shared" si="56"/>
        <v>FB27_10</v>
      </c>
      <c r="H590" s="13"/>
    </row>
    <row r="591" spans="1:8" s="69" customFormat="1" ht="25.5">
      <c r="A591" s="4" t="s">
        <v>625</v>
      </c>
      <c r="B591" s="82" t="str">
        <f>A591&amp;". Do you have any of the following types of insurance? "&amp;Other!AP12</f>
        <v>FB27.11. Do you have any of the following types of insurance? Any other type of insurance not on my list</v>
      </c>
      <c r="C591" s="82" t="s">
        <v>615</v>
      </c>
      <c r="D591" s="4" t="s">
        <v>30</v>
      </c>
      <c r="E591" s="4">
        <v>1</v>
      </c>
      <c r="F591" s="82" t="s">
        <v>15</v>
      </c>
      <c r="G591" s="4" t="str">
        <f t="shared" si="56"/>
        <v>FB27_11</v>
      </c>
    </row>
    <row r="592" spans="1:8" s="69" customFormat="1" ht="57" customHeight="1">
      <c r="A592" s="162" t="s">
        <v>1576</v>
      </c>
      <c r="B592" s="162"/>
      <c r="C592" s="162"/>
      <c r="D592" s="162"/>
      <c r="E592" s="162"/>
      <c r="F592" s="102" t="s">
        <v>15</v>
      </c>
      <c r="G592" s="102"/>
    </row>
    <row r="593" spans="1:7" s="69" customFormat="1" ht="14.25">
      <c r="A593" s="6" t="s">
        <v>4</v>
      </c>
      <c r="B593" s="7" t="s">
        <v>5</v>
      </c>
      <c r="C593" s="7" t="s">
        <v>6</v>
      </c>
      <c r="D593" s="6" t="s">
        <v>7</v>
      </c>
      <c r="E593" s="7" t="s">
        <v>8</v>
      </c>
      <c r="F593" s="7" t="s">
        <v>9</v>
      </c>
      <c r="G593" s="6" t="s">
        <v>10</v>
      </c>
    </row>
    <row r="594" spans="1:7" s="69" customFormat="1" ht="25.5">
      <c r="A594" s="70" t="s">
        <v>656</v>
      </c>
      <c r="B594" s="71" t="str">
        <f>A594&amp;". Have you ever "&amp;Activity!A10&amp;"?"</f>
        <v>AD9. Have you ever saved money?</v>
      </c>
      <c r="C594" s="71" t="s">
        <v>137</v>
      </c>
      <c r="D594" s="70" t="s">
        <v>30</v>
      </c>
      <c r="E594" s="70">
        <v>1</v>
      </c>
      <c r="F594" s="74" t="s">
        <v>15</v>
      </c>
      <c r="G594" s="73" t="str">
        <f>SUBSTITUTE(A594,".","_")</f>
        <v>AD9</v>
      </c>
    </row>
    <row r="595" spans="1:7" s="69" customFormat="1" ht="25.5">
      <c r="A595" s="60" t="s">
        <v>1217</v>
      </c>
      <c r="B595" s="71" t="str">
        <f>A595&amp;". Do you currently have savings?"</f>
        <v>AD9A. Do you currently have savings?</v>
      </c>
      <c r="C595" s="44" t="s">
        <v>615</v>
      </c>
      <c r="D595" s="60" t="s">
        <v>30</v>
      </c>
      <c r="E595" s="70">
        <v>1</v>
      </c>
      <c r="F595" s="105" t="s">
        <v>1218</v>
      </c>
      <c r="G595" s="76" t="str">
        <f>SUBSTITUTE(A595,".","_")</f>
        <v>AD9A</v>
      </c>
    </row>
    <row r="596" spans="1:7" s="69" customFormat="1" ht="76.5">
      <c r="A596" s="60" t="s">
        <v>1219</v>
      </c>
      <c r="B596" s="71" t="str">
        <f>A596&amp;". When was the last time you put money in savings?"</f>
        <v>AD9B. When was the last time you put money in savings?</v>
      </c>
      <c r="C596" s="44" t="s">
        <v>295</v>
      </c>
      <c r="D596" s="60" t="s">
        <v>30</v>
      </c>
      <c r="E596" s="70">
        <v>1</v>
      </c>
      <c r="F596" s="105" t="s">
        <v>1218</v>
      </c>
      <c r="G596" s="76" t="str">
        <f>SUBSTITUTE(A596,".","_")</f>
        <v>AD9B</v>
      </c>
    </row>
    <row r="597" spans="1:7" s="69" customFormat="1" ht="25.5">
      <c r="A597" s="70" t="s">
        <v>657</v>
      </c>
      <c r="B597" s="71" t="str">
        <f>A597&amp;". Have you ever saved money using "&amp;Institution!B2&amp;"?"</f>
        <v>AD9.1. Have you ever saved money using a bank?</v>
      </c>
      <c r="C597" s="71" t="s">
        <v>137</v>
      </c>
      <c r="D597" s="70" t="s">
        <v>30</v>
      </c>
      <c r="E597" s="70">
        <v>1</v>
      </c>
      <c r="F597" s="77" t="s">
        <v>1357</v>
      </c>
      <c r="G597" s="73" t="str">
        <f t="shared" ref="G597:G603" si="58">SUBSTITUTE(A597,".","_")</f>
        <v>AD9_1</v>
      </c>
    </row>
    <row r="598" spans="1:7" s="69" customFormat="1" ht="25.5">
      <c r="A598" s="70" t="s">
        <v>658</v>
      </c>
      <c r="B598" s="71" t="str">
        <f>A598&amp;". Have you ever saved money using "&amp;Institution!B3&amp;"?"</f>
        <v>AD9.2. Have you ever saved money using a post office bank?</v>
      </c>
      <c r="C598" s="71" t="s">
        <v>137</v>
      </c>
      <c r="D598" s="70" t="s">
        <v>30</v>
      </c>
      <c r="E598" s="70">
        <v>1</v>
      </c>
      <c r="F598" s="77" t="s">
        <v>1358</v>
      </c>
      <c r="G598" s="73" t="str">
        <f t="shared" si="58"/>
        <v>AD9_2</v>
      </c>
    </row>
    <row r="599" spans="1:7" s="69" customFormat="1" ht="25.5">
      <c r="A599" s="70" t="s">
        <v>659</v>
      </c>
      <c r="B599" s="71" t="str">
        <f>A599&amp;". Have you ever saved money using "&amp;Institution!B4&amp;"?"</f>
        <v>AD9.3. Have you ever saved money using a payments bank?</v>
      </c>
      <c r="C599" s="71" t="s">
        <v>137</v>
      </c>
      <c r="D599" s="70" t="s">
        <v>30</v>
      </c>
      <c r="E599" s="70">
        <v>1</v>
      </c>
      <c r="F599" s="77" t="s">
        <v>1359</v>
      </c>
      <c r="G599" s="73" t="str">
        <f t="shared" si="58"/>
        <v>AD9_3</v>
      </c>
    </row>
    <row r="600" spans="1:7" s="36" customFormat="1" ht="25.5">
      <c r="A600" s="70" t="s">
        <v>660</v>
      </c>
      <c r="B600" s="71" t="str">
        <f>A600&amp;". Have you ever saved money using "&amp;Institution!B5&amp;"?"</f>
        <v>AD9.4. Have you ever saved money using a mobile money service?</v>
      </c>
      <c r="C600" s="71" t="s">
        <v>137</v>
      </c>
      <c r="D600" s="70" t="s">
        <v>30</v>
      </c>
      <c r="E600" s="70">
        <v>1</v>
      </c>
      <c r="F600" s="77" t="s">
        <v>1360</v>
      </c>
      <c r="G600" s="73" t="str">
        <f t="shared" si="58"/>
        <v>AD9_4</v>
      </c>
    </row>
    <row r="601" spans="1:7" s="36" customFormat="1" ht="25.5">
      <c r="A601" s="70" t="s">
        <v>661</v>
      </c>
      <c r="B601" s="71" t="str">
        <f>A601&amp;". Have you ever saved money using a "&amp;Institution!A6&amp;"?"</f>
        <v>AD9.5. Have you ever saved money using a microfinance institution (MFI)?</v>
      </c>
      <c r="C601" s="44" t="s">
        <v>615</v>
      </c>
      <c r="D601" s="60" t="s">
        <v>30</v>
      </c>
      <c r="E601" s="60">
        <v>1</v>
      </c>
      <c r="F601" s="74" t="s">
        <v>1361</v>
      </c>
      <c r="G601" s="76" t="str">
        <f t="shared" si="58"/>
        <v>AD9_5</v>
      </c>
    </row>
    <row r="602" spans="1:7" s="36" customFormat="1" ht="25.5">
      <c r="A602" s="70" t="s">
        <v>662</v>
      </c>
      <c r="B602" s="71" t="str">
        <f>A602&amp;". Have you ever saved money using a "&amp;Institution!A7&amp;"?"</f>
        <v>AD9.6. Have you ever saved money using a self-help group or cooperative?</v>
      </c>
      <c r="C602" s="44" t="s">
        <v>615</v>
      </c>
      <c r="D602" s="60" t="s">
        <v>30</v>
      </c>
      <c r="E602" s="60">
        <v>1</v>
      </c>
      <c r="F602" s="74" t="s">
        <v>1362</v>
      </c>
      <c r="G602" s="76" t="str">
        <f t="shared" si="58"/>
        <v>AD9_6</v>
      </c>
    </row>
    <row r="603" spans="1:7" s="36" customFormat="1" ht="25.5">
      <c r="A603" s="70" t="s">
        <v>663</v>
      </c>
      <c r="B603" s="136" t="str">
        <f>A603&amp;". Have you ever saved money in cash in a safe place at home or on your person?"</f>
        <v>AD9.7. Have you ever saved money in cash in a safe place at home or on your person?</v>
      </c>
      <c r="C603" s="44" t="s">
        <v>615</v>
      </c>
      <c r="D603" s="60" t="s">
        <v>30</v>
      </c>
      <c r="E603" s="60">
        <v>1</v>
      </c>
      <c r="F603" s="74" t="s">
        <v>1218</v>
      </c>
      <c r="G603" s="76" t="str">
        <f t="shared" si="58"/>
        <v>AD9_7</v>
      </c>
    </row>
    <row r="604" spans="1:7" s="69" customFormat="1" ht="25.5">
      <c r="A604" s="70" t="s">
        <v>664</v>
      </c>
      <c r="B604" s="136" t="str">
        <f>A604&amp;". Have you ever saved money by buying agricultural inputs or livestock?"</f>
        <v>AD9.8. Have you ever saved money by buying agricultural inputs or livestock?</v>
      </c>
      <c r="C604" s="44" t="s">
        <v>615</v>
      </c>
      <c r="D604" s="60" t="s">
        <v>30</v>
      </c>
      <c r="E604" s="60">
        <v>1</v>
      </c>
      <c r="F604" s="74" t="s">
        <v>1218</v>
      </c>
      <c r="G604" s="76" t="str">
        <f>SUBSTITUTE(A604,".","_")</f>
        <v>AD9_8</v>
      </c>
    </row>
    <row r="605" spans="1:7" s="36" customFormat="1" ht="25.5">
      <c r="A605" s="70" t="s">
        <v>665</v>
      </c>
      <c r="B605" s="137" t="str">
        <f>A605&amp;". Have you ever saved money by buying gold or other valuable things?"</f>
        <v>AD9.9. Have you ever saved money by buying gold or other valuable things?</v>
      </c>
      <c r="C605" s="71" t="s">
        <v>137</v>
      </c>
      <c r="D605" s="60" t="s">
        <v>30</v>
      </c>
      <c r="E605" s="60">
        <v>1</v>
      </c>
      <c r="F605" s="74" t="s">
        <v>1218</v>
      </c>
      <c r="G605" s="76" t="str">
        <f>SUBSTITUTE(A605,".","_")</f>
        <v>AD9_9</v>
      </c>
    </row>
    <row r="606" spans="1:7" s="69" customFormat="1" ht="29.25" customHeight="1">
      <c r="A606" s="70" t="s">
        <v>666</v>
      </c>
      <c r="B606" s="136" t="str">
        <f>A606&amp;". Have you ever saved money by buying property, land, or housing?"</f>
        <v>AD9.10. Have you ever saved money by buying property, land, or housing?</v>
      </c>
      <c r="C606" s="44" t="s">
        <v>615</v>
      </c>
      <c r="D606" s="60" t="s">
        <v>30</v>
      </c>
      <c r="E606" s="60">
        <v>1</v>
      </c>
      <c r="F606" s="74" t="s">
        <v>1218</v>
      </c>
      <c r="G606" s="76" t="str">
        <f>SUBSTITUTE(A606,".","_")</f>
        <v>AD9_10</v>
      </c>
    </row>
    <row r="607" spans="1:7" s="69" customFormat="1" ht="25.5">
      <c r="A607" s="70" t="s">
        <v>667</v>
      </c>
      <c r="B607" s="136" t="str">
        <f>A607&amp;". Have you ever saved money by keeping it "&amp;Other!AO6&amp;"?"</f>
        <v>AD9.11. Have you ever saved money by keeping it with people you trust, such as family, friends, neighbors, shopkeepers, money guards, savings collectors or others?</v>
      </c>
      <c r="C607" s="44" t="s">
        <v>615</v>
      </c>
      <c r="D607" s="60" t="s">
        <v>30</v>
      </c>
      <c r="E607" s="60">
        <v>1</v>
      </c>
      <c r="F607" s="74" t="s">
        <v>1218</v>
      </c>
      <c r="G607" s="76" t="str">
        <f t="shared" ref="G607:G624" si="59">SUBSTITUTE(A607,".","_")</f>
        <v>AD9_11</v>
      </c>
    </row>
    <row r="608" spans="1:7" s="69" customFormat="1" ht="25.5">
      <c r="A608" s="70" t="s">
        <v>668</v>
      </c>
      <c r="B608" s="71" t="str">
        <f>A608&amp;". Have you ever put money in savings using "&amp;Institution!B6&amp;"?"</f>
        <v>AD9.12. Have you ever put money in savings using a smartphone app?</v>
      </c>
      <c r="C608" s="71" t="s">
        <v>137</v>
      </c>
      <c r="D608" s="70" t="s">
        <v>30</v>
      </c>
      <c r="E608" s="70">
        <v>1</v>
      </c>
      <c r="F608" s="74" t="s">
        <v>1363</v>
      </c>
      <c r="G608" s="73" t="str">
        <f t="shared" si="59"/>
        <v>AD9_12</v>
      </c>
    </row>
    <row r="609" spans="1:7" s="36" customFormat="1" ht="25.5">
      <c r="A609" s="70" t="s">
        <v>669</v>
      </c>
      <c r="B609" s="71" t="str">
        <f>A609&amp;". Have you ever put money in savings using "&amp;Institution!B7&amp;"?"</f>
        <v>AD9.13. Have you ever put money in savings using the *99# menu on a mobile phone?</v>
      </c>
      <c r="C609" s="71" t="s">
        <v>137</v>
      </c>
      <c r="D609" s="70" t="s">
        <v>30</v>
      </c>
      <c r="E609" s="70">
        <v>1</v>
      </c>
      <c r="F609" s="74" t="s">
        <v>1364</v>
      </c>
      <c r="G609" s="73" t="str">
        <f t="shared" si="59"/>
        <v>AD9_13</v>
      </c>
    </row>
    <row r="610" spans="1:7" s="69" customFormat="1" ht="25.5">
      <c r="A610" s="70" t="s">
        <v>670</v>
      </c>
      <c r="B610" s="71" t="str">
        <f>A610&amp;". Have you ever put money in savings using "&amp;Institution!B8&amp;"?"</f>
        <v>AD9.14. Have you ever put money in savings using your Aadhaar number and also your fingerprint, iris scan, or a onetime password from your mobile phone?</v>
      </c>
      <c r="C610" s="71" t="s">
        <v>137</v>
      </c>
      <c r="D610" s="70" t="s">
        <v>30</v>
      </c>
      <c r="E610" s="70">
        <v>1</v>
      </c>
      <c r="F610" s="74" t="s">
        <v>1365</v>
      </c>
      <c r="G610" s="73" t="str">
        <f t="shared" si="59"/>
        <v>AD9_14</v>
      </c>
    </row>
    <row r="611" spans="1:7" s="69" customFormat="1" ht="76.5">
      <c r="A611" s="70" t="s">
        <v>671</v>
      </c>
      <c r="B611" s="71" t="str">
        <f>A611&amp;". When was the last time you saved money using "&amp;Institution!B2&amp;"?"</f>
        <v>AD9.15. When was the last time you saved money using a bank?</v>
      </c>
      <c r="C611" s="44" t="s">
        <v>295</v>
      </c>
      <c r="D611" s="70" t="s">
        <v>30</v>
      </c>
      <c r="E611" s="70">
        <v>1</v>
      </c>
      <c r="F611" s="74" t="s">
        <v>1366</v>
      </c>
      <c r="G611" s="73" t="str">
        <f t="shared" si="59"/>
        <v>AD9_15</v>
      </c>
    </row>
    <row r="612" spans="1:7" s="69" customFormat="1" ht="76.5">
      <c r="A612" s="70" t="s">
        <v>672</v>
      </c>
      <c r="B612" s="71" t="str">
        <f>A612&amp;". When was the last time you saved money using "&amp;Institution!B3&amp;"?"</f>
        <v>AD9.16. When was the last time you saved money using a post office bank?</v>
      </c>
      <c r="C612" s="44" t="s">
        <v>295</v>
      </c>
      <c r="D612" s="70" t="s">
        <v>30</v>
      </c>
      <c r="E612" s="70">
        <v>1</v>
      </c>
      <c r="F612" s="74" t="s">
        <v>1367</v>
      </c>
      <c r="G612" s="73" t="str">
        <f t="shared" si="59"/>
        <v>AD9_16</v>
      </c>
    </row>
    <row r="613" spans="1:7" s="69" customFormat="1" ht="76.5">
      <c r="A613" s="70" t="s">
        <v>673</v>
      </c>
      <c r="B613" s="71" t="str">
        <f>A613&amp;". When was the last time you saved money using "&amp;Institution!B4&amp;"?"</f>
        <v>AD9.17. When was the last time you saved money using a payments bank?</v>
      </c>
      <c r="C613" s="44" t="s">
        <v>295</v>
      </c>
      <c r="D613" s="70" t="s">
        <v>30</v>
      </c>
      <c r="E613" s="70">
        <v>1</v>
      </c>
      <c r="F613" s="74" t="s">
        <v>1368</v>
      </c>
      <c r="G613" s="73" t="str">
        <f t="shared" si="59"/>
        <v>AD9_17</v>
      </c>
    </row>
    <row r="614" spans="1:7" s="36" customFormat="1" ht="76.5">
      <c r="A614" s="70" t="s">
        <v>1220</v>
      </c>
      <c r="B614" s="71" t="str">
        <f>A614&amp;". When was the last time you saved money using "&amp;Institution!B5&amp;"?"</f>
        <v>AD9.18. When was the last time you saved money using a mobile money service?</v>
      </c>
      <c r="C614" s="44" t="s">
        <v>295</v>
      </c>
      <c r="D614" s="70" t="s">
        <v>30</v>
      </c>
      <c r="E614" s="70">
        <v>1</v>
      </c>
      <c r="F614" s="74" t="s">
        <v>1369</v>
      </c>
      <c r="G614" s="73" t="str">
        <f t="shared" si="59"/>
        <v>AD9_18</v>
      </c>
    </row>
    <row r="615" spans="1:7" s="36" customFormat="1" ht="76.5">
      <c r="A615" s="70" t="s">
        <v>1221</v>
      </c>
      <c r="B615" s="71" t="str">
        <f>A615&amp;". When was the last time you saved money using a "&amp;Institution!A6&amp;"?"</f>
        <v>AD9.19. When was the last time you saved money using a microfinance institution (MFI)?</v>
      </c>
      <c r="C615" s="44" t="s">
        <v>295</v>
      </c>
      <c r="D615" s="70" t="s">
        <v>30</v>
      </c>
      <c r="E615" s="70">
        <v>1</v>
      </c>
      <c r="F615" s="74" t="s">
        <v>1370</v>
      </c>
      <c r="G615" s="73" t="str">
        <f t="shared" si="59"/>
        <v>AD9_19</v>
      </c>
    </row>
    <row r="616" spans="1:7" s="36" customFormat="1" ht="76.5">
      <c r="A616" s="70" t="s">
        <v>1222</v>
      </c>
      <c r="B616" s="71" t="str">
        <f>A616&amp;". When was the last time you saved money using a "&amp;Institution!A7&amp;"?"</f>
        <v>AD9.20. When was the last time you saved money using a self-help group or cooperative?</v>
      </c>
      <c r="C616" s="44" t="s">
        <v>295</v>
      </c>
      <c r="D616" s="70" t="s">
        <v>30</v>
      </c>
      <c r="E616" s="70">
        <v>1</v>
      </c>
      <c r="F616" s="74" t="s">
        <v>1371</v>
      </c>
      <c r="G616" s="73" t="str">
        <f t="shared" si="59"/>
        <v>AD9_20</v>
      </c>
    </row>
    <row r="617" spans="1:7" s="36" customFormat="1" ht="76.5">
      <c r="A617" s="139" t="s">
        <v>1223</v>
      </c>
      <c r="B617" s="136" t="str">
        <f>A617&amp;". When was the last time you saved money in cash in a safe place at home or on your person?"</f>
        <v>AD9.21. When was the last time you saved money in cash in a safe place at home or on your person?</v>
      </c>
      <c r="C617" s="136" t="s">
        <v>295</v>
      </c>
      <c r="D617" s="140" t="s">
        <v>30</v>
      </c>
      <c r="E617" s="140">
        <v>1</v>
      </c>
      <c r="F617" s="138" t="s">
        <v>1356</v>
      </c>
      <c r="G617" s="76" t="str">
        <f t="shared" si="59"/>
        <v>AD9_21</v>
      </c>
    </row>
    <row r="618" spans="1:7" s="69" customFormat="1" ht="76.5">
      <c r="A618" s="139" t="s">
        <v>1224</v>
      </c>
      <c r="B618" s="136" t="str">
        <f>A618&amp;". When was the last time you saved money by buying agricultural inputs or livestock?"</f>
        <v>AD9.22. When was the last time you saved money by buying agricultural inputs or livestock?</v>
      </c>
      <c r="C618" s="136" t="s">
        <v>295</v>
      </c>
      <c r="D618" s="140" t="s">
        <v>30</v>
      </c>
      <c r="E618" s="140">
        <v>1</v>
      </c>
      <c r="F618" s="138" t="s">
        <v>1624</v>
      </c>
      <c r="G618" s="76" t="str">
        <f>SUBSTITUTE(A618,".","_")</f>
        <v>AD9_22</v>
      </c>
    </row>
    <row r="619" spans="1:7" s="36" customFormat="1" ht="76.5">
      <c r="A619" s="139" t="s">
        <v>1225</v>
      </c>
      <c r="B619" s="137" t="str">
        <f>A619&amp;". When was the last time you saved money by buying gold or other valuable things?"</f>
        <v>AD9.23. When was the last time you saved money by buying gold or other valuable things?</v>
      </c>
      <c r="C619" s="136" t="s">
        <v>295</v>
      </c>
      <c r="D619" s="140" t="s">
        <v>30</v>
      </c>
      <c r="E619" s="140">
        <v>1</v>
      </c>
      <c r="F619" s="138" t="s">
        <v>1625</v>
      </c>
      <c r="G619" s="76" t="str">
        <f>SUBSTITUTE(A619,".","_")</f>
        <v>AD9_23</v>
      </c>
    </row>
    <row r="620" spans="1:7" s="69" customFormat="1" ht="87" customHeight="1">
      <c r="A620" s="139" t="s">
        <v>1226</v>
      </c>
      <c r="B620" s="136" t="str">
        <f>A620&amp;". When was the last time you saved money by buying property, land, or housing?"</f>
        <v>AD9.24. When was the last time you saved money by buying property, land, or housing?</v>
      </c>
      <c r="C620" s="136" t="s">
        <v>295</v>
      </c>
      <c r="D620" s="140" t="s">
        <v>30</v>
      </c>
      <c r="E620" s="140">
        <v>1</v>
      </c>
      <c r="F620" s="138" t="s">
        <v>1626</v>
      </c>
      <c r="G620" s="76" t="str">
        <f>SUBSTITUTE(A620,".","_")</f>
        <v>AD9_24</v>
      </c>
    </row>
    <row r="621" spans="1:7" s="36" customFormat="1" ht="76.5">
      <c r="A621" s="139" t="s">
        <v>1620</v>
      </c>
      <c r="B621" s="136" t="str">
        <f>A621&amp;". When was the last time you put money in saving "&amp;Other!AO6&amp;"?"</f>
        <v>AD9.25. When was the last time you put money in saving with people you trust, such as family, friends, neighbors, shopkeepers, money guards, savings collectors or others?</v>
      </c>
      <c r="C621" s="136" t="s">
        <v>295</v>
      </c>
      <c r="D621" s="140" t="s">
        <v>30</v>
      </c>
      <c r="E621" s="140">
        <v>1</v>
      </c>
      <c r="F621" s="138" t="s">
        <v>1627</v>
      </c>
      <c r="G621" s="76" t="str">
        <f t="shared" ref="G621" si="60">SUBSTITUTE(A621,".","_")</f>
        <v>AD9_25</v>
      </c>
    </row>
    <row r="622" spans="1:7" s="36" customFormat="1" ht="76.5">
      <c r="A622" s="70" t="s">
        <v>1621</v>
      </c>
      <c r="B622" s="137" t="str">
        <f>A622&amp;". When was the last time you put money in savings using "&amp;Institution!B6&amp;"?"</f>
        <v>AD9.26. When was the last time you put money in savings using a smartphone app?</v>
      </c>
      <c r="C622" s="44" t="s">
        <v>295</v>
      </c>
      <c r="D622" s="60" t="s">
        <v>30</v>
      </c>
      <c r="E622" s="60">
        <v>1</v>
      </c>
      <c r="F622" s="74" t="s">
        <v>1372</v>
      </c>
      <c r="G622" s="76" t="str">
        <f t="shared" si="59"/>
        <v>AD9_26</v>
      </c>
    </row>
    <row r="623" spans="1:7" s="36" customFormat="1" ht="76.5">
      <c r="A623" s="70" t="s">
        <v>1622</v>
      </c>
      <c r="B623" s="137" t="str">
        <f>A623&amp;". When was the last time you put money in savings using "&amp;Institution!B7&amp;"?"</f>
        <v>AD9.27. When was the last time you put money in savings using the *99# menu on a mobile phone?</v>
      </c>
      <c r="C623" s="44" t="s">
        <v>295</v>
      </c>
      <c r="D623" s="60" t="s">
        <v>30</v>
      </c>
      <c r="E623" s="60">
        <v>1</v>
      </c>
      <c r="F623" s="74" t="s">
        <v>1373</v>
      </c>
      <c r="G623" s="76" t="str">
        <f t="shared" si="59"/>
        <v>AD9_27</v>
      </c>
    </row>
    <row r="624" spans="1:7" s="69" customFormat="1" ht="56.25" customHeight="1">
      <c r="A624" s="70" t="s">
        <v>1623</v>
      </c>
      <c r="B624" s="137" t="str">
        <f>A624&amp;". When was the last time you put money in savings using "&amp;Institution!B8&amp;"?"</f>
        <v>AD9.28. When was the last time you put money in savings using your Aadhaar number and also your fingerprint, iris scan, or a onetime password from your mobile phone?</v>
      </c>
      <c r="C624" s="44" t="s">
        <v>295</v>
      </c>
      <c r="D624" s="60" t="s">
        <v>30</v>
      </c>
      <c r="E624" s="60">
        <v>1</v>
      </c>
      <c r="F624" s="74" t="s">
        <v>1374</v>
      </c>
      <c r="G624" s="76" t="str">
        <f t="shared" si="59"/>
        <v>AD9_28</v>
      </c>
    </row>
    <row r="625" spans="1:7" s="36" customFormat="1" ht="54" customHeight="1">
      <c r="A625" s="162" t="s">
        <v>1577</v>
      </c>
      <c r="B625" s="165"/>
      <c r="C625" s="165"/>
      <c r="D625" s="165"/>
      <c r="E625" s="165"/>
      <c r="F625" s="165"/>
      <c r="G625" s="165"/>
    </row>
    <row r="626" spans="1:7" s="36" customFormat="1" ht="14.25">
      <c r="A626" s="6" t="s">
        <v>4</v>
      </c>
      <c r="B626" s="7" t="s">
        <v>5</v>
      </c>
      <c r="C626" s="7" t="s">
        <v>6</v>
      </c>
      <c r="D626" s="6" t="s">
        <v>7</v>
      </c>
      <c r="E626" s="7" t="s">
        <v>8</v>
      </c>
      <c r="F626" s="7" t="s">
        <v>9</v>
      </c>
      <c r="G626" s="6" t="s">
        <v>10</v>
      </c>
    </row>
    <row r="627" spans="1:7" s="36" customFormat="1" ht="25.5">
      <c r="A627" s="60" t="s">
        <v>1227</v>
      </c>
      <c r="B627" s="44" t="str">
        <f>A627&amp;". Have you ever made an investment?"</f>
        <v>AD10. Have you ever made an investment?</v>
      </c>
      <c r="C627" s="44" t="s">
        <v>615</v>
      </c>
      <c r="D627" s="60" t="s">
        <v>30</v>
      </c>
      <c r="E627" s="60">
        <v>1</v>
      </c>
      <c r="F627" s="44" t="s">
        <v>15</v>
      </c>
      <c r="G627" s="4" t="str">
        <f t="shared" ref="G627:G666" si="61">SUBSTITUTE(A627,".","_")</f>
        <v>AD10</v>
      </c>
    </row>
    <row r="628" spans="1:7" s="36" customFormat="1" ht="25.5">
      <c r="A628" s="60" t="s">
        <v>1228</v>
      </c>
      <c r="B628" s="44" t="str">
        <f>A628&amp;". Have you ever made an investment in any of the following places? "&amp;Other!AQ2</f>
        <v>AD10.1. Have you ever made an investment in any of the following places? a business you own</v>
      </c>
      <c r="C628" s="44" t="s">
        <v>615</v>
      </c>
      <c r="D628" s="60" t="s">
        <v>30</v>
      </c>
      <c r="E628" s="60">
        <v>1</v>
      </c>
      <c r="F628" s="44" t="s">
        <v>1229</v>
      </c>
      <c r="G628" s="4" t="str">
        <f t="shared" si="61"/>
        <v>AD10_1</v>
      </c>
    </row>
    <row r="629" spans="1:7" s="36" customFormat="1" ht="25.5">
      <c r="A629" s="60" t="s">
        <v>1230</v>
      </c>
      <c r="B629" s="44" t="str">
        <f>A629&amp;". Have you ever made an investment in any of the following places? "&amp;Other!AQ3</f>
        <v>AD10.2. Have you ever made an investment in any of the following places? a business owned by someone you know</v>
      </c>
      <c r="C629" s="44" t="s">
        <v>615</v>
      </c>
      <c r="D629" s="60" t="s">
        <v>30</v>
      </c>
      <c r="E629" s="60">
        <v>1</v>
      </c>
      <c r="F629" s="44" t="s">
        <v>1229</v>
      </c>
      <c r="G629" s="4" t="str">
        <f t="shared" si="61"/>
        <v>AD10_2</v>
      </c>
    </row>
    <row r="630" spans="1:7" s="36" customFormat="1" ht="25.5">
      <c r="A630" s="60" t="s">
        <v>1231</v>
      </c>
      <c r="B630" s="44" t="str">
        <f>A630&amp;". Have you ever made an investment in any of the following places? "&amp;Other!AQ4</f>
        <v xml:space="preserve">AD10.3. Have you ever made an investment in any of the following places? an Indian enterprise where you bought shares </v>
      </c>
      <c r="C630" s="44" t="s">
        <v>615</v>
      </c>
      <c r="D630" s="60" t="s">
        <v>30</v>
      </c>
      <c r="E630" s="60">
        <v>1</v>
      </c>
      <c r="F630" s="44" t="s">
        <v>1229</v>
      </c>
      <c r="G630" s="4" t="str">
        <f t="shared" si="61"/>
        <v>AD10_3</v>
      </c>
    </row>
    <row r="631" spans="1:7" s="69" customFormat="1" ht="25.5">
      <c r="A631" s="60" t="s">
        <v>1232</v>
      </c>
      <c r="B631" s="44" t="str">
        <f>A631&amp;". Have you ever made an investment in any of the following places? "&amp;Other!AQ5</f>
        <v>AD10.4. Have you ever made an investment in any of the following places? a foreign enterprise where you bought shares</v>
      </c>
      <c r="C631" s="44" t="s">
        <v>615</v>
      </c>
      <c r="D631" s="60" t="s">
        <v>30</v>
      </c>
      <c r="E631" s="60">
        <v>1</v>
      </c>
      <c r="F631" s="44" t="s">
        <v>1229</v>
      </c>
      <c r="G631" s="4" t="str">
        <f t="shared" si="61"/>
        <v>AD10_4</v>
      </c>
    </row>
    <row r="632" spans="1:7" s="69" customFormat="1" ht="25.5">
      <c r="A632" s="60" t="s">
        <v>1233</v>
      </c>
      <c r="B632" s="44" t="str">
        <f>A632&amp;". Have you ever made an investment in any of the following places? "&amp;Other!AQ6</f>
        <v>AD10.5. Have you ever made an investment in any of the following places? government bonds</v>
      </c>
      <c r="C632" s="44" t="s">
        <v>615</v>
      </c>
      <c r="D632" s="60" t="s">
        <v>30</v>
      </c>
      <c r="E632" s="60">
        <v>1</v>
      </c>
      <c r="F632" s="44" t="s">
        <v>1229</v>
      </c>
      <c r="G632" s="4" t="str">
        <f t="shared" si="61"/>
        <v>AD10_5</v>
      </c>
    </row>
    <row r="633" spans="1:7" s="69" customFormat="1" ht="25.5">
      <c r="A633" s="60" t="s">
        <v>1234</v>
      </c>
      <c r="B633" s="44" t="str">
        <f>A633&amp;". Have you ever made an investment in any of the following places? "&amp;Other!AQ7</f>
        <v>AD10.6. Have you ever made an investment in any of the following places? land, house, or other property</v>
      </c>
      <c r="C633" s="44" t="s">
        <v>615</v>
      </c>
      <c r="D633" s="60" t="s">
        <v>30</v>
      </c>
      <c r="E633" s="60">
        <v>1</v>
      </c>
      <c r="F633" s="44" t="s">
        <v>1229</v>
      </c>
      <c r="G633" s="4" t="str">
        <f t="shared" si="61"/>
        <v>AD10_6</v>
      </c>
    </row>
    <row r="634" spans="1:7" s="69" customFormat="1" ht="25.5">
      <c r="A634" s="60" t="s">
        <v>1235</v>
      </c>
      <c r="B634" s="44" t="str">
        <f>A634&amp;". Have you ever made an investment in any of the following places? "&amp;Other!AQ8</f>
        <v>AD10.7. Have you ever made an investment in any of the following places? gold, gems, art, or other things of value</v>
      </c>
      <c r="C634" s="71" t="s">
        <v>137</v>
      </c>
      <c r="D634" s="70" t="s">
        <v>30</v>
      </c>
      <c r="E634" s="70">
        <v>1</v>
      </c>
      <c r="F634" s="44" t="s">
        <v>1229</v>
      </c>
      <c r="G634" s="4" t="str">
        <f t="shared" si="61"/>
        <v>AD10_7</v>
      </c>
    </row>
    <row r="635" spans="1:7" s="69" customFormat="1" ht="25.5">
      <c r="A635" s="60" t="s">
        <v>1236</v>
      </c>
      <c r="B635" s="136" t="str">
        <f>A635&amp;". Have you ever made an investment in any of the following places? "&amp;Other!AQ9</f>
        <v>AD10.8. Have you ever made an investment in any of the following places? a chit fund</v>
      </c>
      <c r="C635" s="71" t="s">
        <v>137</v>
      </c>
      <c r="D635" s="70" t="s">
        <v>30</v>
      </c>
      <c r="E635" s="70">
        <v>1</v>
      </c>
      <c r="F635" s="44" t="s">
        <v>1229</v>
      </c>
      <c r="G635" s="4" t="str">
        <f t="shared" ref="G635" si="62">SUBSTITUTE(A635,".","_")</f>
        <v>AD10_8</v>
      </c>
    </row>
    <row r="636" spans="1:7" s="69" customFormat="1" ht="25.5">
      <c r="A636" s="145" t="s">
        <v>1238</v>
      </c>
      <c r="B636" s="44" t="str">
        <f>A636&amp;". Have you ever made an investment in any of the following places? "&amp;Other!AQ10</f>
        <v>AD10.9. Have you ever made an investment in any of the following places? another place not on my list</v>
      </c>
      <c r="C636" s="71" t="s">
        <v>137</v>
      </c>
      <c r="D636" s="70" t="s">
        <v>30</v>
      </c>
      <c r="E636" s="70">
        <v>1</v>
      </c>
      <c r="F636" s="44" t="s">
        <v>1229</v>
      </c>
      <c r="G636" s="4" t="str">
        <f t="shared" si="61"/>
        <v>AD10_9</v>
      </c>
    </row>
    <row r="637" spans="1:7" s="69" customFormat="1" ht="76.5">
      <c r="A637" s="145" t="s">
        <v>1240</v>
      </c>
      <c r="B637" s="71" t="str">
        <f>A637&amp;". When was the last time you made an investment in "&amp;Other!AQ2&amp;"?"</f>
        <v>AD10.10. When was the last time you made an investment in a business you own?</v>
      </c>
      <c r="C637" s="44" t="s">
        <v>295</v>
      </c>
      <c r="D637" s="70" t="s">
        <v>30</v>
      </c>
      <c r="E637" s="70">
        <v>1</v>
      </c>
      <c r="F637" s="74" t="s">
        <v>1237</v>
      </c>
      <c r="G637" s="4" t="str">
        <f t="shared" si="61"/>
        <v>AD10_10</v>
      </c>
    </row>
    <row r="638" spans="1:7" s="69" customFormat="1" ht="76.5">
      <c r="A638" s="145" t="s">
        <v>1242</v>
      </c>
      <c r="B638" s="71" t="str">
        <f>A638&amp;". When was the last time you made an investment in "&amp;Other!AQ3&amp;"?"</f>
        <v>AD10.11. When was the last time you made an investment in a business owned by someone you know?</v>
      </c>
      <c r="C638" s="44" t="s">
        <v>295</v>
      </c>
      <c r="D638" s="70" t="s">
        <v>30</v>
      </c>
      <c r="E638" s="70">
        <v>1</v>
      </c>
      <c r="F638" s="74" t="s">
        <v>1239</v>
      </c>
      <c r="G638" s="4" t="str">
        <f t="shared" si="61"/>
        <v>AD10_11</v>
      </c>
    </row>
    <row r="639" spans="1:7" s="69" customFormat="1" ht="76.5">
      <c r="A639" s="145" t="s">
        <v>1244</v>
      </c>
      <c r="B639" s="71" t="str">
        <f>A639&amp;". When was the last time you made an investment in "&amp;Other!AQ4&amp;"?"</f>
        <v>AD10.12. When was the last time you made an investment in an Indian enterprise where you bought shares ?</v>
      </c>
      <c r="C639" s="44" t="s">
        <v>295</v>
      </c>
      <c r="D639" s="70" t="s">
        <v>30</v>
      </c>
      <c r="E639" s="70">
        <v>1</v>
      </c>
      <c r="F639" s="74" t="s">
        <v>1241</v>
      </c>
      <c r="G639" s="4" t="str">
        <f t="shared" si="61"/>
        <v>AD10_12</v>
      </c>
    </row>
    <row r="640" spans="1:7" s="69" customFormat="1" ht="76.5">
      <c r="A640" s="145" t="s">
        <v>1246</v>
      </c>
      <c r="B640" s="71" t="str">
        <f>A640&amp;". When was the last time you made an investment in "&amp;Other!AQ5&amp;"?"</f>
        <v>AD10.13. When was the last time you made an investment in a foreign enterprise where you bought shares?</v>
      </c>
      <c r="C640" s="44" t="s">
        <v>295</v>
      </c>
      <c r="D640" s="70" t="s">
        <v>30</v>
      </c>
      <c r="E640" s="70">
        <v>1</v>
      </c>
      <c r="F640" s="74" t="s">
        <v>1243</v>
      </c>
      <c r="G640" s="4" t="str">
        <f t="shared" si="61"/>
        <v>AD10_13</v>
      </c>
    </row>
    <row r="641" spans="1:7" s="69" customFormat="1" ht="76.5">
      <c r="A641" s="145" t="s">
        <v>1248</v>
      </c>
      <c r="B641" s="71" t="str">
        <f>A641&amp;". When was the last time you made an investment in "&amp;Other!AQ6&amp;"?"</f>
        <v>AD10.14. When was the last time you made an investment in government bonds?</v>
      </c>
      <c r="C641" s="44" t="s">
        <v>295</v>
      </c>
      <c r="D641" s="70" t="s">
        <v>30</v>
      </c>
      <c r="E641" s="70">
        <v>1</v>
      </c>
      <c r="F641" s="74" t="s">
        <v>1245</v>
      </c>
      <c r="G641" s="4" t="str">
        <f t="shared" si="61"/>
        <v>AD10_14</v>
      </c>
    </row>
    <row r="642" spans="1:7" s="69" customFormat="1" ht="76.5">
      <c r="A642" s="145" t="s">
        <v>1250</v>
      </c>
      <c r="B642" s="71" t="str">
        <f>A642&amp;". When was the last time you made an investment in "&amp;Other!AQ7&amp;"?"</f>
        <v>AD10.15. When was the last time you made an investment in land, house, or other property?</v>
      </c>
      <c r="C642" s="44" t="s">
        <v>295</v>
      </c>
      <c r="D642" s="70" t="s">
        <v>30</v>
      </c>
      <c r="E642" s="70">
        <v>1</v>
      </c>
      <c r="F642" s="74" t="s">
        <v>1247</v>
      </c>
      <c r="G642" s="4" t="str">
        <f t="shared" si="61"/>
        <v>AD10_15</v>
      </c>
    </row>
    <row r="643" spans="1:7" s="69" customFormat="1" ht="76.5">
      <c r="A643" s="145" t="s">
        <v>1252</v>
      </c>
      <c r="B643" s="71" t="str">
        <f>A643&amp;". When was the last time you made an investment in "&amp;Other!AQ8&amp;"?"</f>
        <v>AD10.16. When was the last time you made an investment in gold, gems, art, or other things of value?</v>
      </c>
      <c r="C643" s="44" t="s">
        <v>295</v>
      </c>
      <c r="D643" s="70" t="s">
        <v>30</v>
      </c>
      <c r="E643" s="70">
        <v>1</v>
      </c>
      <c r="F643" s="74" t="s">
        <v>1249</v>
      </c>
      <c r="G643" s="4" t="str">
        <f t="shared" si="61"/>
        <v>AD10_16</v>
      </c>
    </row>
    <row r="644" spans="1:7" s="69" customFormat="1" ht="76.5">
      <c r="A644" s="145" t="s">
        <v>1253</v>
      </c>
      <c r="B644" s="142" t="str">
        <f>A644&amp;". When was the last time you made an investment in "&amp;Other!AQ9&amp;"?"</f>
        <v>AD10.17. When was the last time you made an investment in a chit fund?</v>
      </c>
      <c r="C644" s="141" t="s">
        <v>295</v>
      </c>
      <c r="D644" s="143" t="s">
        <v>30</v>
      </c>
      <c r="E644" s="143">
        <v>2</v>
      </c>
      <c r="F644" s="144" t="s">
        <v>1251</v>
      </c>
      <c r="G644" s="4" t="str">
        <f t="shared" ref="G644" si="63">SUBSTITUTE(A644,".","_")</f>
        <v>AD10_17</v>
      </c>
    </row>
    <row r="645" spans="1:7" s="69" customFormat="1" ht="76.5">
      <c r="A645" s="145" t="s">
        <v>1254</v>
      </c>
      <c r="B645" s="71" t="str">
        <f>A645&amp;". When was the last time you made an investment in "&amp;Other!AQ10&amp;"?"</f>
        <v>AD10.18. When was the last time you made an investment in another place not on my list?</v>
      </c>
      <c r="C645" s="44" t="s">
        <v>295</v>
      </c>
      <c r="D645" s="70" t="s">
        <v>30</v>
      </c>
      <c r="E645" s="70">
        <v>1</v>
      </c>
      <c r="F645" s="144" t="s">
        <v>1632</v>
      </c>
      <c r="G645" s="4" t="str">
        <f t="shared" si="61"/>
        <v>AD10_18</v>
      </c>
    </row>
    <row r="646" spans="1:7" s="69" customFormat="1" ht="25.5">
      <c r="A646" s="145" t="s">
        <v>1375</v>
      </c>
      <c r="B646" s="71" t="str">
        <f>A646&amp;". Have you ever invested money using "&amp;Institution!B2&amp;"?"</f>
        <v>AD10.19. Have you ever invested money using a bank?</v>
      </c>
      <c r="C646" s="71" t="s">
        <v>137</v>
      </c>
      <c r="D646" s="70" t="s">
        <v>30</v>
      </c>
      <c r="E646" s="70">
        <v>1</v>
      </c>
      <c r="F646" s="74" t="s">
        <v>1394</v>
      </c>
      <c r="G646" s="4" t="str">
        <f t="shared" si="61"/>
        <v>AD10_19</v>
      </c>
    </row>
    <row r="647" spans="1:7" s="69" customFormat="1" ht="25.5">
      <c r="A647" s="145" t="s">
        <v>1376</v>
      </c>
      <c r="B647" s="71" t="str">
        <f>A647&amp;". Have you ever invested money using "&amp;Institution!B3&amp;"?"</f>
        <v>AD10.20. Have you ever invested money using a post office bank?</v>
      </c>
      <c r="C647" s="71" t="s">
        <v>137</v>
      </c>
      <c r="D647" s="70" t="s">
        <v>30</v>
      </c>
      <c r="E647" s="70">
        <v>1</v>
      </c>
      <c r="F647" s="74" t="s">
        <v>1395</v>
      </c>
      <c r="G647" s="4" t="str">
        <f t="shared" si="61"/>
        <v>AD10_20</v>
      </c>
    </row>
    <row r="648" spans="1:7" s="69" customFormat="1" ht="25.5">
      <c r="A648" s="145" t="s">
        <v>1377</v>
      </c>
      <c r="B648" s="71" t="str">
        <f>A648&amp;". Have you ever invested money using "&amp;Institution!B4&amp;"?"</f>
        <v>AD10.21. Have you ever invested money using a payments bank?</v>
      </c>
      <c r="C648" s="71" t="s">
        <v>137</v>
      </c>
      <c r="D648" s="70" t="s">
        <v>30</v>
      </c>
      <c r="E648" s="70">
        <v>1</v>
      </c>
      <c r="F648" s="74" t="s">
        <v>1396</v>
      </c>
      <c r="G648" s="4" t="str">
        <f t="shared" si="61"/>
        <v>AD10_21</v>
      </c>
    </row>
    <row r="649" spans="1:7" s="69" customFormat="1" ht="25.5">
      <c r="A649" s="145" t="s">
        <v>1378</v>
      </c>
      <c r="B649" s="71" t="str">
        <f>A649&amp;". Have you ever invested money using "&amp;Institution!B5&amp;"?"</f>
        <v>AD10.22. Have you ever invested money using a mobile money service?</v>
      </c>
      <c r="C649" s="71" t="s">
        <v>137</v>
      </c>
      <c r="D649" s="70" t="s">
        <v>30</v>
      </c>
      <c r="E649" s="70">
        <v>1</v>
      </c>
      <c r="F649" s="74" t="s">
        <v>1397</v>
      </c>
      <c r="G649" s="4" t="str">
        <f t="shared" si="61"/>
        <v>AD10_22</v>
      </c>
    </row>
    <row r="650" spans="1:7" s="69" customFormat="1" ht="25.5">
      <c r="A650" s="145" t="s">
        <v>1379</v>
      </c>
      <c r="B650" s="71" t="str">
        <f>A650&amp;". Have you ever invested money using "&amp;Institution!B6&amp;"?"</f>
        <v>AD10.23. Have you ever invested money using a smartphone app?</v>
      </c>
      <c r="C650" s="71" t="s">
        <v>137</v>
      </c>
      <c r="D650" s="70" t="s">
        <v>30</v>
      </c>
      <c r="E650" s="70">
        <v>1</v>
      </c>
      <c r="F650" s="74" t="s">
        <v>1398</v>
      </c>
      <c r="G650" s="4" t="str">
        <f t="shared" si="61"/>
        <v>AD10_23</v>
      </c>
    </row>
    <row r="651" spans="1:7" s="69" customFormat="1" ht="25.5">
      <c r="A651" s="145" t="s">
        <v>1380</v>
      </c>
      <c r="B651" s="71" t="str">
        <f>A651&amp;". Have you ever invested money using "&amp;Institution!B7&amp;"?"</f>
        <v>AD10.24. Have you ever invested money using the *99# menu on a mobile phone?</v>
      </c>
      <c r="C651" s="71" t="s">
        <v>137</v>
      </c>
      <c r="D651" s="70" t="s">
        <v>30</v>
      </c>
      <c r="E651" s="70">
        <v>1</v>
      </c>
      <c r="F651" s="74" t="s">
        <v>1399</v>
      </c>
      <c r="G651" s="4" t="str">
        <f t="shared" si="61"/>
        <v>AD10_24</v>
      </c>
    </row>
    <row r="652" spans="1:7" s="69" customFormat="1" ht="25.5">
      <c r="A652" s="145" t="s">
        <v>1381</v>
      </c>
      <c r="B652" s="71" t="str">
        <f>A652&amp;". Have you ever invested money using "&amp;Institution!B8&amp;"?"</f>
        <v>AD10.25. Have you ever invested money using your Aadhaar number and also your fingerprint, iris scan, or a onetime password from your mobile phone?</v>
      </c>
      <c r="C652" s="71" t="s">
        <v>137</v>
      </c>
      <c r="D652" s="70" t="s">
        <v>30</v>
      </c>
      <c r="E652" s="70">
        <v>1</v>
      </c>
      <c r="F652" s="74" t="s">
        <v>1400</v>
      </c>
      <c r="G652" s="4" t="str">
        <f t="shared" si="61"/>
        <v>AD10_25</v>
      </c>
    </row>
    <row r="653" spans="1:7" s="69" customFormat="1" ht="25.5">
      <c r="A653" s="145" t="s">
        <v>1382</v>
      </c>
      <c r="B653" s="71" t="str">
        <f>A653&amp;". Have you ever invested money using "&amp;Institution!B9&amp;"?"</f>
        <v>AD10.26. Have you ever invested money using a Rupay, debit or credit card?</v>
      </c>
      <c r="C653" s="71" t="s">
        <v>137</v>
      </c>
      <c r="D653" s="70" t="s">
        <v>30</v>
      </c>
      <c r="E653" s="70">
        <v>1</v>
      </c>
      <c r="F653" s="74" t="s">
        <v>1401</v>
      </c>
      <c r="G653" s="4" t="str">
        <f t="shared" si="61"/>
        <v>AD10_26</v>
      </c>
    </row>
    <row r="654" spans="1:7" s="69" customFormat="1" ht="25.5">
      <c r="A654" s="145" t="s">
        <v>1383</v>
      </c>
      <c r="B654" s="71" t="str">
        <f>A654&amp;". Have you ever invested money using "&amp;Other!AO2&amp;"?"</f>
        <v>AD10.27. Have you ever invested money using a microfinance institution (MFI)?</v>
      </c>
      <c r="C654" s="71" t="s">
        <v>137</v>
      </c>
      <c r="D654" s="70" t="s">
        <v>30</v>
      </c>
      <c r="E654" s="70">
        <v>1</v>
      </c>
      <c r="F654" s="74" t="s">
        <v>1402</v>
      </c>
      <c r="G654" s="4" t="str">
        <f t="shared" si="61"/>
        <v>AD10_27</v>
      </c>
    </row>
    <row r="655" spans="1:7" s="69" customFormat="1" ht="25.5">
      <c r="A655" s="145" t="s">
        <v>1384</v>
      </c>
      <c r="B655" s="71" t="str">
        <f>A655&amp;". Have you ever invested money using "&amp;Other!AO3&amp;"?"</f>
        <v>AD10.28. Have you ever invested money using a self help group or cooperative?</v>
      </c>
      <c r="C655" s="71" t="s">
        <v>137</v>
      </c>
      <c r="D655" s="70" t="s">
        <v>30</v>
      </c>
      <c r="E655" s="70">
        <v>1</v>
      </c>
      <c r="F655" s="74" t="s">
        <v>1403</v>
      </c>
      <c r="G655" s="4" t="str">
        <f t="shared" si="61"/>
        <v>AD10_28</v>
      </c>
    </row>
    <row r="656" spans="1:7" s="69" customFormat="1" ht="76.5">
      <c r="A656" s="145" t="s">
        <v>1385</v>
      </c>
      <c r="B656" s="71" t="str">
        <f>A656&amp;". When was the last time you invested money using "&amp;Institution!B2&amp;"?"</f>
        <v>AD10.29. When was the last time you invested money using a bank?</v>
      </c>
      <c r="C656" s="44" t="s">
        <v>295</v>
      </c>
      <c r="D656" s="70" t="s">
        <v>30</v>
      </c>
      <c r="E656" s="70">
        <v>1</v>
      </c>
      <c r="F656" s="144" t="s">
        <v>1404</v>
      </c>
      <c r="G656" s="4" t="str">
        <f t="shared" si="61"/>
        <v>AD10_29</v>
      </c>
    </row>
    <row r="657" spans="1:7" s="69" customFormat="1" ht="76.5">
      <c r="A657" s="145" t="s">
        <v>1386</v>
      </c>
      <c r="B657" s="71" t="str">
        <f>A657&amp;". When was the last time you invested money using "&amp;Institution!B3&amp;"?"</f>
        <v>AD10.30. When was the last time you invested money using a post office bank?</v>
      </c>
      <c r="C657" s="44" t="s">
        <v>295</v>
      </c>
      <c r="D657" s="70" t="s">
        <v>30</v>
      </c>
      <c r="E657" s="70">
        <v>1</v>
      </c>
      <c r="F657" s="144" t="s">
        <v>1405</v>
      </c>
      <c r="G657" s="4" t="str">
        <f t="shared" si="61"/>
        <v>AD10_30</v>
      </c>
    </row>
    <row r="658" spans="1:7" s="69" customFormat="1" ht="76.5">
      <c r="A658" s="145" t="s">
        <v>1387</v>
      </c>
      <c r="B658" s="71" t="str">
        <f>A658&amp;". When was the last time you invested money using "&amp;Institution!B4&amp;"?"</f>
        <v>AD10.31. When was the last time you invested money using a payments bank?</v>
      </c>
      <c r="C658" s="44" t="s">
        <v>295</v>
      </c>
      <c r="D658" s="70" t="s">
        <v>30</v>
      </c>
      <c r="E658" s="70">
        <v>1</v>
      </c>
      <c r="F658" s="144" t="s">
        <v>1406</v>
      </c>
      <c r="G658" s="4" t="str">
        <f t="shared" si="61"/>
        <v>AD10_31</v>
      </c>
    </row>
    <row r="659" spans="1:7" s="69" customFormat="1" ht="76.5">
      <c r="A659" s="145" t="s">
        <v>1388</v>
      </c>
      <c r="B659" s="71" t="str">
        <f>A659&amp;". When was the last time you invested money using "&amp;Institution!B5&amp;"?"</f>
        <v>AD10.32. When was the last time you invested money using a mobile money service?</v>
      </c>
      <c r="C659" s="44" t="s">
        <v>295</v>
      </c>
      <c r="D659" s="70" t="s">
        <v>30</v>
      </c>
      <c r="E659" s="70">
        <v>1</v>
      </c>
      <c r="F659" s="144" t="s">
        <v>1407</v>
      </c>
      <c r="G659" s="4" t="str">
        <f t="shared" si="61"/>
        <v>AD10_32</v>
      </c>
    </row>
    <row r="660" spans="1:7" s="69" customFormat="1" ht="76.5">
      <c r="A660" s="145" t="s">
        <v>1389</v>
      </c>
      <c r="B660" s="71" t="str">
        <f>A660&amp;". When was the last time you invested money using "&amp;Institution!B6&amp;"?"</f>
        <v>AD10.33. When was the last time you invested money using a smartphone app?</v>
      </c>
      <c r="C660" s="44" t="s">
        <v>295</v>
      </c>
      <c r="D660" s="70" t="s">
        <v>30</v>
      </c>
      <c r="E660" s="70">
        <v>1</v>
      </c>
      <c r="F660" s="144" t="s">
        <v>1408</v>
      </c>
      <c r="G660" s="4" t="str">
        <f t="shared" si="61"/>
        <v>AD10_33</v>
      </c>
    </row>
    <row r="661" spans="1:7" s="69" customFormat="1" ht="76.5">
      <c r="A661" s="145" t="s">
        <v>1390</v>
      </c>
      <c r="B661" s="71" t="str">
        <f>A661&amp;". When was the last time you invested money using "&amp;Institution!B7&amp;"?"</f>
        <v>AD10.34. When was the last time you invested money using the *99# menu on a mobile phone?</v>
      </c>
      <c r="C661" s="44" t="s">
        <v>295</v>
      </c>
      <c r="D661" s="70" t="s">
        <v>30</v>
      </c>
      <c r="E661" s="70">
        <v>1</v>
      </c>
      <c r="F661" s="144" t="s">
        <v>1409</v>
      </c>
      <c r="G661" s="4" t="str">
        <f t="shared" si="61"/>
        <v>AD10_34</v>
      </c>
    </row>
    <row r="662" spans="1:7" s="69" customFormat="1" ht="76.5">
      <c r="A662" s="145" t="s">
        <v>1391</v>
      </c>
      <c r="B662" s="71" t="str">
        <f>A662&amp;". When was the last time you invested money using "&amp;Institution!B8&amp;"?"</f>
        <v>AD10.35. When was the last time you invested money using your Aadhaar number and also your fingerprint, iris scan, or a onetime password from your mobile phone?</v>
      </c>
      <c r="C662" s="44" t="s">
        <v>295</v>
      </c>
      <c r="D662" s="70" t="s">
        <v>30</v>
      </c>
      <c r="E662" s="70">
        <v>1</v>
      </c>
      <c r="F662" s="144" t="s">
        <v>1410</v>
      </c>
      <c r="G662" s="4" t="str">
        <f t="shared" si="61"/>
        <v>AD10_35</v>
      </c>
    </row>
    <row r="663" spans="1:7" s="69" customFormat="1" ht="76.5">
      <c r="A663" s="145" t="s">
        <v>1392</v>
      </c>
      <c r="B663" s="71" t="str">
        <f>A663&amp;". When was the last time you invested money using "&amp;Institution!B9&amp;"?"</f>
        <v>AD10.36. When was the last time you invested money using a Rupay, debit or credit card?</v>
      </c>
      <c r="C663" s="44" t="s">
        <v>295</v>
      </c>
      <c r="D663" s="70" t="s">
        <v>30</v>
      </c>
      <c r="E663" s="70">
        <v>1</v>
      </c>
      <c r="F663" s="144" t="s">
        <v>1411</v>
      </c>
      <c r="G663" s="4" t="str">
        <f t="shared" si="61"/>
        <v>AD10_36</v>
      </c>
    </row>
    <row r="664" spans="1:7" s="69" customFormat="1" ht="76.5">
      <c r="A664" s="145" t="s">
        <v>1393</v>
      </c>
      <c r="B664" s="71" t="str">
        <f>A664&amp;". When was the last time you invested money using "&amp;Other!AO2&amp;"?"</f>
        <v>AD10.37. When was the last time you invested money using a microfinance institution (MFI)?</v>
      </c>
      <c r="C664" s="44" t="s">
        <v>295</v>
      </c>
      <c r="D664" s="70" t="s">
        <v>30</v>
      </c>
      <c r="E664" s="70">
        <v>1</v>
      </c>
      <c r="F664" s="144" t="s">
        <v>1633</v>
      </c>
      <c r="G664" s="4" t="str">
        <f t="shared" si="61"/>
        <v>AD10_37</v>
      </c>
    </row>
    <row r="665" spans="1:7" s="69" customFormat="1" ht="76.5">
      <c r="A665" s="145" t="s">
        <v>1630</v>
      </c>
      <c r="B665" s="71" t="str">
        <f>A665&amp;". When was the last time you invested money using "&amp;Other!AO3&amp;"?"</f>
        <v>AD10.38. When was the last time you invested money using a self help group or cooperative?</v>
      </c>
      <c r="C665" s="44" t="s">
        <v>295</v>
      </c>
      <c r="D665" s="70" t="s">
        <v>30</v>
      </c>
      <c r="E665" s="70">
        <v>1</v>
      </c>
      <c r="F665" s="144" t="s">
        <v>1634</v>
      </c>
      <c r="G665" s="4" t="str">
        <f t="shared" si="61"/>
        <v>AD10_38</v>
      </c>
    </row>
    <row r="666" spans="1:7" s="69" customFormat="1" ht="56.25" customHeight="1">
      <c r="A666" s="145" t="s">
        <v>1631</v>
      </c>
      <c r="B666" s="71" t="str">
        <f>A666&amp;". When was the last time you invested money using cash?"</f>
        <v>AD10.39. When was the last time you invested money using cash?</v>
      </c>
      <c r="C666" s="44" t="s">
        <v>196</v>
      </c>
      <c r="D666" s="70" t="s">
        <v>30</v>
      </c>
      <c r="E666" s="70">
        <v>1</v>
      </c>
      <c r="F666" s="74" t="s">
        <v>1229</v>
      </c>
      <c r="G666" s="4" t="str">
        <f t="shared" si="61"/>
        <v>AD10_39</v>
      </c>
    </row>
    <row r="667" spans="1:7" s="69" customFormat="1" ht="57.75" customHeight="1">
      <c r="A667" s="162" t="s">
        <v>1578</v>
      </c>
      <c r="B667" s="162"/>
      <c r="C667" s="162"/>
      <c r="D667" s="162"/>
      <c r="E667" s="162"/>
      <c r="F667" s="87" t="s">
        <v>15</v>
      </c>
      <c r="G667" s="87"/>
    </row>
    <row r="668" spans="1:7" s="69" customFormat="1" ht="14.25">
      <c r="A668" s="6" t="s">
        <v>4</v>
      </c>
      <c r="B668" s="7" t="s">
        <v>5</v>
      </c>
      <c r="C668" s="7" t="s">
        <v>6</v>
      </c>
      <c r="D668" s="6" t="s">
        <v>7</v>
      </c>
      <c r="E668" s="7" t="s">
        <v>8</v>
      </c>
      <c r="F668" s="7" t="s">
        <v>9</v>
      </c>
      <c r="G668" s="6" t="s">
        <v>10</v>
      </c>
    </row>
    <row r="669" spans="1:7" s="69" customFormat="1" ht="25.5">
      <c r="A669" s="70" t="s">
        <v>1255</v>
      </c>
      <c r="B669" s="71" t="str">
        <f>A669&amp;". Have you ever borrowed money from someone outside your household or bought something on credit?"</f>
        <v>AD11. Have you ever borrowed money from someone outside your household or bought something on credit?</v>
      </c>
      <c r="C669" s="71" t="s">
        <v>137</v>
      </c>
      <c r="D669" s="70" t="s">
        <v>30</v>
      </c>
      <c r="E669" s="70">
        <v>1</v>
      </c>
      <c r="F669" s="72" t="s">
        <v>371</v>
      </c>
      <c r="G669" s="73" t="str">
        <f t="shared" ref="G669:G703" si="64">SUBSTITUTE(A669,".","_")</f>
        <v>AD11</v>
      </c>
    </row>
    <row r="670" spans="1:7" s="69" customFormat="1" ht="25.5">
      <c r="A670" s="70" t="s">
        <v>1256</v>
      </c>
      <c r="B670" s="152" t="str">
        <f>A670&amp;". Have you ever purchased something using credit from a store or shopkeeper or repaid money you owed for a purchase you made on credit?"</f>
        <v>AD11.1. Have you ever purchased something using credit from a store or shopkeeper or repaid money you owed for a purchase you made on credit?</v>
      </c>
      <c r="C670" s="71" t="s">
        <v>137</v>
      </c>
      <c r="D670" s="70" t="s">
        <v>30</v>
      </c>
      <c r="E670" s="70">
        <v>1</v>
      </c>
      <c r="F670" s="74" t="s">
        <v>1257</v>
      </c>
      <c r="G670" s="73" t="str">
        <f t="shared" si="64"/>
        <v>AD11_1</v>
      </c>
    </row>
    <row r="671" spans="1:7" s="69" customFormat="1" ht="25.5">
      <c r="A671" s="70" t="s">
        <v>1258</v>
      </c>
      <c r="B671" s="152" t="str">
        <f>A671&amp;". Have you ever purchased something using a credit card or repaid money you owed for a purchase you made using a credit card?"</f>
        <v>AD11.2. Have you ever purchased something using a credit card or repaid money you owed for a purchase you made using a credit card?</v>
      </c>
      <c r="C671" s="71" t="s">
        <v>137</v>
      </c>
      <c r="D671" s="70" t="s">
        <v>30</v>
      </c>
      <c r="E671" s="70">
        <v>1</v>
      </c>
      <c r="F671" s="74" t="s">
        <v>1428</v>
      </c>
      <c r="G671" s="73" t="str">
        <f t="shared" si="64"/>
        <v>AD11_2</v>
      </c>
    </row>
    <row r="672" spans="1:7" s="69" customFormat="1" ht="25.5">
      <c r="A672" s="70" t="s">
        <v>1259</v>
      </c>
      <c r="B672" s="71" t="str">
        <f>A672&amp;". Have you ever borrowed money from a microfinance institution (MFI)?"</f>
        <v>AD11.3. Have you ever borrowed money from a microfinance institution (MFI)?</v>
      </c>
      <c r="C672" s="71" t="s">
        <v>137</v>
      </c>
      <c r="D672" s="70" t="s">
        <v>30</v>
      </c>
      <c r="E672" s="70">
        <v>1</v>
      </c>
      <c r="F672" s="74" t="s">
        <v>1419</v>
      </c>
      <c r="G672" s="73" t="str">
        <f t="shared" si="64"/>
        <v>AD11_3</v>
      </c>
    </row>
    <row r="673" spans="1:7" s="69" customFormat="1" ht="25.5">
      <c r="A673" s="70" t="s">
        <v>1260</v>
      </c>
      <c r="B673" s="71" t="str">
        <f>A673&amp;". Have you ever borrowed money from a private moneylender?"</f>
        <v>AD11.4. Have you ever borrowed money from a private moneylender?</v>
      </c>
      <c r="C673" s="71" t="s">
        <v>137</v>
      </c>
      <c r="D673" s="70" t="s">
        <v>30</v>
      </c>
      <c r="E673" s="70">
        <v>1</v>
      </c>
      <c r="F673" s="74" t="s">
        <v>1257</v>
      </c>
      <c r="G673" s="73" t="str">
        <f t="shared" si="64"/>
        <v>AD11_4</v>
      </c>
    </row>
    <row r="674" spans="1:7" s="69" customFormat="1" ht="25.5">
      <c r="A674" s="70" t="s">
        <v>1261</v>
      </c>
      <c r="B674" s="71" t="str">
        <f>A674&amp;". Have you ever borrowed money from a pawnshop?"</f>
        <v>AD11.5. Have you ever borrowed money from a pawnshop?</v>
      </c>
      <c r="C674" s="71" t="s">
        <v>137</v>
      </c>
      <c r="D674" s="70" t="s">
        <v>30</v>
      </c>
      <c r="E674" s="70">
        <v>1</v>
      </c>
      <c r="F674" s="74" t="s">
        <v>1257</v>
      </c>
      <c r="G674" s="73" t="str">
        <f t="shared" si="64"/>
        <v>AD11_5</v>
      </c>
    </row>
    <row r="675" spans="1:7" s="69" customFormat="1" ht="25.5">
      <c r="A675" s="70" t="s">
        <v>1262</v>
      </c>
      <c r="B675" s="71" t="str">
        <f>A675&amp;". Have you ever borrowed money or used credit from a self help group or cooperative?"</f>
        <v>AD11.6. Have you ever borrowed money or used credit from a self help group or cooperative?</v>
      </c>
      <c r="C675" s="71" t="s">
        <v>137</v>
      </c>
      <c r="D675" s="70" t="s">
        <v>30</v>
      </c>
      <c r="E675" s="70">
        <v>1</v>
      </c>
      <c r="F675" s="74" t="s">
        <v>1420</v>
      </c>
      <c r="G675" s="73" t="str">
        <f t="shared" si="64"/>
        <v>AD11_6</v>
      </c>
    </row>
    <row r="676" spans="1:7" s="69" customFormat="1" ht="25.5">
      <c r="A676" s="70" t="s">
        <v>1263</v>
      </c>
      <c r="B676" s="71" t="str">
        <f>A676&amp;". Have you ever borrowed money or used credit from "&amp;Institution!B2&amp;"?"</f>
        <v>AD11.7. Have you ever borrowed money or used credit from a bank?</v>
      </c>
      <c r="C676" s="71" t="s">
        <v>137</v>
      </c>
      <c r="D676" s="70" t="s">
        <v>30</v>
      </c>
      <c r="E676" s="70">
        <v>1</v>
      </c>
      <c r="F676" s="74" t="s">
        <v>1421</v>
      </c>
      <c r="G676" s="73" t="str">
        <f t="shared" si="64"/>
        <v>AD11_7</v>
      </c>
    </row>
    <row r="677" spans="1:7" s="69" customFormat="1" ht="25.5">
      <c r="A677" s="70" t="s">
        <v>1264</v>
      </c>
      <c r="B677" s="71" t="str">
        <f>A677&amp;". Have you ever borrowed money or used credit from "&amp;Institution!B3&amp;"?"</f>
        <v>AD11.8. Have you ever borrowed money or used credit from a post office bank?</v>
      </c>
      <c r="C677" s="71" t="s">
        <v>137</v>
      </c>
      <c r="D677" s="70" t="s">
        <v>30</v>
      </c>
      <c r="E677" s="70">
        <v>1</v>
      </c>
      <c r="F677" s="74" t="s">
        <v>1422</v>
      </c>
      <c r="G677" s="73" t="str">
        <f t="shared" si="64"/>
        <v>AD11_8</v>
      </c>
    </row>
    <row r="678" spans="1:7" s="69" customFormat="1" ht="25.5">
      <c r="A678" s="70" t="s">
        <v>1265</v>
      </c>
      <c r="B678" s="71" t="str">
        <f>A678&amp;". Have you ever borrowed money or used credit from "&amp;Institution!B4&amp;"?"</f>
        <v>AD11.9. Have you ever borrowed money or used credit from a payments bank?</v>
      </c>
      <c r="C678" s="71" t="s">
        <v>137</v>
      </c>
      <c r="D678" s="70" t="s">
        <v>30</v>
      </c>
      <c r="E678" s="70">
        <v>1</v>
      </c>
      <c r="F678" s="74" t="s">
        <v>1423</v>
      </c>
      <c r="G678" s="73" t="str">
        <f t="shared" si="64"/>
        <v>AD11_9</v>
      </c>
    </row>
    <row r="679" spans="1:7" s="69" customFormat="1" ht="25.5">
      <c r="A679" s="70" t="s">
        <v>1266</v>
      </c>
      <c r="B679" s="71" t="str">
        <f>A679&amp;". Have you ever repaid some money you owed using "&amp;Institution!B4&amp;"?"</f>
        <v>AD11.10. Have you ever repaid some money you owed using a payments bank?</v>
      </c>
      <c r="C679" s="71" t="s">
        <v>137</v>
      </c>
      <c r="D679" s="70" t="s">
        <v>30</v>
      </c>
      <c r="E679" s="70">
        <v>1</v>
      </c>
      <c r="F679" s="74" t="s">
        <v>1423</v>
      </c>
      <c r="G679" s="73" t="str">
        <f t="shared" si="64"/>
        <v>AD11_10</v>
      </c>
    </row>
    <row r="680" spans="1:7" s="69" customFormat="1" ht="25.5">
      <c r="A680" s="70" t="s">
        <v>1267</v>
      </c>
      <c r="B680" s="71" t="str">
        <f>A680&amp;". Have you ever repaid some money you owed using "&amp;Institution!B5&amp;"?"</f>
        <v>AD11.11. Have you ever repaid some money you owed using a mobile money service?</v>
      </c>
      <c r="C680" s="71" t="s">
        <v>137</v>
      </c>
      <c r="D680" s="70" t="s">
        <v>30</v>
      </c>
      <c r="E680" s="70">
        <v>1</v>
      </c>
      <c r="F680" s="74" t="s">
        <v>1424</v>
      </c>
      <c r="G680" s="73" t="str">
        <f t="shared" si="64"/>
        <v>AD11_11</v>
      </c>
    </row>
    <row r="681" spans="1:7" s="69" customFormat="1" ht="25.5">
      <c r="A681" s="70" t="s">
        <v>1268</v>
      </c>
      <c r="B681" s="71" t="str">
        <f>A681&amp;". Have you ever repaid some money you owed using "&amp;Institution!B6&amp;"?"</f>
        <v>AD11.12. Have you ever repaid some money you owed using a smartphone app?</v>
      </c>
      <c r="C681" s="71" t="s">
        <v>137</v>
      </c>
      <c r="D681" s="70" t="s">
        <v>30</v>
      </c>
      <c r="E681" s="70">
        <v>1</v>
      </c>
      <c r="F681" s="74" t="s">
        <v>1425</v>
      </c>
      <c r="G681" s="73" t="str">
        <f t="shared" si="64"/>
        <v>AD11_12</v>
      </c>
    </row>
    <row r="682" spans="1:7" s="69" customFormat="1" ht="25.5">
      <c r="A682" s="70" t="s">
        <v>1269</v>
      </c>
      <c r="B682" s="71" t="str">
        <f>A682&amp;". Have you ever repaid some money you owed using "&amp;Institution!B7&amp;"?"</f>
        <v>AD11.13. Have you ever repaid some money you owed using the *99# menu on a mobile phone?</v>
      </c>
      <c r="C682" s="71" t="s">
        <v>137</v>
      </c>
      <c r="D682" s="70" t="s">
        <v>30</v>
      </c>
      <c r="E682" s="70">
        <v>1</v>
      </c>
      <c r="F682" s="74" t="s">
        <v>1426</v>
      </c>
      <c r="G682" s="73" t="str">
        <f t="shared" si="64"/>
        <v>AD11_13</v>
      </c>
    </row>
    <row r="683" spans="1:7" s="69" customFormat="1" ht="25.5">
      <c r="A683" s="70" t="s">
        <v>1270</v>
      </c>
      <c r="B683" s="71" t="str">
        <f>A683&amp;". Have you ever repaid some money you owed using "&amp;Institution!B8&amp;"?"</f>
        <v>AD11.14. Have you ever repaid some money you owed using your Aadhaar number and also your fingerprint, iris scan, or a onetime password from your mobile phone?</v>
      </c>
      <c r="C683" s="71" t="s">
        <v>137</v>
      </c>
      <c r="D683" s="70" t="s">
        <v>30</v>
      </c>
      <c r="E683" s="70">
        <v>1</v>
      </c>
      <c r="F683" s="74" t="s">
        <v>1427</v>
      </c>
      <c r="G683" s="73" t="str">
        <f t="shared" si="64"/>
        <v>AD11_14</v>
      </c>
    </row>
    <row r="684" spans="1:7" s="69" customFormat="1" ht="76.5">
      <c r="A684" s="70" t="s">
        <v>1271</v>
      </c>
      <c r="B684" s="71" t="str">
        <f>A684&amp;". When was the last time you borrowed money or repaid some money you owed to someone outside your household?"</f>
        <v>AD11.15. When was the last time you borrowed money or repaid some money you owed to someone outside your household?</v>
      </c>
      <c r="C684" s="44" t="s">
        <v>295</v>
      </c>
      <c r="D684" s="70" t="s">
        <v>30</v>
      </c>
      <c r="E684" s="70">
        <v>1</v>
      </c>
      <c r="F684" s="74" t="s">
        <v>1257</v>
      </c>
      <c r="G684" s="73" t="str">
        <f t="shared" si="64"/>
        <v>AD11_15</v>
      </c>
    </row>
    <row r="685" spans="1:7" s="69" customFormat="1" ht="76.5">
      <c r="A685" s="70" t="s">
        <v>1272</v>
      </c>
      <c r="B685" s="152" t="str">
        <f>A685&amp;".When was the last time you purchased something using credit from a store or shopkeeper or repaid money you owed for a purchase you made on credit?"</f>
        <v>AD11.16.When was the last time you purchased something using credit from a store or shopkeeper or repaid money you owed for a purchase you made on credit?</v>
      </c>
      <c r="C685" s="44" t="s">
        <v>295</v>
      </c>
      <c r="D685" s="70" t="s">
        <v>30</v>
      </c>
      <c r="E685" s="70">
        <v>1</v>
      </c>
      <c r="F685" s="74" t="s">
        <v>1273</v>
      </c>
      <c r="G685" s="73" t="str">
        <f t="shared" si="64"/>
        <v>AD11_16</v>
      </c>
    </row>
    <row r="686" spans="1:7" s="69" customFormat="1" ht="76.5">
      <c r="A686" s="70" t="s">
        <v>1274</v>
      </c>
      <c r="B686" s="152" t="str">
        <f>A686&amp;".When was the last time you purchased something using a credit card or repaid money you owed for a purchase you made using a credit card?"</f>
        <v>AD11.17.When was the last time you purchased something using a credit card or repaid money you owed for a purchase you made using a credit card?</v>
      </c>
      <c r="C686" s="44" t="s">
        <v>295</v>
      </c>
      <c r="D686" s="70" t="s">
        <v>30</v>
      </c>
      <c r="E686" s="70">
        <v>1</v>
      </c>
      <c r="F686" s="74" t="s">
        <v>1275</v>
      </c>
      <c r="G686" s="73" t="str">
        <f t="shared" si="64"/>
        <v>AD11_17</v>
      </c>
    </row>
    <row r="687" spans="1:7" s="69" customFormat="1" ht="76.5">
      <c r="A687" s="70" t="s">
        <v>1276</v>
      </c>
      <c r="B687" s="71" t="str">
        <f>A687&amp;". When was the last time you borrowed money or repaid some money you owed to a microfinance institution (MFI)?"</f>
        <v>AD11.18. When was the last time you borrowed money or repaid some money you owed to a microfinance institution (MFI)?</v>
      </c>
      <c r="C687" s="44" t="s">
        <v>295</v>
      </c>
      <c r="D687" s="70" t="s">
        <v>30</v>
      </c>
      <c r="E687" s="70">
        <v>1</v>
      </c>
      <c r="F687" s="74" t="s">
        <v>1277</v>
      </c>
      <c r="G687" s="73" t="str">
        <f t="shared" si="64"/>
        <v>AD11_18</v>
      </c>
    </row>
    <row r="688" spans="1:7" s="69" customFormat="1" ht="76.5">
      <c r="A688" s="70" t="s">
        <v>1278</v>
      </c>
      <c r="B688" s="71" t="str">
        <f>A688&amp;". When was the last time you borrowed money or repaid some money you owed to a private moneylender?"</f>
        <v>AD11.19. When was the last time you borrowed money or repaid some money you owed to a private moneylender?</v>
      </c>
      <c r="C688" s="44" t="s">
        <v>295</v>
      </c>
      <c r="D688" s="70" t="s">
        <v>30</v>
      </c>
      <c r="E688" s="70">
        <v>1</v>
      </c>
      <c r="F688" s="74" t="s">
        <v>1279</v>
      </c>
      <c r="G688" s="73" t="str">
        <f t="shared" si="64"/>
        <v>AD11_19</v>
      </c>
    </row>
    <row r="689" spans="1:8" s="69" customFormat="1" ht="76.5">
      <c r="A689" s="70" t="s">
        <v>1280</v>
      </c>
      <c r="B689" s="71" t="str">
        <f>A689&amp;". When was the last time you borrowed money or repaid some money you owed to a pawnshop?"</f>
        <v>AD11.20. When was the last time you borrowed money or repaid some money you owed to a pawnshop?</v>
      </c>
      <c r="C689" s="44" t="s">
        <v>295</v>
      </c>
      <c r="D689" s="70" t="s">
        <v>30</v>
      </c>
      <c r="E689" s="70">
        <v>1</v>
      </c>
      <c r="F689" s="74" t="s">
        <v>1281</v>
      </c>
      <c r="G689" s="73" t="str">
        <f t="shared" si="64"/>
        <v>AD11_20</v>
      </c>
    </row>
    <row r="690" spans="1:8" s="69" customFormat="1" ht="76.5">
      <c r="A690" s="70" t="s">
        <v>1282</v>
      </c>
      <c r="B690" s="137" t="str">
        <f>A690&amp;". When was the last time you borrowed money or repaid some money you owed to a self help group or cooperative?"</f>
        <v>AD11.21. When was the last time you borrowed money or repaid some money you owed to a self help group or cooperative?</v>
      </c>
      <c r="C690" s="44" t="s">
        <v>295</v>
      </c>
      <c r="D690" s="70" t="s">
        <v>30</v>
      </c>
      <c r="E690" s="70">
        <v>1</v>
      </c>
      <c r="F690" s="74" t="s">
        <v>1283</v>
      </c>
      <c r="G690" s="73" t="str">
        <f t="shared" si="64"/>
        <v>AD11_21</v>
      </c>
    </row>
    <row r="691" spans="1:8" s="69" customFormat="1" ht="76.5">
      <c r="A691" s="70" t="s">
        <v>1284</v>
      </c>
      <c r="B691" s="71" t="str">
        <f>A691&amp;". When was the last time you borrowed money or repaid some money you owed to "&amp;Institution!B2&amp;"?"</f>
        <v>AD11.22. When was the last time you borrowed money or repaid some money you owed to a bank?</v>
      </c>
      <c r="C691" s="44" t="s">
        <v>295</v>
      </c>
      <c r="D691" s="70" t="s">
        <v>30</v>
      </c>
      <c r="E691" s="70">
        <v>1</v>
      </c>
      <c r="F691" s="74" t="s">
        <v>1285</v>
      </c>
      <c r="G691" s="73" t="str">
        <f t="shared" si="64"/>
        <v>AD11_22</v>
      </c>
    </row>
    <row r="692" spans="1:8" s="69" customFormat="1" ht="76.5">
      <c r="A692" s="70" t="s">
        <v>1286</v>
      </c>
      <c r="B692" s="71" t="str">
        <f>A692&amp;". When was the last time you borrowed money or repaid some money you owed to "&amp;Institution!B3&amp;"?"</f>
        <v>AD11.23. When was the last time you borrowed money or repaid some money you owed to a post office bank?</v>
      </c>
      <c r="C692" s="44" t="s">
        <v>295</v>
      </c>
      <c r="D692" s="70" t="s">
        <v>30</v>
      </c>
      <c r="E692" s="70">
        <v>1</v>
      </c>
      <c r="F692" s="74" t="s">
        <v>1287</v>
      </c>
      <c r="G692" s="73" t="str">
        <f t="shared" si="64"/>
        <v>AD11_23</v>
      </c>
    </row>
    <row r="693" spans="1:8" s="69" customFormat="1" ht="76.5">
      <c r="A693" s="70" t="s">
        <v>1288</v>
      </c>
      <c r="B693" s="71" t="str">
        <f>A693&amp;". When was the last time you used "&amp;Institution!B4&amp;" to repay some money you owed?"</f>
        <v>AD11.24. When was the last time you used a payments bank to repay some money you owed?</v>
      </c>
      <c r="C693" s="44" t="s">
        <v>295</v>
      </c>
      <c r="D693" s="70" t="s">
        <v>30</v>
      </c>
      <c r="E693" s="70">
        <v>1</v>
      </c>
      <c r="F693" s="74" t="s">
        <v>1414</v>
      </c>
      <c r="G693" s="73" t="str">
        <f t="shared" si="64"/>
        <v>AD11_24</v>
      </c>
    </row>
    <row r="694" spans="1:8" s="69" customFormat="1" ht="76.5">
      <c r="A694" s="70" t="s">
        <v>1289</v>
      </c>
      <c r="B694" s="71" t="str">
        <f>A694&amp;". When was the last time you used "&amp;Institution!B5&amp;" to repay some money you owed?"</f>
        <v>AD11.25. When was the last time you used a mobile money service to repay some money you owed?</v>
      </c>
      <c r="C694" s="44" t="s">
        <v>295</v>
      </c>
      <c r="D694" s="70" t="s">
        <v>30</v>
      </c>
      <c r="E694" s="70">
        <v>1</v>
      </c>
      <c r="F694" s="74" t="s">
        <v>1415</v>
      </c>
      <c r="G694" s="73" t="str">
        <f t="shared" si="64"/>
        <v>AD11_25</v>
      </c>
    </row>
    <row r="695" spans="1:8" s="36" customFormat="1" ht="76.5">
      <c r="A695" s="70" t="s">
        <v>1290</v>
      </c>
      <c r="B695" s="71" t="str">
        <f>A695&amp;". When was the last time you used "&amp;Institution!B6&amp;" to repay some money you owed?"</f>
        <v>AD11.26. When was the last time you used a smartphone app to repay some money you owed?</v>
      </c>
      <c r="C695" s="44" t="s">
        <v>295</v>
      </c>
      <c r="D695" s="70" t="s">
        <v>30</v>
      </c>
      <c r="E695" s="70">
        <v>1</v>
      </c>
      <c r="F695" s="74" t="s">
        <v>1416</v>
      </c>
      <c r="G695" s="73" t="str">
        <f t="shared" si="64"/>
        <v>AD11_26</v>
      </c>
    </row>
    <row r="696" spans="1:8" s="36" customFormat="1" ht="76.5">
      <c r="A696" s="70" t="s">
        <v>1291</v>
      </c>
      <c r="B696" s="71" t="str">
        <f>A696&amp;". When was the last time you used "&amp;Institution!B7&amp;" to repay some money you owed?"</f>
        <v>AD11.27. When was the last time you used the *99# menu on a mobile phone to repay some money you owed?</v>
      </c>
      <c r="C696" s="44" t="s">
        <v>295</v>
      </c>
      <c r="D696" s="70" t="s">
        <v>30</v>
      </c>
      <c r="E696" s="70">
        <v>1</v>
      </c>
      <c r="F696" s="74" t="s">
        <v>1417</v>
      </c>
      <c r="G696" s="73" t="str">
        <f t="shared" si="64"/>
        <v>AD11_27</v>
      </c>
    </row>
    <row r="697" spans="1:8" s="36" customFormat="1" ht="76.5">
      <c r="A697" s="70" t="s">
        <v>1292</v>
      </c>
      <c r="B697" s="71" t="str">
        <f>A697&amp;". When was the last time you used "&amp;Institution!B8&amp;" to repay some money you owed?"</f>
        <v>AD11.28. When was the last time you used your Aadhaar number and also your fingerprint, iris scan, or a onetime password from your mobile phone to repay some money you owed?</v>
      </c>
      <c r="C697" s="44" t="s">
        <v>295</v>
      </c>
      <c r="D697" s="70" t="s">
        <v>30</v>
      </c>
      <c r="E697" s="70">
        <v>1</v>
      </c>
      <c r="F697" s="74" t="s">
        <v>1418</v>
      </c>
      <c r="G697" s="73" t="str">
        <f t="shared" si="64"/>
        <v>AD11_28</v>
      </c>
    </row>
    <row r="698" spans="1:8" s="36" customFormat="1" ht="102">
      <c r="A698" s="60" t="s">
        <v>772</v>
      </c>
      <c r="B698" s="136" t="str">
        <f>A698&amp;". Many people need extra time to repay money they borrowed. When you borrow money or make purchases on credit, how often does the deadline pass before you are able to repay what you borrowed?"</f>
        <v>FB19. Many people need extra time to repay money they borrowed. When you borrow money or make purchases on credit, how often does the deadline pass before you are able to repay what you borrowed?</v>
      </c>
      <c r="C698" s="136" t="s">
        <v>1619</v>
      </c>
      <c r="D698" s="60" t="s">
        <v>30</v>
      </c>
      <c r="E698" s="60">
        <v>2</v>
      </c>
      <c r="F698" s="83" t="s">
        <v>1257</v>
      </c>
      <c r="G698" s="4" t="str">
        <f t="shared" si="64"/>
        <v>FB19</v>
      </c>
      <c r="H698" s="67"/>
    </row>
    <row r="699" spans="1:8" s="40" customFormat="1" ht="38.25">
      <c r="A699" s="60" t="s">
        <v>1293</v>
      </c>
      <c r="B699" s="44" t="str">
        <f>A699&amp;". Now I’m going to read a list of reasons why some people borrow money. For each one that I read, please tell me whether or not you borrowed in the past 12 months for this purpose? "&amp;Other!AI2</f>
        <v>FB19.1. Now I’m going to read a list of reasons why some people borrow money. For each one that I read, please tell me whether or not you borrowed in the past 12 months for this purpose? To pay for emergency expenses (e.g., medical bills)</v>
      </c>
      <c r="C699" s="44" t="s">
        <v>615</v>
      </c>
      <c r="D699" s="60" t="s">
        <v>30</v>
      </c>
      <c r="E699" s="60">
        <v>1</v>
      </c>
      <c r="F699" s="83" t="s">
        <v>1257</v>
      </c>
      <c r="G699" s="4" t="str">
        <f t="shared" si="64"/>
        <v>FB19_1</v>
      </c>
    </row>
    <row r="700" spans="1:8" s="40" customFormat="1" ht="38.25">
      <c r="A700" s="60" t="s">
        <v>1294</v>
      </c>
      <c r="B700" s="44" t="str">
        <f>A700&amp;". Now I’m going to read a list of reasons why some people borrow money. For each one that I read, please tell me whether or not you borrowed in the past 12 months for this purpose? "&amp;Other!AI3</f>
        <v>FB19.2. Now I’m going to read a list of reasons why some people borrow money. For each one that I read, please tell me whether or not you borrowed in the past 12 months for this purpose? To pay for daily expenses (e.g., food, transportation, etc.)</v>
      </c>
      <c r="C700" s="44" t="s">
        <v>615</v>
      </c>
      <c r="D700" s="60" t="s">
        <v>30</v>
      </c>
      <c r="E700" s="60">
        <v>1</v>
      </c>
      <c r="F700" s="83" t="s">
        <v>1257</v>
      </c>
      <c r="G700" s="4" t="str">
        <f t="shared" si="64"/>
        <v>FB19_2</v>
      </c>
    </row>
    <row r="701" spans="1:8" s="36" customFormat="1" ht="38.25">
      <c r="A701" s="60" t="s">
        <v>1295</v>
      </c>
      <c r="B701" s="44" t="str">
        <f>A701&amp;". Now I’m going to read a list of reasons why some people borrow money. For each one that I read, please tell me whether or not you borrowed in the past 12 months for this purpose? "&amp;Other!AI4</f>
        <v>FB19.3. Now I’m going to read a list of reasons why some people borrow money. For each one that I read, please tell me whether or not you borrowed in the past 12 months for this purpose? To pay business expenses or invest in a business</v>
      </c>
      <c r="C701" s="44" t="s">
        <v>615</v>
      </c>
      <c r="D701" s="60" t="s">
        <v>30</v>
      </c>
      <c r="E701" s="60">
        <v>1</v>
      </c>
      <c r="F701" s="83" t="s">
        <v>1257</v>
      </c>
      <c r="G701" s="4" t="str">
        <f t="shared" si="64"/>
        <v>FB19_3</v>
      </c>
      <c r="H701" s="67"/>
    </row>
    <row r="702" spans="1:8" s="40" customFormat="1" ht="38.25">
      <c r="A702" s="60" t="s">
        <v>1296</v>
      </c>
      <c r="B702" s="44" t="str">
        <f>A702&amp;". Now I’m going to read a list of reasons why some people borrow money. For each one that I read, please tell me whether or not you borrowed in the past 12 months for this purpose? "&amp;Other!AI5</f>
        <v>FB19.4. Now I’m going to read a list of reasons why some people borrow money. For each one that I read, please tell me whether or not you borrowed in the past 12 months for this purpose? To invest in home improvement or construction</v>
      </c>
      <c r="C702" s="44" t="s">
        <v>615</v>
      </c>
      <c r="D702" s="60" t="s">
        <v>30</v>
      </c>
      <c r="E702" s="60">
        <v>1</v>
      </c>
      <c r="F702" s="83" t="s">
        <v>1257</v>
      </c>
      <c r="G702" s="4" t="str">
        <f t="shared" si="64"/>
        <v>FB19_4</v>
      </c>
    </row>
    <row r="703" spans="1:8" s="36" customFormat="1" ht="33" customHeight="1">
      <c r="A703" s="60" t="s">
        <v>1297</v>
      </c>
      <c r="B703" s="44" t="str">
        <f>A703&amp;". Now I’m going to read a list of reasons why some people borrow money. For each one that I read, please tell me whether or not you borrowed in the past 12 months for this purpose? "&amp;Other!AI6</f>
        <v>FB19.5. Now I’m going to read a list of reasons why some people borrow money. For each one that I read, please tell me whether or not you borrowed in the past 12 months for this purpose? To pay for agricultural inputs</v>
      </c>
      <c r="C703" s="44" t="s">
        <v>615</v>
      </c>
      <c r="D703" s="60" t="s">
        <v>30</v>
      </c>
      <c r="E703" s="60">
        <v>1</v>
      </c>
      <c r="F703" s="83" t="s">
        <v>1257</v>
      </c>
      <c r="G703" s="4" t="str">
        <f t="shared" si="64"/>
        <v>FB19_5</v>
      </c>
    </row>
    <row r="704" spans="1:8" s="36" customFormat="1" ht="28.5" customHeight="1">
      <c r="A704" s="162" t="s">
        <v>1579</v>
      </c>
      <c r="B704" s="165" t="s">
        <v>336</v>
      </c>
      <c r="C704" s="165" t="s">
        <v>336</v>
      </c>
      <c r="D704" s="165" t="s">
        <v>336</v>
      </c>
      <c r="E704" s="165" t="s">
        <v>336</v>
      </c>
      <c r="F704" s="165" t="s">
        <v>336</v>
      </c>
      <c r="G704" s="165" t="s">
        <v>336</v>
      </c>
    </row>
    <row r="705" spans="1:7" s="36" customFormat="1" ht="14.25">
      <c r="A705" s="6" t="s">
        <v>4</v>
      </c>
      <c r="B705" s="7" t="s">
        <v>5</v>
      </c>
      <c r="C705" s="7" t="s">
        <v>6</v>
      </c>
      <c r="D705" s="6" t="s">
        <v>7</v>
      </c>
      <c r="E705" s="7" t="s">
        <v>8</v>
      </c>
      <c r="F705" s="7" t="s">
        <v>9</v>
      </c>
      <c r="G705" s="6" t="s">
        <v>10</v>
      </c>
    </row>
    <row r="706" spans="1:7" s="36" customFormat="1" ht="63.75">
      <c r="A706" s="60" t="s">
        <v>1298</v>
      </c>
      <c r="B706" s="44" t="str">
        <f>A706&amp;". How close are the following to where you live? "&amp;Other!AC2</f>
        <v>IFI14.1. How close are the following to where you live? Bank branch</v>
      </c>
      <c r="C706" s="44" t="s">
        <v>1299</v>
      </c>
      <c r="D706" s="60" t="s">
        <v>30</v>
      </c>
      <c r="E706" s="60">
        <v>2</v>
      </c>
      <c r="F706" s="61" t="s">
        <v>15</v>
      </c>
      <c r="G706" s="4" t="str">
        <f t="shared" ref="G706:G732" si="65">SUBSTITUTE(A706,".","_")</f>
        <v>IFI14_1</v>
      </c>
    </row>
    <row r="707" spans="1:7" s="36" customFormat="1" ht="63.75">
      <c r="A707" s="60" t="s">
        <v>1300</v>
      </c>
      <c r="B707" s="44" t="str">
        <f>A707&amp;". How close are the following to where you live? "&amp;Other!AC3</f>
        <v>IFI14.2. How close are the following to where you live? Bank agent or business correspondent</v>
      </c>
      <c r="C707" s="44" t="s">
        <v>1299</v>
      </c>
      <c r="D707" s="60" t="s">
        <v>30</v>
      </c>
      <c r="E707" s="60">
        <v>2</v>
      </c>
      <c r="F707" s="61" t="s">
        <v>15</v>
      </c>
      <c r="G707" s="4" t="str">
        <f t="shared" si="65"/>
        <v>IFI14_2</v>
      </c>
    </row>
    <row r="708" spans="1:7" s="36" customFormat="1" ht="63.75">
      <c r="A708" s="60" t="s">
        <v>1301</v>
      </c>
      <c r="B708" s="44" t="str">
        <f>A708&amp;". How close are the following to where you live? "&amp;Other!AC4</f>
        <v>IFI14.3. How close are the following to where you live? ATM machine where people use a card to get cash</v>
      </c>
      <c r="C708" s="44" t="s">
        <v>1299</v>
      </c>
      <c r="D708" s="60" t="s">
        <v>30</v>
      </c>
      <c r="E708" s="60">
        <v>2</v>
      </c>
      <c r="F708" s="61" t="s">
        <v>15</v>
      </c>
      <c r="G708" s="4" t="str">
        <f t="shared" si="65"/>
        <v>IFI14_3</v>
      </c>
    </row>
    <row r="709" spans="1:7" s="36" customFormat="1" ht="63.75">
      <c r="A709" s="60" t="s">
        <v>1302</v>
      </c>
      <c r="B709" s="44" t="str">
        <f>A709&amp;". How close are the following to where you live? "&amp;Other!AC5</f>
        <v>IFI14.4. How close are the following to where you live? Post office bank</v>
      </c>
      <c r="C709" s="44" t="s">
        <v>1299</v>
      </c>
      <c r="D709" s="60" t="s">
        <v>30</v>
      </c>
      <c r="E709" s="60">
        <v>2</v>
      </c>
      <c r="F709" s="61" t="s">
        <v>15</v>
      </c>
      <c r="G709" s="4" t="str">
        <f t="shared" si="65"/>
        <v>IFI14_4</v>
      </c>
    </row>
    <row r="710" spans="1:7" s="36" customFormat="1" ht="63.75">
      <c r="A710" s="60" t="s">
        <v>1303</v>
      </c>
      <c r="B710" s="44" t="str">
        <f>A710&amp;". How close are the following to where you live? "&amp;Other!AC6</f>
        <v>IFI14.5. How close are the following to where you live? Microfinance instutition (MFI)</v>
      </c>
      <c r="C710" s="44" t="s">
        <v>1299</v>
      </c>
      <c r="D710" s="60" t="s">
        <v>30</v>
      </c>
      <c r="E710" s="60">
        <v>2</v>
      </c>
      <c r="F710" s="61" t="s">
        <v>15</v>
      </c>
      <c r="G710" s="4" t="str">
        <f t="shared" si="65"/>
        <v>IFI14_5</v>
      </c>
    </row>
    <row r="711" spans="1:7" s="36" customFormat="1" ht="63.75">
      <c r="A711" s="60" t="s">
        <v>1304</v>
      </c>
      <c r="B711" s="44" t="str">
        <f>A711&amp;". How close are the following to where you live? "&amp;Other!AC7</f>
        <v>IFI14.6. How close are the following to where you live? Self help group or cooperative</v>
      </c>
      <c r="C711" s="44" t="s">
        <v>1299</v>
      </c>
      <c r="D711" s="60" t="s">
        <v>30</v>
      </c>
      <c r="E711" s="60">
        <v>2</v>
      </c>
      <c r="F711" s="61" t="s">
        <v>15</v>
      </c>
      <c r="G711" s="4" t="str">
        <f t="shared" si="65"/>
        <v>IFI14_6</v>
      </c>
    </row>
    <row r="712" spans="1:7" s="36" customFormat="1" ht="63.75">
      <c r="A712" s="60" t="s">
        <v>1305</v>
      </c>
      <c r="B712" s="44" t="str">
        <f>A712&amp;". How close are the following to where you live? "&amp;Other!AC8</f>
        <v>IFI14.7. How close are the following to where you live? Agent, shop or kiosk that has a microATM machine for banking transactions using Aadhaar</v>
      </c>
      <c r="C712" s="44" t="s">
        <v>1299</v>
      </c>
      <c r="D712" s="60" t="s">
        <v>30</v>
      </c>
      <c r="E712" s="60">
        <v>2</v>
      </c>
      <c r="F712" s="61" t="s">
        <v>15</v>
      </c>
      <c r="G712" s="4" t="str">
        <f t="shared" si="65"/>
        <v>IFI14_7</v>
      </c>
    </row>
    <row r="713" spans="1:7" s="36" customFormat="1" ht="63.75">
      <c r="A713" s="60" t="s">
        <v>1306</v>
      </c>
      <c r="B713" s="44" t="str">
        <f>A713&amp;". How close are the following to where you live? "&amp;Other!AC9</f>
        <v>IFI14.8. How close are the following to where you live? Agent, shop or kiosk that offers a mobile money service</v>
      </c>
      <c r="C713" s="44" t="s">
        <v>1299</v>
      </c>
      <c r="D713" s="60" t="s">
        <v>30</v>
      </c>
      <c r="E713" s="60">
        <v>2</v>
      </c>
      <c r="F713" s="61" t="s">
        <v>15</v>
      </c>
      <c r="G713" s="4" t="str">
        <f t="shared" si="65"/>
        <v>IFI14_8</v>
      </c>
    </row>
    <row r="714" spans="1:7" s="36" customFormat="1" ht="63.75">
      <c r="A714" s="60" t="s">
        <v>1307</v>
      </c>
      <c r="B714" s="44" t="str">
        <f>A714&amp;". How close are the following to where you live? "&amp;Other!AC10</f>
        <v>IFI14.9. How close are the following to where you live? Agent, shop, or kiosk that offers a payments bank service</v>
      </c>
      <c r="C714" s="44" t="s">
        <v>1299</v>
      </c>
      <c r="D714" s="60" t="s">
        <v>30</v>
      </c>
      <c r="E714" s="60">
        <v>2</v>
      </c>
      <c r="F714" s="61" t="s">
        <v>15</v>
      </c>
      <c r="G714" s="4" t="str">
        <f t="shared" si="65"/>
        <v>IFI14_9</v>
      </c>
    </row>
    <row r="715" spans="1:7" s="36" customFormat="1" ht="38.25">
      <c r="A715" s="60" t="s">
        <v>1519</v>
      </c>
      <c r="B715" s="44" t="str">
        <f>A715&amp;". If you had to go to this institution, how much time would it take you? "&amp;Other!AC2</f>
        <v>IFI15.1A. If you had to go to this institution, how much time would it take you? Bank branch</v>
      </c>
      <c r="C715" s="90" t="s">
        <v>1537</v>
      </c>
      <c r="D715" s="89" t="s">
        <v>30</v>
      </c>
      <c r="E715" s="89">
        <v>2</v>
      </c>
      <c r="F715" s="61" t="s">
        <v>15</v>
      </c>
      <c r="G715" s="4" t="str">
        <f t="shared" si="65"/>
        <v>IFI15_1A</v>
      </c>
    </row>
    <row r="716" spans="1:7" s="36" customFormat="1" ht="25.5">
      <c r="A716" s="60" t="s">
        <v>1520</v>
      </c>
      <c r="B716" s="44" t="str">
        <f>A716&amp;". If you had to go to this institution, how much time would it take you? "&amp;Other!AC2</f>
        <v>IFI15.1B. If you had to go to this institution, how much time would it take you? Bank branch</v>
      </c>
      <c r="C716" s="90" t="s">
        <v>1518</v>
      </c>
      <c r="D716" s="89" t="s">
        <v>14</v>
      </c>
      <c r="E716" s="89">
        <v>2</v>
      </c>
      <c r="F716" s="61" t="s">
        <v>1635</v>
      </c>
      <c r="G716" s="4" t="str">
        <f t="shared" si="65"/>
        <v>IFI15_1B</v>
      </c>
    </row>
    <row r="717" spans="1:7" s="36" customFormat="1" ht="38.25">
      <c r="A717" s="60" t="s">
        <v>1521</v>
      </c>
      <c r="B717" s="44" t="str">
        <f>A717&amp;". If you had to go to this institution, how much time would it take you? "&amp;Other!AC3</f>
        <v>IFI15.2A. If you had to go to this institution, how much time would it take you? Bank agent or business correspondent</v>
      </c>
      <c r="C717" s="90" t="s">
        <v>1537</v>
      </c>
      <c r="D717" s="89" t="s">
        <v>30</v>
      </c>
      <c r="E717" s="89">
        <v>2</v>
      </c>
      <c r="F717" s="61" t="s">
        <v>15</v>
      </c>
      <c r="G717" s="4" t="str">
        <f t="shared" si="65"/>
        <v>IFI15_2A</v>
      </c>
    </row>
    <row r="718" spans="1:7" s="36" customFormat="1" ht="25.5">
      <c r="A718" s="60" t="s">
        <v>1522</v>
      </c>
      <c r="B718" s="44" t="str">
        <f>A718&amp;". If you had to go to this institution, how much time would it take you? "&amp;Other!AC3</f>
        <v>IFI15.2B. If you had to go to this institution, how much time would it take you? Bank agent or business correspondent</v>
      </c>
      <c r="C718" s="90" t="s">
        <v>1518</v>
      </c>
      <c r="D718" s="89" t="s">
        <v>14</v>
      </c>
      <c r="E718" s="89">
        <v>2</v>
      </c>
      <c r="F718" s="61" t="s">
        <v>1636</v>
      </c>
      <c r="G718" s="4" t="str">
        <f t="shared" si="65"/>
        <v>IFI15_2B</v>
      </c>
    </row>
    <row r="719" spans="1:7" s="36" customFormat="1" ht="38.25">
      <c r="A719" s="60" t="s">
        <v>1523</v>
      </c>
      <c r="B719" s="44" t="str">
        <f>A719&amp;". If you had to go to this institution, how much time would it take you? "&amp;Other!AC4</f>
        <v>IFI15.3A. If you had to go to this institution, how much time would it take you? ATM machine where people use a card to get cash</v>
      </c>
      <c r="C719" s="90" t="s">
        <v>1537</v>
      </c>
      <c r="D719" s="89" t="s">
        <v>30</v>
      </c>
      <c r="E719" s="89">
        <v>2</v>
      </c>
      <c r="F719" s="61" t="s">
        <v>15</v>
      </c>
      <c r="G719" s="4" t="str">
        <f t="shared" si="65"/>
        <v>IFI15_3A</v>
      </c>
    </row>
    <row r="720" spans="1:7" s="36" customFormat="1" ht="25.5">
      <c r="A720" s="60" t="s">
        <v>1524</v>
      </c>
      <c r="B720" s="44" t="str">
        <f>A720&amp;". If you had to go to this institution, how much time would it take you? "&amp;Other!AC4</f>
        <v>IFI15.3B. If you had to go to this institution, how much time would it take you? ATM machine where people use a card to get cash</v>
      </c>
      <c r="C720" s="90" t="s">
        <v>1518</v>
      </c>
      <c r="D720" s="89" t="s">
        <v>14</v>
      </c>
      <c r="E720" s="89">
        <v>2</v>
      </c>
      <c r="F720" s="61" t="s">
        <v>1637</v>
      </c>
      <c r="G720" s="4" t="str">
        <f t="shared" si="65"/>
        <v>IFI15_3B</v>
      </c>
    </row>
    <row r="721" spans="1:8" s="36" customFormat="1" ht="38.25">
      <c r="A721" s="60" t="s">
        <v>1525</v>
      </c>
      <c r="B721" s="44" t="str">
        <f>A721&amp;". If you had to go to this institution, how much time would it take you? "&amp;Other!AC5</f>
        <v>IFI15.4A. If you had to go to this institution, how much time would it take you? Post office bank</v>
      </c>
      <c r="C721" s="90" t="s">
        <v>1537</v>
      </c>
      <c r="D721" s="89" t="s">
        <v>30</v>
      </c>
      <c r="E721" s="89">
        <v>2</v>
      </c>
      <c r="F721" s="61" t="s">
        <v>15</v>
      </c>
      <c r="G721" s="4" t="str">
        <f t="shared" si="65"/>
        <v>IFI15_4A</v>
      </c>
    </row>
    <row r="722" spans="1:8" s="36" customFormat="1" ht="25.5">
      <c r="A722" s="60" t="s">
        <v>1526</v>
      </c>
      <c r="B722" s="44" t="str">
        <f>A722&amp;". If you had to go to this institution, how much time would it take you? "&amp;Other!AC5</f>
        <v>IFI15.4B. If you had to go to this institution, how much time would it take you? Post office bank</v>
      </c>
      <c r="C722" s="90" t="s">
        <v>1518</v>
      </c>
      <c r="D722" s="89" t="s">
        <v>14</v>
      </c>
      <c r="E722" s="89">
        <v>2</v>
      </c>
      <c r="F722" s="61" t="s">
        <v>1640</v>
      </c>
      <c r="G722" s="4" t="str">
        <f t="shared" si="65"/>
        <v>IFI15_4B</v>
      </c>
    </row>
    <row r="723" spans="1:8" s="36" customFormat="1" ht="38.25">
      <c r="A723" s="60" t="s">
        <v>1527</v>
      </c>
      <c r="B723" s="44" t="str">
        <f>A723&amp;". If you had to go to this institution, how much time would it take you? "&amp;Other!AC6</f>
        <v>IFI15.5A. If you had to go to this institution, how much time would it take you? Microfinance instutition (MFI)</v>
      </c>
      <c r="C723" s="90" t="s">
        <v>1537</v>
      </c>
      <c r="D723" s="89" t="s">
        <v>30</v>
      </c>
      <c r="E723" s="89">
        <v>2</v>
      </c>
      <c r="F723" s="61" t="s">
        <v>15</v>
      </c>
      <c r="G723" s="4" t="str">
        <f t="shared" si="65"/>
        <v>IFI15_5A</v>
      </c>
    </row>
    <row r="724" spans="1:8" s="36" customFormat="1" ht="25.5">
      <c r="A724" s="60" t="s">
        <v>1528</v>
      </c>
      <c r="B724" s="44" t="str">
        <f>A724&amp;". If you had to go to this institution, how much time would it take you? "&amp;Other!AC6</f>
        <v>IFI15.5B. If you had to go to this institution, how much time would it take you? Microfinance instutition (MFI)</v>
      </c>
      <c r="C724" s="90" t="s">
        <v>1518</v>
      </c>
      <c r="D724" s="89" t="s">
        <v>14</v>
      </c>
      <c r="E724" s="89">
        <v>2</v>
      </c>
      <c r="F724" s="61" t="s">
        <v>1641</v>
      </c>
      <c r="G724" s="4" t="str">
        <f t="shared" si="65"/>
        <v>IFI15_5B</v>
      </c>
      <c r="H724" s="67"/>
    </row>
    <row r="725" spans="1:8" s="36" customFormat="1" ht="38.25">
      <c r="A725" s="60" t="s">
        <v>1529</v>
      </c>
      <c r="B725" s="44" t="str">
        <f>A725&amp;". If you had to go to this institution, how much time would it take you? "&amp;Other!AC7</f>
        <v>IFI15.6A. If you had to go to this institution, how much time would it take you? Self help group or cooperative</v>
      </c>
      <c r="C725" s="90" t="s">
        <v>1537</v>
      </c>
      <c r="D725" s="89" t="s">
        <v>30</v>
      </c>
      <c r="E725" s="89">
        <v>2</v>
      </c>
      <c r="F725" s="61" t="s">
        <v>15</v>
      </c>
      <c r="G725" s="4" t="str">
        <f t="shared" si="65"/>
        <v>IFI15_6A</v>
      </c>
      <c r="H725" s="41"/>
    </row>
    <row r="726" spans="1:8" s="40" customFormat="1" ht="25.5">
      <c r="A726" s="60" t="s">
        <v>1530</v>
      </c>
      <c r="B726" s="44" t="str">
        <f>A726&amp;". If you had to go to this institution, how much time would it take you? "&amp;Other!AC7</f>
        <v>IFI15.6B. If you had to go to this institution, how much time would it take you? Self help group or cooperative</v>
      </c>
      <c r="C726" s="90" t="s">
        <v>1518</v>
      </c>
      <c r="D726" s="89" t="s">
        <v>14</v>
      </c>
      <c r="E726" s="89">
        <v>2</v>
      </c>
      <c r="F726" s="61" t="s">
        <v>1642</v>
      </c>
      <c r="G726" s="4" t="str">
        <f t="shared" si="65"/>
        <v>IFI15_6B</v>
      </c>
    </row>
    <row r="727" spans="1:8" s="40" customFormat="1" ht="38.25">
      <c r="A727" s="60" t="s">
        <v>1531</v>
      </c>
      <c r="B727" s="44" t="str">
        <f>A727&amp;". If you had to go to this institution, how much time would it take you? "&amp;Other!AC8</f>
        <v>IFI15.7A. If you had to go to this institution, how much time would it take you? Agent, shop or kiosk that has a microATM machine for banking transactions using Aadhaar</v>
      </c>
      <c r="C727" s="90" t="s">
        <v>1537</v>
      </c>
      <c r="D727" s="89" t="s">
        <v>30</v>
      </c>
      <c r="E727" s="89">
        <v>2</v>
      </c>
      <c r="F727" s="61" t="s">
        <v>15</v>
      </c>
      <c r="G727" s="4" t="str">
        <f t="shared" si="65"/>
        <v>IFI15_7A</v>
      </c>
    </row>
    <row r="728" spans="1:8" s="36" customFormat="1" ht="25.5">
      <c r="A728" s="60" t="s">
        <v>1532</v>
      </c>
      <c r="B728" s="44" t="str">
        <f>A728&amp;". If you had to go to this institution, how much time would it take you? "&amp;Other!AC8</f>
        <v>IFI15.7B. If you had to go to this institution, how much time would it take you? Agent, shop or kiosk that has a microATM machine for banking transactions using Aadhaar</v>
      </c>
      <c r="C728" s="90" t="s">
        <v>1518</v>
      </c>
      <c r="D728" s="89" t="s">
        <v>14</v>
      </c>
      <c r="E728" s="89">
        <v>2</v>
      </c>
      <c r="F728" s="61" t="s">
        <v>1638</v>
      </c>
      <c r="G728" s="4" t="str">
        <f t="shared" si="65"/>
        <v>IFI15_7B</v>
      </c>
    </row>
    <row r="729" spans="1:8" s="36" customFormat="1" ht="38.25">
      <c r="A729" s="60" t="s">
        <v>1533</v>
      </c>
      <c r="B729" s="44" t="str">
        <f>A729&amp;". If you had to go to this institution, how much time would it take you? "&amp;Other!AC9</f>
        <v>IFI15.8A. If you had to go to this institution, how much time would it take you? Agent, shop or kiosk that offers a mobile money service</v>
      </c>
      <c r="C729" s="90" t="s">
        <v>1537</v>
      </c>
      <c r="D729" s="89" t="s">
        <v>30</v>
      </c>
      <c r="E729" s="89">
        <v>2</v>
      </c>
      <c r="F729" s="61" t="s">
        <v>15</v>
      </c>
      <c r="G729" s="4" t="str">
        <f t="shared" si="65"/>
        <v>IFI15_8A</v>
      </c>
    </row>
    <row r="730" spans="1:8" s="36" customFormat="1" ht="25.5">
      <c r="A730" s="60" t="s">
        <v>1534</v>
      </c>
      <c r="B730" s="44" t="str">
        <f>A730&amp;". If you had to go to this institution, how much time would it take you? "&amp;Other!AC9</f>
        <v>IFI15.8B. If you had to go to this institution, how much time would it take you? Agent, shop or kiosk that offers a mobile money service</v>
      </c>
      <c r="C730" s="90" t="s">
        <v>1518</v>
      </c>
      <c r="D730" s="89" t="s">
        <v>14</v>
      </c>
      <c r="E730" s="89">
        <v>2</v>
      </c>
      <c r="F730" s="61" t="s">
        <v>1639</v>
      </c>
      <c r="G730" s="4" t="str">
        <f t="shared" si="65"/>
        <v>IFI15_8B</v>
      </c>
    </row>
    <row r="731" spans="1:8" s="36" customFormat="1" ht="38.25">
      <c r="A731" s="60" t="s">
        <v>1535</v>
      </c>
      <c r="B731" s="44" t="str">
        <f>A731&amp;". If you had to go to this institution, how much time would it take you? "&amp;Other!AC10</f>
        <v>IFI15.9A. If you had to go to this institution, how much time would it take you? Agent, shop, or kiosk that offers a payments bank service</v>
      </c>
      <c r="C731" s="90" t="s">
        <v>1537</v>
      </c>
      <c r="D731" s="89" t="s">
        <v>30</v>
      </c>
      <c r="E731" s="89">
        <v>2</v>
      </c>
      <c r="F731" s="61" t="s">
        <v>15</v>
      </c>
      <c r="G731" s="4" t="str">
        <f t="shared" si="65"/>
        <v>IFI15_9A</v>
      </c>
    </row>
    <row r="732" spans="1:8" s="36" customFormat="1" ht="34.5" customHeight="1">
      <c r="A732" s="60" t="s">
        <v>1536</v>
      </c>
      <c r="B732" s="44" t="str">
        <f>A732&amp;". If you had to go to this institution, how much time would it take you? "&amp;Other!AC10</f>
        <v>IFI15.9B. If you had to go to this institution, how much time would it take you? Agent, shop, or kiosk that offers a payments bank service</v>
      </c>
      <c r="C732" s="90" t="s">
        <v>1518</v>
      </c>
      <c r="D732" s="89" t="s">
        <v>14</v>
      </c>
      <c r="E732" s="89">
        <v>2</v>
      </c>
      <c r="F732" s="61" t="s">
        <v>1643</v>
      </c>
      <c r="G732" s="4" t="str">
        <f t="shared" si="65"/>
        <v>IFI15_9B</v>
      </c>
    </row>
    <row r="733" spans="1:8" s="36" customFormat="1" ht="14.25">
      <c r="A733" s="162" t="s">
        <v>1580</v>
      </c>
      <c r="B733" s="165"/>
      <c r="C733" s="165"/>
      <c r="D733" s="165"/>
      <c r="E733" s="165"/>
      <c r="F733" s="165"/>
      <c r="G733" s="165"/>
    </row>
    <row r="734" spans="1:8" s="36" customFormat="1" ht="14.25">
      <c r="A734" s="6" t="s">
        <v>4</v>
      </c>
      <c r="B734" s="7" t="s">
        <v>5</v>
      </c>
      <c r="C734" s="7" t="s">
        <v>6</v>
      </c>
      <c r="D734" s="6" t="s">
        <v>7</v>
      </c>
      <c r="E734" s="7" t="s">
        <v>8</v>
      </c>
      <c r="F734" s="7" t="s">
        <v>9</v>
      </c>
      <c r="G734" s="6" t="s">
        <v>10</v>
      </c>
    </row>
    <row r="735" spans="1:8" s="36" customFormat="1" ht="153">
      <c r="A735" s="60" t="s">
        <v>1564</v>
      </c>
      <c r="B735" s="44" t="s">
        <v>1565</v>
      </c>
      <c r="C735" s="44" t="s">
        <v>1317</v>
      </c>
      <c r="D735" s="60" t="s">
        <v>30</v>
      </c>
      <c r="E735" s="60">
        <v>1</v>
      </c>
      <c r="F735" s="44" t="s">
        <v>15</v>
      </c>
      <c r="G735" s="4" t="str">
        <f>SUBSTITUTE(A735,".","_")</f>
        <v>LN1</v>
      </c>
    </row>
    <row r="736" spans="1:8" s="36" customFormat="1" ht="63.75">
      <c r="A736" s="60" t="s">
        <v>1318</v>
      </c>
      <c r="B736" s="44" t="str">
        <f>A736&amp;". On a scale from 1 (cannot do at all) to 5 (excellent), please evaluate how you perform in the following areas: "&amp;"Reading in [questionnaire language]"</f>
        <v>LN2.1. On a scale from 1 (cannot do at all) to 5 (excellent), please evaluate how you perform in the following areas: Reading in [questionnaire language]</v>
      </c>
      <c r="C736" s="44" t="s">
        <v>1319</v>
      </c>
      <c r="D736" s="60" t="s">
        <v>30</v>
      </c>
      <c r="E736" s="60">
        <v>1</v>
      </c>
      <c r="F736" s="44" t="s">
        <v>15</v>
      </c>
      <c r="G736" s="4" t="str">
        <f>SUBSTITUTE(A736,".","_")</f>
        <v>LN2_1</v>
      </c>
    </row>
    <row r="737" spans="1:7" s="36" customFormat="1" ht="63.75">
      <c r="A737" s="60" t="s">
        <v>1320</v>
      </c>
      <c r="B737" s="44" t="str">
        <f>A737&amp;". On a scale from 1 (cannot do at all) to 5 (excellent), please evaluate how you perform in the following areas: "&amp;"Writing in [questionnaire language]"</f>
        <v>LN2.2. On a scale from 1 (cannot do at all) to 5 (excellent), please evaluate how you perform in the following areas: Writing in [questionnaire language]</v>
      </c>
      <c r="C737" s="44" t="s">
        <v>1319</v>
      </c>
      <c r="D737" s="60" t="s">
        <v>30</v>
      </c>
      <c r="E737" s="60">
        <v>1</v>
      </c>
      <c r="F737" s="44" t="s">
        <v>15</v>
      </c>
      <c r="G737" s="4" t="str">
        <f>SUBSTITUTE(A737,".","_")</f>
        <v>LN2_2</v>
      </c>
    </row>
    <row r="738" spans="1:7" s="36" customFormat="1" ht="14.25">
      <c r="A738" s="165" t="s">
        <v>1321</v>
      </c>
      <c r="B738" s="165"/>
      <c r="C738" s="165"/>
      <c r="D738" s="165"/>
      <c r="E738" s="165"/>
      <c r="F738" s="165"/>
      <c r="G738" s="165"/>
    </row>
    <row r="739" spans="1:7" s="36" customFormat="1" ht="14.25">
      <c r="A739" s="6" t="s">
        <v>4</v>
      </c>
      <c r="B739" s="7" t="s">
        <v>5</v>
      </c>
      <c r="C739" s="7" t="s">
        <v>6</v>
      </c>
      <c r="D739" s="6" t="s">
        <v>7</v>
      </c>
      <c r="E739" s="7" t="s">
        <v>8</v>
      </c>
      <c r="F739" s="7" t="s">
        <v>9</v>
      </c>
      <c r="G739" s="6" t="s">
        <v>10</v>
      </c>
    </row>
    <row r="740" spans="1:7" s="36" customFormat="1" ht="25.5">
      <c r="A740" s="60" t="s">
        <v>1322</v>
      </c>
      <c r="B740" s="44" t="str">
        <f>A740&amp;". Would you consent to taking part in a follow up study with us?"</f>
        <v>RI4. Would you consent to taking part in a follow up study with us?</v>
      </c>
      <c r="C740" s="44" t="s">
        <v>137</v>
      </c>
      <c r="D740" s="60" t="s">
        <v>30</v>
      </c>
      <c r="E740" s="60">
        <v>1</v>
      </c>
      <c r="F740" s="5" t="s">
        <v>15</v>
      </c>
      <c r="G740" s="4" t="str">
        <f t="shared" ref="G740:G743" si="66">SUBSTITUTE(A740,".","_")</f>
        <v>RI4</v>
      </c>
    </row>
    <row r="741" spans="1:7" s="36" customFormat="1" ht="25.5">
      <c r="A741" s="60" t="s">
        <v>1323</v>
      </c>
      <c r="B741" s="44" t="str">
        <f>A741&amp;".Can you give me all the mobile phone numbers you use regularly to make or to receive calls and text messages? No 1. Phone number "</f>
        <v xml:space="preserve">RI5.1.Can you give me all the mobile phone numbers you use regularly to make or to receive calls and text messages? No 1. Phone number </v>
      </c>
      <c r="C741" s="44" t="s">
        <v>1324</v>
      </c>
      <c r="D741" s="60" t="s">
        <v>14</v>
      </c>
      <c r="E741" s="60">
        <v>20</v>
      </c>
      <c r="F741" s="5" t="s">
        <v>15</v>
      </c>
      <c r="G741" s="4" t="str">
        <f t="shared" si="66"/>
        <v>RI5_1</v>
      </c>
    </row>
    <row r="742" spans="1:7" s="36" customFormat="1" ht="25.5">
      <c r="A742" s="60" t="s">
        <v>1325</v>
      </c>
      <c r="B742" s="44" t="str">
        <f>A742&amp;".Can you give me all the mobile phone numbers you use regularly to make or to receive calls and text messages? No 2. Phone number "</f>
        <v xml:space="preserve">RI5.2.Can you give me all the mobile phone numbers you use regularly to make or to receive calls and text messages? No 2. Phone number </v>
      </c>
      <c r="C742" s="44" t="s">
        <v>1324</v>
      </c>
      <c r="D742" s="60" t="s">
        <v>14</v>
      </c>
      <c r="E742" s="60">
        <v>20</v>
      </c>
      <c r="F742" s="5" t="s">
        <v>15</v>
      </c>
      <c r="G742" s="4" t="str">
        <f t="shared" si="66"/>
        <v>RI5_2</v>
      </c>
    </row>
    <row r="743" spans="1:7" s="36" customFormat="1" ht="25.5">
      <c r="A743" s="60" t="s">
        <v>1326</v>
      </c>
      <c r="B743" s="44" t="str">
        <f>A743&amp;".Can you give me all the mobile phone numbers you use regularly to make or to receive calls and text messages? No 3. Phone number "</f>
        <v xml:space="preserve">RI5.3.Can you give me all the mobile phone numbers you use regularly to make or to receive calls and text messages? No 3. Phone number </v>
      </c>
      <c r="C743" s="44" t="s">
        <v>1324</v>
      </c>
      <c r="D743" s="60" t="s">
        <v>14</v>
      </c>
      <c r="E743" s="60">
        <v>20</v>
      </c>
      <c r="F743" s="5" t="s">
        <v>15</v>
      </c>
      <c r="G743" s="4" t="str">
        <f t="shared" si="66"/>
        <v>RI5_3</v>
      </c>
    </row>
    <row r="744" spans="1:7" ht="102">
      <c r="A744" s="60" t="s">
        <v>1484</v>
      </c>
      <c r="B744" s="44" t="str">
        <f>A744&amp;".Result of household interview"</f>
        <v>HH1.Result of household interview</v>
      </c>
      <c r="C744" s="44" t="s">
        <v>1673</v>
      </c>
      <c r="D744" s="60" t="s">
        <v>30</v>
      </c>
      <c r="E744" s="60">
        <v>2</v>
      </c>
      <c r="F744" s="107" t="s">
        <v>13</v>
      </c>
      <c r="G744" s="60" t="str">
        <f t="shared" ref="G744" si="67">SUBSTITUTE(A744,".","_")</f>
        <v>HH1</v>
      </c>
    </row>
    <row r="745" spans="1:7" ht="63.75">
      <c r="A745" s="108" t="s">
        <v>1485</v>
      </c>
      <c r="B745" s="44" t="str">
        <f>A745&amp;".Result of the interview with the selected respondent"</f>
        <v>HH2.Result of the interview with the selected respondent</v>
      </c>
      <c r="C745" s="44" t="s">
        <v>1483</v>
      </c>
      <c r="D745" s="60" t="s">
        <v>30</v>
      </c>
      <c r="E745" s="60">
        <v>2</v>
      </c>
      <c r="F745" s="107" t="s">
        <v>13</v>
      </c>
      <c r="G745" s="60" t="str">
        <f>A745</f>
        <v>HH2</v>
      </c>
    </row>
    <row r="746" spans="1:7">
      <c r="G746" s="106">
        <f>A746</f>
        <v>0</v>
      </c>
    </row>
  </sheetData>
  <customSheetViews>
    <customSheetView guid="{496F11CA-79B2-45A2-B2F4-DB8ECA08FAE7}" topLeftCell="A178">
      <selection activeCell="F179" sqref="F179"/>
      <pageMargins left="0" right="0" top="0" bottom="0" header="0" footer="0"/>
      <pageSetup orientation="portrait" verticalDpi="0" r:id="rId1"/>
    </customSheetView>
    <customSheetView guid="{AE93BF8D-04E5-4414-A37A-51DC0A068FA8}" topLeftCell="A145">
      <selection activeCell="B146" sqref="B146"/>
      <pageMargins left="0" right="0" top="0" bottom="0" header="0" footer="0"/>
      <pageSetup orientation="portrait" verticalDpi="0" r:id="rId2"/>
    </customSheetView>
  </customSheetViews>
  <mergeCells count="37">
    <mergeCell ref="A738:G738"/>
    <mergeCell ref="A667:E667"/>
    <mergeCell ref="A704:G704"/>
    <mergeCell ref="A157:G157"/>
    <mergeCell ref="A733:G733"/>
    <mergeCell ref="A561:E561"/>
    <mergeCell ref="A592:E592"/>
    <mergeCell ref="A625:G625"/>
    <mergeCell ref="A436:E436"/>
    <mergeCell ref="A485:E485"/>
    <mergeCell ref="A505:E505"/>
    <mergeCell ref="A464:E464"/>
    <mergeCell ref="A525:E525"/>
    <mergeCell ref="A543:E543"/>
    <mergeCell ref="A397:E397"/>
    <mergeCell ref="A407:E407"/>
    <mergeCell ref="A415:E415"/>
    <mergeCell ref="A334:E334"/>
    <mergeCell ref="A347:E347"/>
    <mergeCell ref="A373:E373"/>
    <mergeCell ref="A387:E387"/>
    <mergeCell ref="A360:E360"/>
    <mergeCell ref="A222:E222"/>
    <mergeCell ref="A294:E294"/>
    <mergeCell ref="A1:G1"/>
    <mergeCell ref="A2:G2"/>
    <mergeCell ref="A53:G53"/>
    <mergeCell ref="A69:G69"/>
    <mergeCell ref="A60:E60"/>
    <mergeCell ref="A89:G89"/>
    <mergeCell ref="A120:G120"/>
    <mergeCell ref="A133:E133"/>
    <mergeCell ref="A143:E143"/>
    <mergeCell ref="A169:E169"/>
    <mergeCell ref="A188:G188"/>
    <mergeCell ref="A205:G205"/>
    <mergeCell ref="A21:G21"/>
  </mergeCells>
  <hyperlinks>
    <hyperlink ref="C94" location="vDL2!A1" display="see sheet vDL2"/>
    <hyperlink ref="C93" location="vDL1!A1" display="see sheet vDL1"/>
    <hyperlink ref="C59" location="'vDG4'!A1" display="see vDG4 sheet"/>
  </hyperlinks>
  <pageMargins left="0.7" right="0.7" top="0.75" bottom="0.75" header="0.3" footer="0.3"/>
  <pageSetup orientation="portrait" verticalDpi="0"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6" sqref="A16"/>
    </sheetView>
  </sheetViews>
  <sheetFormatPr defaultColWidth="8.85546875" defaultRowHeight="15"/>
  <cols>
    <col min="1" max="1" width="38.85546875" bestFit="1" customWidth="1"/>
    <col min="3" max="3" width="30.85546875" customWidth="1"/>
    <col min="4" max="6" width="26.42578125" customWidth="1"/>
    <col min="7" max="7" width="26.42578125" bestFit="1" customWidth="1"/>
  </cols>
  <sheetData>
    <row r="1" spans="1:10" s="45" customFormat="1" ht="15.75" thickBot="1">
      <c r="A1" s="45" t="s">
        <v>1153</v>
      </c>
      <c r="C1" s="45" t="s">
        <v>1154</v>
      </c>
      <c r="D1" s="45" t="s">
        <v>1155</v>
      </c>
      <c r="G1" s="45" t="s">
        <v>1156</v>
      </c>
    </row>
    <row r="2" spans="1:10" ht="45" customHeight="1">
      <c r="A2" s="49" t="s">
        <v>1157</v>
      </c>
      <c r="C2" s="51" t="s">
        <v>694</v>
      </c>
      <c r="D2" s="167" t="s">
        <v>1158</v>
      </c>
      <c r="E2" s="52"/>
      <c r="F2" s="52"/>
      <c r="G2" s="49" t="s">
        <v>1159</v>
      </c>
      <c r="I2" s="49"/>
      <c r="J2" s="49"/>
    </row>
    <row r="3" spans="1:10" ht="33" customHeight="1">
      <c r="A3" s="49" t="s">
        <v>1160</v>
      </c>
      <c r="C3" s="53" t="s">
        <v>698</v>
      </c>
      <c r="D3" s="168"/>
      <c r="E3" s="52"/>
      <c r="F3" s="52"/>
      <c r="G3" s="49" t="s">
        <v>1161</v>
      </c>
      <c r="I3" s="49"/>
      <c r="J3" s="49"/>
    </row>
    <row r="4" spans="1:10" ht="41.25" customHeight="1" thickBot="1">
      <c r="A4" s="49" t="s">
        <v>1162</v>
      </c>
      <c r="C4" s="54" t="s">
        <v>701</v>
      </c>
      <c r="D4" s="169"/>
      <c r="E4" s="52"/>
      <c r="F4" s="52"/>
      <c r="G4" s="49" t="s">
        <v>1163</v>
      </c>
      <c r="I4" s="49"/>
      <c r="J4" s="49"/>
    </row>
    <row r="5" spans="1:10" ht="15" customHeight="1">
      <c r="A5" s="49" t="s">
        <v>1164</v>
      </c>
      <c r="C5" s="51" t="s">
        <v>1165</v>
      </c>
      <c r="D5" s="170" t="s">
        <v>1166</v>
      </c>
      <c r="E5" s="55"/>
      <c r="F5" s="55"/>
      <c r="G5" s="49" t="s">
        <v>1167</v>
      </c>
      <c r="I5" s="49"/>
      <c r="J5" s="49"/>
    </row>
    <row r="6" spans="1:10">
      <c r="A6" t="s">
        <v>1168</v>
      </c>
      <c r="C6" s="53" t="s">
        <v>1169</v>
      </c>
      <c r="D6" s="171"/>
      <c r="E6" s="55"/>
      <c r="F6" s="55"/>
      <c r="G6" s="49" t="s">
        <v>1170</v>
      </c>
      <c r="I6" s="49"/>
      <c r="J6" s="49"/>
    </row>
    <row r="7" spans="1:10">
      <c r="A7" s="56" t="s">
        <v>1171</v>
      </c>
      <c r="C7" s="53" t="s">
        <v>1172</v>
      </c>
      <c r="D7" s="171"/>
      <c r="E7" s="55"/>
      <c r="F7" s="55"/>
      <c r="G7" s="49" t="s">
        <v>1173</v>
      </c>
      <c r="I7" s="49"/>
      <c r="J7" s="49"/>
    </row>
    <row r="8" spans="1:10">
      <c r="A8" s="49" t="s">
        <v>1174</v>
      </c>
      <c r="C8" s="53" t="s">
        <v>1175</v>
      </c>
      <c r="D8" s="171"/>
      <c r="E8" s="55"/>
      <c r="F8" s="55"/>
      <c r="G8" s="49" t="s">
        <v>1176</v>
      </c>
      <c r="I8" s="49"/>
      <c r="J8" s="49"/>
    </row>
    <row r="9" spans="1:10">
      <c r="A9" s="49" t="s">
        <v>1177</v>
      </c>
      <c r="C9" s="53" t="s">
        <v>700</v>
      </c>
      <c r="D9" s="171"/>
      <c r="E9" s="55"/>
      <c r="F9" s="55"/>
      <c r="G9" s="49" t="s">
        <v>1178</v>
      </c>
    </row>
    <row r="10" spans="1:10">
      <c r="A10" s="49" t="s">
        <v>1179</v>
      </c>
      <c r="C10" s="53" t="s">
        <v>1180</v>
      </c>
      <c r="D10" s="171"/>
      <c r="E10" s="55"/>
      <c r="F10" s="55"/>
      <c r="G10" s="49" t="s">
        <v>708</v>
      </c>
    </row>
    <row r="11" spans="1:10">
      <c r="A11" s="49" t="s">
        <v>1181</v>
      </c>
      <c r="C11" s="53" t="s">
        <v>1182</v>
      </c>
      <c r="D11" s="171"/>
      <c r="E11" s="55"/>
      <c r="F11" s="55"/>
      <c r="G11" s="49" t="s">
        <v>1183</v>
      </c>
      <c r="I11" s="49"/>
    </row>
    <row r="12" spans="1:10">
      <c r="A12" s="49" t="s">
        <v>1184</v>
      </c>
      <c r="C12" s="53" t="s">
        <v>1185</v>
      </c>
      <c r="D12" s="171"/>
      <c r="E12" s="55"/>
      <c r="F12" s="55"/>
      <c r="G12" s="49" t="s">
        <v>1186</v>
      </c>
      <c r="I12" s="49"/>
    </row>
    <row r="13" spans="1:10">
      <c r="A13" s="49" t="s">
        <v>1187</v>
      </c>
      <c r="C13" s="53" t="s">
        <v>1173</v>
      </c>
      <c r="D13" s="171"/>
      <c r="E13" s="55"/>
      <c r="F13" s="55"/>
      <c r="G13" s="49" t="s">
        <v>1188</v>
      </c>
      <c r="I13" s="49"/>
    </row>
    <row r="14" spans="1:10">
      <c r="A14" s="49" t="s">
        <v>1189</v>
      </c>
      <c r="C14" s="53" t="s">
        <v>1190</v>
      </c>
      <c r="D14" s="171"/>
      <c r="E14" s="55"/>
      <c r="F14" s="55"/>
      <c r="G14" s="49" t="s">
        <v>1191</v>
      </c>
      <c r="I14" s="49"/>
    </row>
    <row r="15" spans="1:10">
      <c r="A15" s="49" t="s">
        <v>1192</v>
      </c>
      <c r="C15" s="53" t="s">
        <v>1193</v>
      </c>
      <c r="D15" s="171"/>
      <c r="E15" s="55"/>
      <c r="F15" s="55"/>
      <c r="G15" s="49" t="s">
        <v>1194</v>
      </c>
      <c r="I15" s="49"/>
    </row>
    <row r="16" spans="1:10">
      <c r="A16" s="49"/>
      <c r="C16" s="53" t="s">
        <v>1191</v>
      </c>
      <c r="D16" s="171"/>
      <c r="E16" s="55"/>
      <c r="F16" s="55"/>
      <c r="G16" s="49" t="s">
        <v>1195</v>
      </c>
    </row>
    <row r="17" spans="1:7" ht="15.75" thickBot="1">
      <c r="A17" s="49"/>
      <c r="C17" s="54" t="s">
        <v>703</v>
      </c>
      <c r="D17" s="171"/>
      <c r="E17" s="55"/>
      <c r="F17" s="55"/>
      <c r="G17" s="49" t="s">
        <v>703</v>
      </c>
    </row>
    <row r="18" spans="1:7" ht="15.75" thickBot="1">
      <c r="A18" s="49"/>
      <c r="C18" s="57" t="s">
        <v>1196</v>
      </c>
      <c r="D18" s="172"/>
      <c r="E18" s="55"/>
      <c r="F18" s="55"/>
      <c r="G18" s="49"/>
    </row>
    <row r="19" spans="1:7">
      <c r="A19" s="49"/>
      <c r="C19" s="58" t="s">
        <v>1197</v>
      </c>
      <c r="D19" s="170" t="s">
        <v>1198</v>
      </c>
      <c r="G19" s="49" t="s">
        <v>1199</v>
      </c>
    </row>
    <row r="20" spans="1:7">
      <c r="A20" s="49"/>
      <c r="C20" s="59" t="s">
        <v>1200</v>
      </c>
      <c r="D20" s="171"/>
      <c r="G20" s="49" t="s">
        <v>1201</v>
      </c>
    </row>
    <row r="21" spans="1:7">
      <c r="A21" s="49"/>
      <c r="C21" s="59" t="s">
        <v>1178</v>
      </c>
      <c r="D21" s="171"/>
      <c r="G21" s="49" t="s">
        <v>1202</v>
      </c>
    </row>
    <row r="22" spans="1:7">
      <c r="A22" s="49"/>
      <c r="C22" s="59" t="s">
        <v>708</v>
      </c>
      <c r="D22" s="171"/>
      <c r="G22" s="46"/>
    </row>
    <row r="23" spans="1:7">
      <c r="A23" s="49"/>
      <c r="C23" s="59" t="s">
        <v>1199</v>
      </c>
      <c r="D23" s="171"/>
      <c r="G23" s="46"/>
    </row>
    <row r="24" spans="1:7" ht="84.75" customHeight="1">
      <c r="C24" s="59" t="s">
        <v>1159</v>
      </c>
      <c r="D24" s="171"/>
      <c r="G24" s="46"/>
    </row>
    <row r="25" spans="1:7">
      <c r="G25" s="46"/>
    </row>
    <row r="26" spans="1:7">
      <c r="G26" s="46"/>
    </row>
    <row r="27" spans="1:7">
      <c r="G27" s="46"/>
    </row>
    <row r="28" spans="1:7">
      <c r="G28" s="46"/>
    </row>
    <row r="29" spans="1:7">
      <c r="G29" s="46"/>
    </row>
    <row r="30" spans="1:7">
      <c r="G30" s="46"/>
    </row>
    <row r="31" spans="1:7">
      <c r="G31" s="46"/>
    </row>
    <row r="32" spans="1:7">
      <c r="G32" s="46"/>
    </row>
    <row r="33" spans="7:7">
      <c r="G33" s="46"/>
    </row>
    <row r="34" spans="7:7">
      <c r="G34" s="46"/>
    </row>
    <row r="35" spans="7:7">
      <c r="G35" s="46"/>
    </row>
    <row r="36" spans="7:7">
      <c r="G36" s="46"/>
    </row>
    <row r="37" spans="7:7">
      <c r="G37" s="46"/>
    </row>
    <row r="38" spans="7:7">
      <c r="G38" s="46"/>
    </row>
    <row r="39" spans="7:7">
      <c r="G39" s="46"/>
    </row>
    <row r="40" spans="7:7">
      <c r="G40" s="46"/>
    </row>
    <row r="41" spans="7:7">
      <c r="G41" s="46"/>
    </row>
    <row r="42" spans="7:7">
      <c r="G42" s="46"/>
    </row>
    <row r="43" spans="7:7">
      <c r="G43" s="46"/>
    </row>
    <row r="44" spans="7:7">
      <c r="G44" s="46"/>
    </row>
    <row r="45" spans="7:7">
      <c r="G45" s="46"/>
    </row>
    <row r="46" spans="7:7">
      <c r="G46" s="46"/>
    </row>
    <row r="47" spans="7:7">
      <c r="G47" s="46"/>
    </row>
    <row r="48" spans="7:7">
      <c r="G48" s="46"/>
    </row>
    <row r="49" spans="7:7">
      <c r="G49" s="46"/>
    </row>
    <row r="50" spans="7:7">
      <c r="G50" s="46"/>
    </row>
    <row r="51" spans="7:7">
      <c r="G51" s="46"/>
    </row>
  </sheetData>
  <mergeCells count="3">
    <mergeCell ref="D2:D4"/>
    <mergeCell ref="D5:D18"/>
    <mergeCell ref="D19: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B9"/>
    </sheetView>
  </sheetViews>
  <sheetFormatPr defaultColWidth="8.85546875" defaultRowHeight="15"/>
  <cols>
    <col min="1" max="2" width="35" customWidth="1"/>
    <col min="3" max="24" width="15.7109375" customWidth="1"/>
  </cols>
  <sheetData>
    <row r="1" spans="1:2" s="2" customFormat="1">
      <c r="A1" s="2" t="s">
        <v>674</v>
      </c>
      <c r="B1" s="2" t="s">
        <v>675</v>
      </c>
    </row>
    <row r="2" spans="1:2" ht="15.75" customHeight="1">
      <c r="A2" t="s">
        <v>676</v>
      </c>
      <c r="B2" t="s">
        <v>677</v>
      </c>
    </row>
    <row r="3" spans="1:2" ht="14.25" customHeight="1">
      <c r="A3" t="s">
        <v>678</v>
      </c>
      <c r="B3" t="s">
        <v>679</v>
      </c>
    </row>
    <row r="4" spans="1:2" ht="15.75" customHeight="1">
      <c r="A4" t="s">
        <v>680</v>
      </c>
      <c r="B4" t="s">
        <v>681</v>
      </c>
    </row>
    <row r="5" spans="1:2">
      <c r="A5" t="s">
        <v>682</v>
      </c>
      <c r="B5" t="s">
        <v>683</v>
      </c>
    </row>
    <row r="6" spans="1:2">
      <c r="A6" t="s">
        <v>684</v>
      </c>
      <c r="B6" t="s">
        <v>685</v>
      </c>
    </row>
    <row r="7" spans="1:2">
      <c r="A7" t="s">
        <v>686</v>
      </c>
      <c r="B7" t="s">
        <v>687</v>
      </c>
    </row>
    <row r="8" spans="1:2" ht="45">
      <c r="B8" s="12" t="s">
        <v>688</v>
      </c>
    </row>
    <row r="9" spans="1:2">
      <c r="B9" t="s">
        <v>689</v>
      </c>
    </row>
  </sheetData>
  <customSheetViews>
    <customSheetView guid="{496F11CA-79B2-45A2-B2F4-DB8ECA08FAE7}">
      <selection activeCell="B7" sqref="B7"/>
      <pageMargins left="0" right="0" top="0" bottom="0" header="0" footer="0"/>
      <pageSetup orientation="portrait" r:id="rId1"/>
    </customSheetView>
    <customSheetView guid="{AE93BF8D-04E5-4414-A37A-51DC0A068FA8}">
      <selection activeCell="B7" sqref="B7"/>
      <pageMargins left="0" right="0" top="0" bottom="0" header="0" footer="0"/>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2" sqref="D2"/>
    </sheetView>
  </sheetViews>
  <sheetFormatPr defaultColWidth="8.85546875" defaultRowHeight="15"/>
  <cols>
    <col min="1" max="1" width="38.42578125" customWidth="1"/>
    <col min="2" max="2" width="34.7109375" customWidth="1"/>
    <col min="3" max="3" width="43.42578125" customWidth="1"/>
    <col min="4" max="4" width="38.7109375" customWidth="1"/>
  </cols>
  <sheetData>
    <row r="1" spans="1:8">
      <c r="A1" s="2" t="s">
        <v>690</v>
      </c>
      <c r="B1" s="2" t="s">
        <v>691</v>
      </c>
      <c r="C1" s="2" t="s">
        <v>692</v>
      </c>
      <c r="D1" s="2" t="s">
        <v>693</v>
      </c>
      <c r="E1" s="2"/>
      <c r="F1" s="2"/>
      <c r="G1" s="2"/>
      <c r="H1" s="2"/>
    </row>
    <row r="2" spans="1:8">
      <c r="A2" s="1" t="s">
        <v>694</v>
      </c>
      <c r="B2" t="s">
        <v>695</v>
      </c>
      <c r="C2" s="1" t="s">
        <v>696</v>
      </c>
      <c r="D2" t="s">
        <v>697</v>
      </c>
    </row>
    <row r="3" spans="1:8">
      <c r="A3" s="1" t="s">
        <v>698</v>
      </c>
      <c r="B3" t="s">
        <v>699</v>
      </c>
      <c r="C3" t="s">
        <v>700</v>
      </c>
      <c r="D3" t="s">
        <v>685</v>
      </c>
    </row>
    <row r="4" spans="1:8">
      <c r="A4" s="1" t="s">
        <v>701</v>
      </c>
      <c r="B4" t="s">
        <v>702</v>
      </c>
      <c r="C4" s="1" t="s">
        <v>703</v>
      </c>
      <c r="D4" t="s">
        <v>687</v>
      </c>
    </row>
    <row r="5" spans="1:8" ht="45">
      <c r="A5" s="1" t="s">
        <v>704</v>
      </c>
      <c r="B5" t="s">
        <v>705</v>
      </c>
      <c r="C5" t="s">
        <v>706</v>
      </c>
      <c r="D5" s="12" t="s">
        <v>688</v>
      </c>
    </row>
    <row r="6" spans="1:8">
      <c r="B6" t="s">
        <v>707</v>
      </c>
      <c r="C6" s="1" t="s">
        <v>708</v>
      </c>
      <c r="D6" t="s">
        <v>689</v>
      </c>
    </row>
    <row r="7" spans="1:8">
      <c r="B7" t="s">
        <v>709</v>
      </c>
      <c r="C7" s="1" t="s">
        <v>710</v>
      </c>
    </row>
    <row r="8" spans="1:8">
      <c r="B8" s="1" t="s">
        <v>711</v>
      </c>
      <c r="C8" s="1" t="s">
        <v>712</v>
      </c>
    </row>
    <row r="9" spans="1:8">
      <c r="C9" s="1" t="s">
        <v>713</v>
      </c>
    </row>
  </sheetData>
  <customSheetViews>
    <customSheetView guid="{496F11CA-79B2-45A2-B2F4-DB8ECA08FAE7}">
      <selection activeCell="C9" sqref="C9"/>
      <pageMargins left="0" right="0" top="0" bottom="0" header="0" footer="0"/>
    </customSheetView>
    <customSheetView guid="{AE93BF8D-04E5-4414-A37A-51DC0A068FA8}">
      <selection activeCell="C9" sqref="C9"/>
      <pageMargins left="0" right="0" top="0" bottom="0" header="0" footer="0"/>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
    </sheetView>
  </sheetViews>
  <sheetFormatPr defaultColWidth="8.85546875" defaultRowHeight="15"/>
  <cols>
    <col min="1" max="1" width="45" customWidth="1"/>
    <col min="2" max="2" width="43.140625" customWidth="1"/>
  </cols>
  <sheetData>
    <row r="1" spans="1:2" s="8" customFormat="1">
      <c r="A1" s="8" t="s">
        <v>714</v>
      </c>
      <c r="B1" s="8" t="s">
        <v>715</v>
      </c>
    </row>
    <row r="2" spans="1:2">
      <c r="A2" s="12" t="s">
        <v>716</v>
      </c>
      <c r="B2" s="12" t="s">
        <v>717</v>
      </c>
    </row>
    <row r="3" spans="1:2" ht="45">
      <c r="A3" s="12" t="s">
        <v>718</v>
      </c>
      <c r="B3" s="12" t="s">
        <v>719</v>
      </c>
    </row>
    <row r="4" spans="1:2" ht="30">
      <c r="A4" s="12" t="s">
        <v>720</v>
      </c>
      <c r="B4" s="12" t="s">
        <v>721</v>
      </c>
    </row>
    <row r="5" spans="1:2" ht="30">
      <c r="A5" s="12" t="s">
        <v>722</v>
      </c>
      <c r="B5" s="12" t="s">
        <v>723</v>
      </c>
    </row>
    <row r="6" spans="1:2">
      <c r="A6" s="12" t="s">
        <v>724</v>
      </c>
      <c r="B6" s="12" t="s">
        <v>725</v>
      </c>
    </row>
    <row r="7" spans="1:2">
      <c r="A7" s="12" t="s">
        <v>726</v>
      </c>
      <c r="B7" s="12" t="s">
        <v>727</v>
      </c>
    </row>
    <row r="8" spans="1:2" ht="30">
      <c r="A8" s="12" t="s">
        <v>728</v>
      </c>
      <c r="B8" s="12" t="s">
        <v>729</v>
      </c>
    </row>
    <row r="9" spans="1:2">
      <c r="A9" s="12" t="s">
        <v>730</v>
      </c>
      <c r="B9" s="12" t="s">
        <v>731</v>
      </c>
    </row>
    <row r="10" spans="1:2">
      <c r="A10" s="12" t="s">
        <v>732</v>
      </c>
      <c r="B10" s="12" t="s">
        <v>733</v>
      </c>
    </row>
    <row r="11" spans="1:2">
      <c r="A11" s="12" t="s">
        <v>734</v>
      </c>
      <c r="B11" s="12" t="s">
        <v>735</v>
      </c>
    </row>
    <row r="12" spans="1:2" ht="30">
      <c r="A12" s="12" t="s">
        <v>736</v>
      </c>
      <c r="B12" s="12" t="s">
        <v>737</v>
      </c>
    </row>
  </sheetData>
  <customSheetViews>
    <customSheetView guid="{496F11CA-79B2-45A2-B2F4-DB8ECA08FAE7}">
      <selection activeCell="B12" sqref="B12"/>
      <pageMargins left="0" right="0" top="0" bottom="0" header="0" footer="0"/>
      <pageSetup orientation="portrait" verticalDpi="0" r:id="rId1"/>
    </customSheetView>
    <customSheetView guid="{AE93BF8D-04E5-4414-A37A-51DC0A068FA8}">
      <selection activeCell="B12" sqref="B12"/>
      <pageMargins left="0" right="0" top="0" bottom="0" header="0" footer="0"/>
      <pageSetup orientation="portrait" verticalDpi="0" r:id="rId2"/>
    </customSheetView>
  </customSheetViews>
  <pageMargins left="0.7" right="0.7" top="0.75" bottom="0.75" header="0.3" footer="0.3"/>
  <pageSetup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4"/>
  <sheetViews>
    <sheetView topLeftCell="AP1" workbookViewId="0">
      <selection activeCell="AP8" sqref="AP8"/>
    </sheetView>
  </sheetViews>
  <sheetFormatPr defaultColWidth="8.85546875" defaultRowHeight="15"/>
  <cols>
    <col min="1" max="1" width="41" customWidth="1"/>
    <col min="2" max="2" width="78" customWidth="1"/>
    <col min="3" max="3" width="20.7109375" customWidth="1"/>
    <col min="4" max="4" width="41.85546875" customWidth="1"/>
    <col min="5" max="5" width="20.7109375" customWidth="1"/>
    <col min="6" max="6" width="70.7109375" customWidth="1"/>
    <col min="7" max="7" width="37.85546875" customWidth="1"/>
    <col min="8" max="8" width="31.140625" customWidth="1"/>
    <col min="9" max="9" width="20.7109375" customWidth="1"/>
    <col min="10" max="10" width="70.42578125" customWidth="1"/>
    <col min="11" max="11" width="74.85546875" customWidth="1"/>
    <col min="12" max="12" width="27.28515625" customWidth="1"/>
    <col min="13" max="14" width="43" customWidth="1"/>
    <col min="15" max="19" width="20.7109375" customWidth="1"/>
    <col min="20" max="20" width="62.85546875" customWidth="1"/>
    <col min="21" max="21" width="20.7109375" customWidth="1"/>
    <col min="22" max="22" width="34.85546875" customWidth="1"/>
    <col min="23" max="23" width="28.42578125" customWidth="1"/>
    <col min="24" max="28" width="20.7109375" customWidth="1"/>
    <col min="29" max="29" width="79.140625" customWidth="1"/>
    <col min="30" max="32" width="20.7109375" customWidth="1"/>
    <col min="33" max="33" width="59.42578125" customWidth="1"/>
    <col min="34" max="34" width="46" bestFit="1" customWidth="1"/>
    <col min="35" max="40" width="20.7109375" customWidth="1"/>
    <col min="41" max="41" width="58.42578125" customWidth="1"/>
    <col min="42" max="42" width="39.85546875" customWidth="1"/>
    <col min="43" max="43" width="56" customWidth="1"/>
    <col min="44" max="44" width="20.7109375" customWidth="1"/>
    <col min="46" max="46" width="47" bestFit="1" customWidth="1"/>
    <col min="47" max="50" width="20.7109375" customWidth="1"/>
    <col min="51" max="51" width="43" customWidth="1"/>
    <col min="52" max="71" width="20.7109375" customWidth="1"/>
  </cols>
  <sheetData>
    <row r="1" spans="1:51" s="45" customFormat="1">
      <c r="A1" s="45" t="s">
        <v>738</v>
      </c>
      <c r="B1" s="45" t="s">
        <v>739</v>
      </c>
      <c r="C1" s="45" t="s">
        <v>740</v>
      </c>
      <c r="D1" s="45" t="s">
        <v>741</v>
      </c>
      <c r="E1" s="45" t="s">
        <v>742</v>
      </c>
      <c r="F1" s="45" t="s">
        <v>743</v>
      </c>
      <c r="G1" s="45" t="s">
        <v>744</v>
      </c>
      <c r="H1" s="45" t="s">
        <v>745</v>
      </c>
      <c r="I1" s="45" t="s">
        <v>746</v>
      </c>
      <c r="J1" s="45" t="s">
        <v>747</v>
      </c>
      <c r="K1" s="45" t="s">
        <v>748</v>
      </c>
      <c r="L1" s="45" t="s">
        <v>749</v>
      </c>
      <c r="M1" s="45" t="s">
        <v>750</v>
      </c>
      <c r="N1" s="45" t="s">
        <v>751</v>
      </c>
      <c r="O1" s="45" t="s">
        <v>752</v>
      </c>
      <c r="P1" s="45" t="s">
        <v>753</v>
      </c>
      <c r="Q1" s="45" t="s">
        <v>754</v>
      </c>
      <c r="R1" s="45" t="s">
        <v>755</v>
      </c>
      <c r="S1" s="45" t="s">
        <v>756</v>
      </c>
      <c r="T1" s="45" t="s">
        <v>757</v>
      </c>
      <c r="U1" s="45" t="s">
        <v>758</v>
      </c>
      <c r="V1" s="45" t="s">
        <v>759</v>
      </c>
      <c r="W1" s="45" t="s">
        <v>760</v>
      </c>
      <c r="X1" s="45" t="s">
        <v>761</v>
      </c>
      <c r="Y1" s="45" t="s">
        <v>762</v>
      </c>
      <c r="Z1" s="45" t="s">
        <v>763</v>
      </c>
      <c r="AA1" s="45" t="s">
        <v>764</v>
      </c>
      <c r="AB1" s="45" t="s">
        <v>765</v>
      </c>
      <c r="AC1" s="45" t="s">
        <v>766</v>
      </c>
      <c r="AD1" s="45" t="s">
        <v>767</v>
      </c>
      <c r="AE1" s="45" t="s">
        <v>768</v>
      </c>
      <c r="AF1" s="45" t="s">
        <v>769</v>
      </c>
      <c r="AG1" s="45" t="s">
        <v>770</v>
      </c>
      <c r="AH1" s="45" t="s">
        <v>771</v>
      </c>
      <c r="AI1" s="45" t="s">
        <v>772</v>
      </c>
      <c r="AJ1" s="45" t="s">
        <v>773</v>
      </c>
      <c r="AK1" s="45" t="s">
        <v>774</v>
      </c>
      <c r="AL1" s="45" t="s">
        <v>775</v>
      </c>
      <c r="AM1" s="45" t="s">
        <v>776</v>
      </c>
      <c r="AN1" s="45" t="s">
        <v>777</v>
      </c>
      <c r="AO1" s="45" t="s">
        <v>778</v>
      </c>
      <c r="AP1" s="45" t="s">
        <v>779</v>
      </c>
      <c r="AQ1" s="45" t="s">
        <v>780</v>
      </c>
      <c r="AR1" s="45" t="s">
        <v>781</v>
      </c>
      <c r="AU1" s="45" t="s">
        <v>782</v>
      </c>
      <c r="AV1" s="45" t="s">
        <v>783</v>
      </c>
      <c r="AW1" s="45" t="s">
        <v>784</v>
      </c>
      <c r="AX1" s="45" t="s">
        <v>785</v>
      </c>
      <c r="AY1" s="45" t="s">
        <v>1556</v>
      </c>
    </row>
    <row r="2" spans="1:51" s="46" customFormat="1" ht="15" customHeight="1">
      <c r="A2" s="46" t="s">
        <v>786</v>
      </c>
      <c r="B2" s="46" t="s">
        <v>1216</v>
      </c>
      <c r="C2" s="46" t="s">
        <v>787</v>
      </c>
      <c r="D2" s="14" t="s">
        <v>788</v>
      </c>
      <c r="E2" s="14" t="s">
        <v>789</v>
      </c>
      <c r="F2" s="15" t="s">
        <v>790</v>
      </c>
      <c r="G2" s="47" t="s">
        <v>791</v>
      </c>
      <c r="H2" s="14" t="s">
        <v>792</v>
      </c>
      <c r="I2" t="s">
        <v>793</v>
      </c>
      <c r="J2" t="s">
        <v>794</v>
      </c>
      <c r="K2" s="48" t="s">
        <v>795</v>
      </c>
      <c r="L2" s="46" t="s">
        <v>796</v>
      </c>
      <c r="M2" s="46" t="s">
        <v>797</v>
      </c>
      <c r="N2" s="14" t="s">
        <v>798</v>
      </c>
      <c r="O2" s="14" t="s">
        <v>799</v>
      </c>
      <c r="P2" s="14" t="s">
        <v>800</v>
      </c>
      <c r="Q2" s="14" t="s">
        <v>801</v>
      </c>
      <c r="R2" s="14" t="s">
        <v>802</v>
      </c>
      <c r="S2" s="46" t="s">
        <v>803</v>
      </c>
      <c r="T2" s="46" t="s">
        <v>804</v>
      </c>
      <c r="U2" s="14" t="s">
        <v>805</v>
      </c>
      <c r="V2" s="46" t="s">
        <v>806</v>
      </c>
      <c r="W2" s="14" t="s">
        <v>807</v>
      </c>
      <c r="X2" s="14" t="s">
        <v>808</v>
      </c>
      <c r="Y2" s="14" t="s">
        <v>808</v>
      </c>
      <c r="Z2" s="46" t="s">
        <v>808</v>
      </c>
      <c r="AA2" s="46" t="s">
        <v>808</v>
      </c>
      <c r="AB2" s="46" t="s">
        <v>796</v>
      </c>
      <c r="AC2" s="46" t="s">
        <v>809</v>
      </c>
      <c r="AD2" s="14" t="s">
        <v>810</v>
      </c>
      <c r="AE2" s="14" t="s">
        <v>811</v>
      </c>
      <c r="AF2" s="15" t="s">
        <v>812</v>
      </c>
      <c r="AG2" s="48" t="s">
        <v>1214</v>
      </c>
      <c r="AH2" s="46" t="s">
        <v>813</v>
      </c>
      <c r="AI2" s="14" t="s">
        <v>814</v>
      </c>
      <c r="AJ2" s="14" t="s">
        <v>815</v>
      </c>
      <c r="AK2" s="14" t="s">
        <v>816</v>
      </c>
      <c r="AL2" s="46" t="s">
        <v>817</v>
      </c>
      <c r="AM2" s="14" t="s">
        <v>818</v>
      </c>
      <c r="AN2" s="46" t="s">
        <v>819</v>
      </c>
      <c r="AO2" s="46" t="s">
        <v>820</v>
      </c>
      <c r="AP2" s="46" t="s">
        <v>821</v>
      </c>
      <c r="AQ2" s="46" t="s">
        <v>1124</v>
      </c>
      <c r="AR2" s="14" t="s">
        <v>822</v>
      </c>
      <c r="AT2" s="46" t="s">
        <v>695</v>
      </c>
      <c r="AU2" s="46" t="s">
        <v>823</v>
      </c>
      <c r="AV2" s="46" t="s">
        <v>824</v>
      </c>
      <c r="AW2" s="46" t="s">
        <v>825</v>
      </c>
      <c r="AX2" s="46" t="s">
        <v>826</v>
      </c>
      <c r="AY2" s="14" t="s">
        <v>1550</v>
      </c>
    </row>
    <row r="3" spans="1:51" s="46" customFormat="1">
      <c r="A3" s="46" t="s">
        <v>827</v>
      </c>
      <c r="B3" s="46" t="s">
        <v>828</v>
      </c>
      <c r="C3" s="46" t="s">
        <v>829</v>
      </c>
      <c r="D3" s="14" t="s">
        <v>830</v>
      </c>
      <c r="E3" s="14" t="s">
        <v>831</v>
      </c>
      <c r="F3" s="15" t="s">
        <v>832</v>
      </c>
      <c r="G3" s="47" t="s">
        <v>833</v>
      </c>
      <c r="H3" s="17" t="s">
        <v>834</v>
      </c>
      <c r="I3" s="14" t="s">
        <v>835</v>
      </c>
      <c r="J3" t="s">
        <v>836</v>
      </c>
      <c r="K3" s="48" t="s">
        <v>837</v>
      </c>
      <c r="L3" s="46" t="s">
        <v>838</v>
      </c>
      <c r="M3" s="46" t="s">
        <v>839</v>
      </c>
      <c r="N3" s="14" t="s">
        <v>840</v>
      </c>
      <c r="O3" s="14" t="s">
        <v>841</v>
      </c>
      <c r="P3" s="14" t="s">
        <v>842</v>
      </c>
      <c r="Q3" s="14" t="s">
        <v>843</v>
      </c>
      <c r="R3" s="14" t="s">
        <v>844</v>
      </c>
      <c r="S3" s="46" t="s">
        <v>845</v>
      </c>
      <c r="T3" s="46" t="s">
        <v>846</v>
      </c>
      <c r="U3" s="46" t="s">
        <v>847</v>
      </c>
      <c r="V3" s="46" t="s">
        <v>848</v>
      </c>
      <c r="W3" s="14" t="s">
        <v>849</v>
      </c>
      <c r="X3" s="46" t="s">
        <v>850</v>
      </c>
      <c r="Y3" s="46" t="s">
        <v>850</v>
      </c>
      <c r="Z3" s="46" t="s">
        <v>850</v>
      </c>
      <c r="AA3" s="46" t="s">
        <v>850</v>
      </c>
      <c r="AB3" s="46" t="s">
        <v>851</v>
      </c>
      <c r="AC3" s="46" t="s">
        <v>1125</v>
      </c>
      <c r="AD3" s="46" t="s">
        <v>852</v>
      </c>
      <c r="AE3" s="14" t="s">
        <v>853</v>
      </c>
      <c r="AF3" s="15" t="s">
        <v>854</v>
      </c>
      <c r="AG3" s="48" t="s">
        <v>1126</v>
      </c>
      <c r="AH3" s="46" t="s">
        <v>855</v>
      </c>
      <c r="AI3" s="14" t="s">
        <v>856</v>
      </c>
      <c r="AJ3" s="46" t="s">
        <v>857</v>
      </c>
      <c r="AK3" s="46" t="s">
        <v>858</v>
      </c>
      <c r="AL3" s="46" t="s">
        <v>859</v>
      </c>
      <c r="AM3" s="46" t="s">
        <v>860</v>
      </c>
      <c r="AN3" s="46" t="s">
        <v>861</v>
      </c>
      <c r="AO3" s="46" t="s">
        <v>862</v>
      </c>
      <c r="AP3" s="46" t="s">
        <v>863</v>
      </c>
      <c r="AQ3" s="46" t="s">
        <v>1127</v>
      </c>
      <c r="AR3" s="46" t="s">
        <v>864</v>
      </c>
      <c r="AT3" s="46" t="s">
        <v>699</v>
      </c>
      <c r="AU3" s="46" t="s">
        <v>865</v>
      </c>
      <c r="AV3" s="46" t="s">
        <v>866</v>
      </c>
      <c r="AW3" s="46" t="s">
        <v>867</v>
      </c>
      <c r="AX3" s="46" t="s">
        <v>868</v>
      </c>
      <c r="AY3" s="14" t="s">
        <v>1551</v>
      </c>
    </row>
    <row r="4" spans="1:51" s="46" customFormat="1" ht="15" customHeight="1">
      <c r="A4" s="46" t="s">
        <v>869</v>
      </c>
      <c r="B4" s="46" t="s">
        <v>870</v>
      </c>
      <c r="C4" s="46" t="s">
        <v>871</v>
      </c>
      <c r="D4" s="18" t="s">
        <v>872</v>
      </c>
      <c r="E4" s="14" t="s">
        <v>873</v>
      </c>
      <c r="F4" s="15" t="s">
        <v>874</v>
      </c>
      <c r="G4" s="47" t="s">
        <v>875</v>
      </c>
      <c r="H4" s="15" t="s">
        <v>876</v>
      </c>
      <c r="I4" s="14" t="s">
        <v>877</v>
      </c>
      <c r="J4" t="s">
        <v>878</v>
      </c>
      <c r="K4" s="48" t="s">
        <v>879</v>
      </c>
      <c r="L4" s="46" t="s">
        <v>880</v>
      </c>
      <c r="M4" s="46" t="s">
        <v>881</v>
      </c>
      <c r="N4" s="14" t="s">
        <v>794</v>
      </c>
      <c r="O4" s="14" t="s">
        <v>882</v>
      </c>
      <c r="P4" s="14" t="s">
        <v>883</v>
      </c>
      <c r="Q4" s="14" t="s">
        <v>884</v>
      </c>
      <c r="R4" s="14" t="s">
        <v>885</v>
      </c>
      <c r="S4" s="46" t="s">
        <v>886</v>
      </c>
      <c r="T4" s="46" t="s">
        <v>887</v>
      </c>
      <c r="U4" s="46" t="s">
        <v>888</v>
      </c>
      <c r="V4" s="47" t="s">
        <v>889</v>
      </c>
      <c r="W4" s="14" t="s">
        <v>890</v>
      </c>
      <c r="X4" s="46" t="s">
        <v>891</v>
      </c>
      <c r="Y4" s="46" t="s">
        <v>891</v>
      </c>
      <c r="Z4" s="46" t="s">
        <v>891</v>
      </c>
      <c r="AA4" s="46" t="s">
        <v>891</v>
      </c>
      <c r="AB4" s="46" t="s">
        <v>892</v>
      </c>
      <c r="AC4" s="46" t="s">
        <v>1128</v>
      </c>
      <c r="AD4" s="46" t="s">
        <v>893</v>
      </c>
      <c r="AE4" s="14" t="s">
        <v>894</v>
      </c>
      <c r="AF4" s="16" t="s">
        <v>895</v>
      </c>
      <c r="AG4" s="46" t="s">
        <v>1129</v>
      </c>
      <c r="AH4" s="46" t="s">
        <v>896</v>
      </c>
      <c r="AI4" s="14" t="s">
        <v>1130</v>
      </c>
      <c r="AJ4" s="46" t="s">
        <v>897</v>
      </c>
      <c r="AK4" s="46" t="s">
        <v>898</v>
      </c>
      <c r="AL4" s="46" t="s">
        <v>899</v>
      </c>
      <c r="AM4" s="46" t="s">
        <v>900</v>
      </c>
      <c r="AN4" s="46" t="s">
        <v>901</v>
      </c>
      <c r="AO4" s="46" t="s">
        <v>902</v>
      </c>
      <c r="AP4" s="46" t="s">
        <v>903</v>
      </c>
      <c r="AQ4" s="46" t="s">
        <v>1131</v>
      </c>
      <c r="AR4" s="46" t="s">
        <v>904</v>
      </c>
      <c r="AT4" s="46" t="s">
        <v>702</v>
      </c>
      <c r="AU4" s="46" t="s">
        <v>905</v>
      </c>
      <c r="AV4" s="46" t="s">
        <v>906</v>
      </c>
      <c r="AW4" s="46" t="s">
        <v>907</v>
      </c>
      <c r="AX4" s="46" t="s">
        <v>908</v>
      </c>
      <c r="AY4" s="14" t="s">
        <v>794</v>
      </c>
    </row>
    <row r="5" spans="1:51" s="46" customFormat="1" ht="15.75" customHeight="1">
      <c r="A5" s="46" t="s">
        <v>909</v>
      </c>
      <c r="B5" s="46" t="s">
        <v>910</v>
      </c>
      <c r="C5" s="46" t="s">
        <v>911</v>
      </c>
      <c r="D5" s="18" t="s">
        <v>872</v>
      </c>
      <c r="E5" s="14" t="s">
        <v>912</v>
      </c>
      <c r="F5" s="15" t="s">
        <v>913</v>
      </c>
      <c r="G5" s="47" t="s">
        <v>914</v>
      </c>
      <c r="H5" s="18" t="s">
        <v>914</v>
      </c>
      <c r="I5" s="14"/>
      <c r="J5" t="s">
        <v>915</v>
      </c>
      <c r="K5" s="48" t="s">
        <v>916</v>
      </c>
      <c r="L5" s="46" t="s">
        <v>917</v>
      </c>
      <c r="M5" s="46" t="s">
        <v>918</v>
      </c>
      <c r="N5" s="14" t="s">
        <v>919</v>
      </c>
      <c r="O5" s="14"/>
      <c r="P5" s="14" t="s">
        <v>920</v>
      </c>
      <c r="Q5" s="14" t="s">
        <v>921</v>
      </c>
      <c r="R5" s="14" t="s">
        <v>922</v>
      </c>
      <c r="T5" s="46" t="s">
        <v>923</v>
      </c>
      <c r="U5" s="46" t="s">
        <v>924</v>
      </c>
      <c r="V5" s="46" t="s">
        <v>925</v>
      </c>
      <c r="W5" s="14" t="s">
        <v>926</v>
      </c>
      <c r="X5" s="46" t="s">
        <v>927</v>
      </c>
      <c r="Y5" s="46" t="s">
        <v>928</v>
      </c>
      <c r="Z5" s="46" t="s">
        <v>929</v>
      </c>
      <c r="AA5" s="46" t="s">
        <v>930</v>
      </c>
      <c r="AB5" s="46" t="s">
        <v>931</v>
      </c>
      <c r="AC5" s="46" t="s">
        <v>1031</v>
      </c>
      <c r="AD5" s="46" t="s">
        <v>932</v>
      </c>
      <c r="AE5" s="14" t="s">
        <v>933</v>
      </c>
      <c r="AF5" s="14"/>
      <c r="AG5" s="46" t="s">
        <v>1132</v>
      </c>
      <c r="AH5" s="46" t="s">
        <v>934</v>
      </c>
      <c r="AI5" s="14" t="s">
        <v>1133</v>
      </c>
      <c r="AJ5" s="46" t="s">
        <v>935</v>
      </c>
      <c r="AK5" s="46" t="s">
        <v>936</v>
      </c>
      <c r="AL5" s="46" t="s">
        <v>937</v>
      </c>
      <c r="AM5" s="46" t="s">
        <v>938</v>
      </c>
      <c r="AN5" s="46" t="s">
        <v>939</v>
      </c>
      <c r="AO5" s="46" t="s">
        <v>940</v>
      </c>
      <c r="AP5" s="46" t="s">
        <v>941</v>
      </c>
      <c r="AQ5" s="46" t="s">
        <v>1134</v>
      </c>
      <c r="AR5" s="46" t="s">
        <v>942</v>
      </c>
      <c r="AT5" s="14"/>
      <c r="AV5" s="46" t="s">
        <v>943</v>
      </c>
      <c r="AW5" s="46" t="s">
        <v>944</v>
      </c>
      <c r="AX5" s="46" t="s">
        <v>945</v>
      </c>
      <c r="AY5" s="14" t="s">
        <v>1552</v>
      </c>
    </row>
    <row r="6" spans="1:51" s="46" customFormat="1" ht="15" customHeight="1">
      <c r="A6" s="46" t="s">
        <v>946</v>
      </c>
      <c r="B6" s="46" t="s">
        <v>947</v>
      </c>
      <c r="C6" s="46" t="s">
        <v>948</v>
      </c>
      <c r="F6" s="15" t="s">
        <v>949</v>
      </c>
      <c r="G6" s="47" t="s">
        <v>978</v>
      </c>
      <c r="H6" s="15" t="s">
        <v>1587</v>
      </c>
      <c r="I6" s="14"/>
      <c r="J6" t="s">
        <v>950</v>
      </c>
      <c r="K6" s="14" t="s">
        <v>951</v>
      </c>
      <c r="L6" s="46" t="s">
        <v>952</v>
      </c>
      <c r="M6" s="46" t="s">
        <v>953</v>
      </c>
      <c r="N6" s="14" t="s">
        <v>954</v>
      </c>
      <c r="O6" s="14"/>
      <c r="P6" s="14" t="s">
        <v>955</v>
      </c>
      <c r="Q6" s="14" t="s">
        <v>956</v>
      </c>
      <c r="R6" s="14" t="s">
        <v>957</v>
      </c>
      <c r="T6" s="46" t="s">
        <v>958</v>
      </c>
      <c r="U6" s="46" t="s">
        <v>959</v>
      </c>
      <c r="V6" s="46" t="s">
        <v>960</v>
      </c>
      <c r="W6" s="14" t="s">
        <v>961</v>
      </c>
      <c r="X6" s="46" t="s">
        <v>962</v>
      </c>
      <c r="Y6" s="46" t="s">
        <v>962</v>
      </c>
      <c r="Z6" s="46" t="s">
        <v>962</v>
      </c>
      <c r="AA6" s="46" t="s">
        <v>962</v>
      </c>
      <c r="AB6" s="46" t="s">
        <v>963</v>
      </c>
      <c r="AC6" s="46" t="s">
        <v>1135</v>
      </c>
      <c r="AG6" s="46" t="s">
        <v>1136</v>
      </c>
      <c r="AH6" s="46" t="s">
        <v>964</v>
      </c>
      <c r="AI6" s="14" t="s">
        <v>1137</v>
      </c>
      <c r="AJ6" s="46" t="s">
        <v>965</v>
      </c>
      <c r="AK6" s="46" t="s">
        <v>966</v>
      </c>
      <c r="AL6" s="46" t="s">
        <v>967</v>
      </c>
      <c r="AM6" s="46" t="s">
        <v>968</v>
      </c>
      <c r="AN6" s="46" t="s">
        <v>969</v>
      </c>
      <c r="AO6" s="46" t="s">
        <v>1138</v>
      </c>
      <c r="AP6" s="46" t="s">
        <v>970</v>
      </c>
      <c r="AQ6" s="46" t="s">
        <v>1139</v>
      </c>
      <c r="AR6" s="46" t="s">
        <v>971</v>
      </c>
      <c r="AV6" s="46" t="s">
        <v>972</v>
      </c>
      <c r="AW6" s="46" t="s">
        <v>973</v>
      </c>
      <c r="AX6" s="46" t="s">
        <v>974</v>
      </c>
      <c r="AY6" s="14" t="s">
        <v>1553</v>
      </c>
    </row>
    <row r="7" spans="1:51" s="46" customFormat="1">
      <c r="A7" s="46" t="s">
        <v>975</v>
      </c>
      <c r="B7" s="46" t="s">
        <v>976</v>
      </c>
      <c r="F7" s="15" t="s">
        <v>977</v>
      </c>
      <c r="G7" s="15" t="s">
        <v>1587</v>
      </c>
      <c r="H7" s="47" t="s">
        <v>979</v>
      </c>
      <c r="J7" s="46" t="s">
        <v>980</v>
      </c>
      <c r="K7" s="18" t="s">
        <v>981</v>
      </c>
      <c r="L7" s="46" t="s">
        <v>982</v>
      </c>
      <c r="M7" s="46" t="s">
        <v>983</v>
      </c>
      <c r="N7" s="46" t="s">
        <v>1549</v>
      </c>
      <c r="O7" s="14"/>
      <c r="P7" s="14" t="s">
        <v>985</v>
      </c>
      <c r="Q7" s="14" t="s">
        <v>986</v>
      </c>
      <c r="T7" s="46" t="s">
        <v>987</v>
      </c>
      <c r="U7" s="46" t="s">
        <v>988</v>
      </c>
      <c r="V7" s="46" t="s">
        <v>989</v>
      </c>
      <c r="W7" s="14" t="s">
        <v>990</v>
      </c>
      <c r="X7" s="46" t="s">
        <v>991</v>
      </c>
      <c r="Y7" s="46" t="s">
        <v>991</v>
      </c>
      <c r="Z7" s="46" t="s">
        <v>991</v>
      </c>
      <c r="AA7" s="46" t="s">
        <v>991</v>
      </c>
      <c r="AB7" s="46" t="s">
        <v>992</v>
      </c>
      <c r="AC7" s="46" t="s">
        <v>1140</v>
      </c>
      <c r="AG7" s="46" t="s">
        <v>1141</v>
      </c>
      <c r="AH7" s="46" t="s">
        <v>993</v>
      </c>
      <c r="AJ7" s="46" t="s">
        <v>994</v>
      </c>
      <c r="AK7" s="46" t="s">
        <v>995</v>
      </c>
      <c r="AL7" s="46" t="s">
        <v>996</v>
      </c>
      <c r="AM7" s="46" t="s">
        <v>997</v>
      </c>
      <c r="AN7" s="46" t="s">
        <v>998</v>
      </c>
      <c r="AO7" s="46" t="s">
        <v>999</v>
      </c>
      <c r="AP7" s="46" t="s">
        <v>1651</v>
      </c>
      <c r="AQ7" s="46" t="s">
        <v>1142</v>
      </c>
      <c r="AR7" s="46" t="s">
        <v>1000</v>
      </c>
      <c r="AV7" s="46" t="s">
        <v>1001</v>
      </c>
      <c r="AY7" s="46" t="s">
        <v>1549</v>
      </c>
    </row>
    <row r="8" spans="1:51" s="46" customFormat="1" ht="15" customHeight="1">
      <c r="A8" s="46" t="s">
        <v>1002</v>
      </c>
      <c r="B8" s="46" t="s">
        <v>1003</v>
      </c>
      <c r="G8" s="47" t="s">
        <v>1023</v>
      </c>
      <c r="K8" s="18" t="s">
        <v>1004</v>
      </c>
      <c r="L8" s="46" t="s">
        <v>1005</v>
      </c>
      <c r="M8" s="46" t="s">
        <v>1006</v>
      </c>
      <c r="N8" s="14" t="s">
        <v>1007</v>
      </c>
      <c r="O8" s="14"/>
      <c r="P8" s="14" t="s">
        <v>1008</v>
      </c>
      <c r="Q8" s="14"/>
      <c r="U8" s="46" t="s">
        <v>1009</v>
      </c>
      <c r="V8" s="46" t="s">
        <v>1010</v>
      </c>
      <c r="W8" s="14" t="s">
        <v>1011</v>
      </c>
      <c r="AB8" s="46" t="s">
        <v>1012</v>
      </c>
      <c r="AC8" s="14" t="s">
        <v>1143</v>
      </c>
      <c r="AG8" s="46" t="s">
        <v>1144</v>
      </c>
      <c r="AJ8" s="46" t="s">
        <v>1013</v>
      </c>
      <c r="AK8" s="46" t="s">
        <v>1014</v>
      </c>
      <c r="AL8" s="46" t="s">
        <v>1015</v>
      </c>
      <c r="AN8" s="46" t="s">
        <v>1016</v>
      </c>
      <c r="AO8" s="46" t="s">
        <v>1017</v>
      </c>
      <c r="AP8" s="46" t="s">
        <v>1018</v>
      </c>
      <c r="AQ8" s="46" t="s">
        <v>1145</v>
      </c>
      <c r="AR8" s="46" t="s">
        <v>1019</v>
      </c>
      <c r="AT8" s="49"/>
      <c r="AV8" s="46" t="s">
        <v>1020</v>
      </c>
      <c r="AY8" s="14" t="s">
        <v>1007</v>
      </c>
    </row>
    <row r="9" spans="1:51" s="46" customFormat="1">
      <c r="A9" s="46" t="s">
        <v>1021</v>
      </c>
      <c r="B9" s="46" t="s">
        <v>1022</v>
      </c>
      <c r="G9" s="47" t="s">
        <v>1041</v>
      </c>
      <c r="K9" s="18" t="s">
        <v>1024</v>
      </c>
      <c r="L9" s="46" t="s">
        <v>1025</v>
      </c>
      <c r="M9" s="46" t="s">
        <v>984</v>
      </c>
      <c r="N9" s="50" t="s">
        <v>1026</v>
      </c>
      <c r="P9" s="14" t="s">
        <v>1027</v>
      </c>
      <c r="Q9" s="14"/>
      <c r="U9" s="46" t="s">
        <v>1028</v>
      </c>
      <c r="V9" s="46" t="s">
        <v>1029</v>
      </c>
      <c r="AB9" s="46" t="s">
        <v>1030</v>
      </c>
      <c r="AC9" s="46" t="s">
        <v>1146</v>
      </c>
      <c r="AG9" s="46" t="s">
        <v>1147</v>
      </c>
      <c r="AJ9" s="46" t="s">
        <v>1032</v>
      </c>
      <c r="AK9" s="46" t="s">
        <v>1033</v>
      </c>
      <c r="AL9" s="46" t="s">
        <v>1034</v>
      </c>
      <c r="AN9" s="46" t="s">
        <v>1035</v>
      </c>
      <c r="AO9" s="46" t="s">
        <v>1036</v>
      </c>
      <c r="AP9" s="46" t="s">
        <v>1037</v>
      </c>
      <c r="AQ9" s="46" t="s">
        <v>1618</v>
      </c>
      <c r="AR9" s="46" t="s">
        <v>1038</v>
      </c>
      <c r="AT9" s="49"/>
      <c r="AY9" s="50" t="s">
        <v>1554</v>
      </c>
    </row>
    <row r="10" spans="1:51" s="46" customFormat="1" ht="15" customHeight="1">
      <c r="A10" s="46" t="s">
        <v>1039</v>
      </c>
      <c r="B10" s="46" t="s">
        <v>1040</v>
      </c>
      <c r="G10" s="47" t="s">
        <v>979</v>
      </c>
      <c r="L10" s="46" t="s">
        <v>963</v>
      </c>
      <c r="P10" s="14" t="s">
        <v>1042</v>
      </c>
      <c r="Q10" s="14"/>
      <c r="V10" s="127" t="s">
        <v>1600</v>
      </c>
      <c r="AC10" s="46" t="s">
        <v>1149</v>
      </c>
      <c r="AG10" s="46" t="s">
        <v>1150</v>
      </c>
      <c r="AJ10" s="46" t="s">
        <v>1043</v>
      </c>
      <c r="AL10" s="46" t="s">
        <v>1044</v>
      </c>
      <c r="AP10" s="46" t="s">
        <v>1045</v>
      </c>
      <c r="AQ10" s="46" t="s">
        <v>1148</v>
      </c>
      <c r="AR10" s="46" t="s">
        <v>1046</v>
      </c>
      <c r="AT10" s="49"/>
    </row>
    <row r="11" spans="1:51" s="46" customFormat="1">
      <c r="A11" s="46" t="s">
        <v>1047</v>
      </c>
      <c r="B11" s="46" t="s">
        <v>1048</v>
      </c>
      <c r="L11" s="46" t="s">
        <v>992</v>
      </c>
      <c r="V11" s="127" t="s">
        <v>1601</v>
      </c>
      <c r="AG11" s="46" t="s">
        <v>1151</v>
      </c>
      <c r="AJ11" s="46" t="s">
        <v>1049</v>
      </c>
      <c r="AL11" s="46" t="s">
        <v>1050</v>
      </c>
      <c r="AP11" s="46" t="s">
        <v>1051</v>
      </c>
      <c r="AT11" s="49"/>
    </row>
    <row r="12" spans="1:51" s="46" customFormat="1" ht="15" customHeight="1">
      <c r="L12" s="46" t="s">
        <v>1012</v>
      </c>
      <c r="AG12" s="46" t="s">
        <v>1152</v>
      </c>
      <c r="AJ12" s="46" t="s">
        <v>1052</v>
      </c>
      <c r="AL12" s="46" t="s">
        <v>1053</v>
      </c>
      <c r="AP12" s="46" t="s">
        <v>1054</v>
      </c>
      <c r="AT12" s="49"/>
    </row>
    <row r="13" spans="1:51" s="46" customFormat="1">
      <c r="L13" s="46" t="s">
        <v>1030</v>
      </c>
      <c r="AJ13" s="46" t="s">
        <v>1055</v>
      </c>
      <c r="AL13" s="46" t="s">
        <v>1056</v>
      </c>
      <c r="AT13" s="49"/>
    </row>
    <row r="14" spans="1:51" s="46" customFormat="1">
      <c r="L14" s="46" t="s">
        <v>1057</v>
      </c>
      <c r="AJ14" s="46" t="s">
        <v>1058</v>
      </c>
      <c r="AL14" s="46" t="s">
        <v>1059</v>
      </c>
      <c r="AT14" s="49"/>
    </row>
    <row r="15" spans="1:51" s="46" customFormat="1">
      <c r="AJ15" s="46" t="s">
        <v>1060</v>
      </c>
      <c r="AL15" s="46" t="s">
        <v>1061</v>
      </c>
      <c r="AT15" s="49"/>
    </row>
    <row r="16" spans="1:51" s="46" customFormat="1">
      <c r="AJ16" s="46" t="s">
        <v>1062</v>
      </c>
      <c r="AT16" s="49"/>
    </row>
    <row r="17" spans="36:46" s="46" customFormat="1">
      <c r="AJ17" s="46" t="s">
        <v>1063</v>
      </c>
      <c r="AT17" s="49"/>
    </row>
    <row r="18" spans="36:46" s="46" customFormat="1">
      <c r="AT18" s="49"/>
    </row>
    <row r="19" spans="36:46" s="46" customFormat="1">
      <c r="AT19" s="49"/>
    </row>
    <row r="20" spans="36:46" s="46" customFormat="1">
      <c r="AT20"/>
    </row>
    <row r="21" spans="36:46" s="46" customFormat="1">
      <c r="AT21"/>
    </row>
    <row r="22" spans="36:46" s="46" customFormat="1" ht="16.5" customHeight="1">
      <c r="AT22"/>
    </row>
    <row r="23" spans="36:46" s="46" customFormat="1">
      <c r="AT23"/>
    </row>
    <row r="24" spans="36:46" s="46" customFormat="1">
      <c r="AT24"/>
    </row>
    <row r="25" spans="36:46" s="46" customFormat="1">
      <c r="AT25"/>
    </row>
    <row r="26" spans="36:46" s="46" customFormat="1">
      <c r="AT26"/>
    </row>
    <row r="27" spans="36:46" s="46" customFormat="1">
      <c r="AT27"/>
    </row>
    <row r="28" spans="36:46" s="46" customFormat="1">
      <c r="AT28"/>
    </row>
    <row r="29" spans="36:46" s="46" customFormat="1">
      <c r="AT29"/>
    </row>
    <row r="30" spans="36:46" s="46" customFormat="1">
      <c r="AT30"/>
    </row>
    <row r="31" spans="36:46" s="46" customFormat="1">
      <c r="AT31"/>
    </row>
    <row r="32" spans="36:46" s="46" customFormat="1">
      <c r="AT32"/>
    </row>
    <row r="33" spans="41:46" s="46" customFormat="1">
      <c r="AT33"/>
    </row>
    <row r="34" spans="41:46" s="46" customFormat="1">
      <c r="AT34"/>
    </row>
    <row r="35" spans="41:46" s="46" customFormat="1">
      <c r="AT35"/>
    </row>
    <row r="36" spans="41:46" s="46" customFormat="1">
      <c r="AT36"/>
    </row>
    <row r="37" spans="41:46" s="46" customFormat="1">
      <c r="AT37"/>
    </row>
    <row r="38" spans="41:46" s="46" customFormat="1">
      <c r="AT38"/>
    </row>
    <row r="39" spans="41:46" s="46" customFormat="1">
      <c r="AT39"/>
    </row>
    <row r="40" spans="41:46" s="46" customFormat="1">
      <c r="AT40"/>
    </row>
    <row r="41" spans="41:46" s="46" customFormat="1">
      <c r="AT41"/>
    </row>
    <row r="42" spans="41:46" s="46" customFormat="1">
      <c r="AT42"/>
    </row>
    <row r="43" spans="41:46" s="46" customFormat="1">
      <c r="AT43"/>
    </row>
    <row r="44" spans="41:46" s="46" customFormat="1">
      <c r="AT44"/>
    </row>
    <row r="45" spans="41:46" s="46" customFormat="1">
      <c r="AT45"/>
    </row>
    <row r="46" spans="41:46" s="46" customFormat="1">
      <c r="AT46"/>
    </row>
    <row r="47" spans="41:46" s="46" customFormat="1">
      <c r="AO47"/>
      <c r="AT47"/>
    </row>
    <row r="48" spans="41:46" s="46" customFormat="1">
      <c r="AO48"/>
      <c r="AT48"/>
    </row>
    <row r="49" spans="7:46" s="46" customFormat="1">
      <c r="AO49"/>
      <c r="AP49"/>
      <c r="AT49"/>
    </row>
    <row r="50" spans="7:46" s="46" customFormat="1">
      <c r="G50"/>
      <c r="T50"/>
      <c r="AO50"/>
      <c r="AP50"/>
      <c r="AT50"/>
    </row>
    <row r="51" spans="7:46">
      <c r="K51" s="46"/>
      <c r="AG51" s="46"/>
      <c r="AQ51" s="46"/>
    </row>
    <row r="52" spans="7:46">
      <c r="K52" s="46"/>
      <c r="AG52" s="46"/>
    </row>
    <row r="53" spans="7:46">
      <c r="K53" s="46"/>
    </row>
    <row r="54" spans="7:46">
      <c r="K54" s="4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10" workbookViewId="0"/>
  </sheetViews>
  <sheetFormatPr defaultColWidth="8.85546875" defaultRowHeight="15"/>
  <cols>
    <col min="2" max="2" width="51" customWidth="1"/>
    <col min="4" max="4" width="105.42578125" customWidth="1"/>
  </cols>
  <sheetData>
    <row r="1" spans="1:2">
      <c r="A1" s="24" t="s">
        <v>1064</v>
      </c>
      <c r="B1" s="23" t="s">
        <v>1065</v>
      </c>
    </row>
    <row r="2" spans="1:2">
      <c r="A2" s="22">
        <v>1</v>
      </c>
      <c r="B2" s="1" t="s">
        <v>1066</v>
      </c>
    </row>
    <row r="3" spans="1:2">
      <c r="A3" s="22">
        <v>2</v>
      </c>
      <c r="B3" s="1" t="s">
        <v>1067</v>
      </c>
    </row>
    <row r="4" spans="1:2">
      <c r="A4" s="22">
        <v>3</v>
      </c>
      <c r="B4" s="1" t="s">
        <v>1068</v>
      </c>
    </row>
    <row r="5" spans="1:2">
      <c r="A5" s="22">
        <v>4</v>
      </c>
      <c r="B5" s="1" t="s">
        <v>1069</v>
      </c>
    </row>
    <row r="6" spans="1:2">
      <c r="A6" s="22">
        <v>5</v>
      </c>
      <c r="B6" s="1" t="s">
        <v>1070</v>
      </c>
    </row>
    <row r="7" spans="1:2">
      <c r="A7" s="22">
        <v>6</v>
      </c>
      <c r="B7" s="1" t="s">
        <v>1071</v>
      </c>
    </row>
    <row r="8" spans="1:2">
      <c r="A8" s="22">
        <v>7</v>
      </c>
      <c r="B8" s="1" t="s">
        <v>1072</v>
      </c>
    </row>
    <row r="9" spans="1:2">
      <c r="A9" s="22">
        <v>8</v>
      </c>
      <c r="B9" s="1" t="s">
        <v>1073</v>
      </c>
    </row>
    <row r="10" spans="1:2">
      <c r="A10" s="22">
        <v>9</v>
      </c>
      <c r="B10" s="1" t="s">
        <v>1074</v>
      </c>
    </row>
    <row r="11" spans="1:2">
      <c r="A11" s="22">
        <v>10</v>
      </c>
      <c r="B11" s="1" t="s">
        <v>1075</v>
      </c>
    </row>
    <row r="12" spans="1:2">
      <c r="A12" s="22">
        <v>11</v>
      </c>
      <c r="B12" s="1" t="s">
        <v>1076</v>
      </c>
    </row>
    <row r="13" spans="1:2">
      <c r="A13" s="22">
        <v>96</v>
      </c>
      <c r="B13" s="1" t="s">
        <v>877</v>
      </c>
    </row>
    <row r="14" spans="1:2">
      <c r="A14" s="22">
        <v>-2</v>
      </c>
      <c r="B14" s="1" t="s">
        <v>1430</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heetViews>
  <sheetFormatPr defaultColWidth="8.85546875" defaultRowHeight="12.75"/>
  <cols>
    <col min="1" max="1" width="14.85546875" style="19" customWidth="1"/>
    <col min="2" max="2" width="52" style="19" bestFit="1" customWidth="1"/>
    <col min="3" max="16384" width="8.85546875" style="19"/>
  </cols>
  <sheetData>
    <row r="1" spans="1:2">
      <c r="A1" s="24" t="s">
        <v>1064</v>
      </c>
      <c r="B1" s="23" t="s">
        <v>1065</v>
      </c>
    </row>
    <row r="2" spans="1:2">
      <c r="A2" s="22">
        <v>1</v>
      </c>
      <c r="B2" s="25" t="s">
        <v>1077</v>
      </c>
    </row>
    <row r="3" spans="1:2">
      <c r="A3" s="22">
        <v>2</v>
      </c>
      <c r="B3" s="26" t="s">
        <v>1078</v>
      </c>
    </row>
    <row r="4" spans="1:2" ht="12.75" customHeight="1">
      <c r="A4" s="22">
        <v>3</v>
      </c>
      <c r="B4" s="26" t="s">
        <v>1079</v>
      </c>
    </row>
    <row r="5" spans="1:2">
      <c r="A5" s="22">
        <v>4</v>
      </c>
      <c r="B5" s="26" t="s">
        <v>1080</v>
      </c>
    </row>
    <row r="6" spans="1:2" ht="12.75" customHeight="1">
      <c r="A6" s="22">
        <v>5</v>
      </c>
      <c r="B6" s="26" t="s">
        <v>1081</v>
      </c>
    </row>
    <row r="7" spans="1:2">
      <c r="A7" s="22">
        <v>6</v>
      </c>
      <c r="B7" s="26" t="s">
        <v>1082</v>
      </c>
    </row>
    <row r="8" spans="1:2" ht="12.75" customHeight="1">
      <c r="A8" s="22">
        <v>7</v>
      </c>
      <c r="B8" s="26" t="s">
        <v>1083</v>
      </c>
    </row>
    <row r="9" spans="1:2">
      <c r="A9" s="22">
        <v>8</v>
      </c>
      <c r="B9" s="26" t="s">
        <v>1084</v>
      </c>
    </row>
    <row r="10" spans="1:2">
      <c r="A10" s="22">
        <v>9</v>
      </c>
      <c r="B10" s="26" t="s">
        <v>1085</v>
      </c>
    </row>
    <row r="11" spans="1:2">
      <c r="A11" s="22">
        <v>10</v>
      </c>
      <c r="B11" s="26" t="s">
        <v>1086</v>
      </c>
    </row>
    <row r="12" spans="1:2" ht="12.75" customHeight="1">
      <c r="A12" s="22">
        <v>11</v>
      </c>
      <c r="B12" s="26" t="s">
        <v>1087</v>
      </c>
    </row>
    <row r="13" spans="1:2">
      <c r="A13" s="22">
        <v>12</v>
      </c>
      <c r="B13" s="26" t="s">
        <v>1088</v>
      </c>
    </row>
    <row r="14" spans="1:2">
      <c r="A14" s="22">
        <v>13</v>
      </c>
      <c r="B14" s="26" t="s">
        <v>1089</v>
      </c>
    </row>
    <row r="15" spans="1:2">
      <c r="A15" s="22">
        <v>14</v>
      </c>
      <c r="B15" s="26" t="s">
        <v>1090</v>
      </c>
    </row>
    <row r="16" spans="1:2">
      <c r="A16" s="22">
        <v>15</v>
      </c>
      <c r="B16" s="26" t="s">
        <v>1091</v>
      </c>
    </row>
    <row r="17" spans="1:2">
      <c r="A17" s="22">
        <v>16</v>
      </c>
      <c r="B17" s="26" t="s">
        <v>1092</v>
      </c>
    </row>
    <row r="18" spans="1:2">
      <c r="A18" s="22">
        <v>17</v>
      </c>
      <c r="B18" s="26" t="s">
        <v>1093</v>
      </c>
    </row>
    <row r="19" spans="1:2" ht="12.75" customHeight="1">
      <c r="A19" s="22">
        <v>18</v>
      </c>
      <c r="B19" s="26" t="s">
        <v>1094</v>
      </c>
    </row>
    <row r="20" spans="1:2">
      <c r="A20" s="22">
        <v>19</v>
      </c>
      <c r="B20" s="26" t="s">
        <v>1095</v>
      </c>
    </row>
    <row r="21" spans="1:2" ht="12.75" customHeight="1">
      <c r="A21" s="22">
        <v>20</v>
      </c>
      <c r="B21" s="26" t="s">
        <v>1096</v>
      </c>
    </row>
    <row r="22" spans="1:2">
      <c r="A22" s="22">
        <v>21</v>
      </c>
      <c r="B22" s="26" t="s">
        <v>1097</v>
      </c>
    </row>
    <row r="23" spans="1:2" ht="12.75" customHeight="1">
      <c r="A23" s="22">
        <v>22</v>
      </c>
      <c r="B23" s="26" t="s">
        <v>1098</v>
      </c>
    </row>
    <row r="24" spans="1:2">
      <c r="A24" s="22">
        <v>23</v>
      </c>
      <c r="B24" s="26" t="s">
        <v>1099</v>
      </c>
    </row>
    <row r="25" spans="1:2">
      <c r="A25" s="22">
        <v>24</v>
      </c>
      <c r="B25" s="26" t="s">
        <v>1100</v>
      </c>
    </row>
    <row r="26" spans="1:2">
      <c r="A26" s="22">
        <v>25</v>
      </c>
      <c r="B26" s="26" t="s">
        <v>1101</v>
      </c>
    </row>
    <row r="27" spans="1:2">
      <c r="A27" s="22">
        <v>26</v>
      </c>
      <c r="B27" s="26" t="s">
        <v>1102</v>
      </c>
    </row>
    <row r="28" spans="1:2">
      <c r="A28" s="22">
        <v>27</v>
      </c>
      <c r="B28" s="26" t="s">
        <v>1103</v>
      </c>
    </row>
    <row r="29" spans="1:2">
      <c r="A29" s="22">
        <v>28</v>
      </c>
      <c r="B29" s="26" t="s">
        <v>1104</v>
      </c>
    </row>
    <row r="30" spans="1:2">
      <c r="A30" s="22">
        <v>29</v>
      </c>
      <c r="B30" s="26" t="s">
        <v>1105</v>
      </c>
    </row>
    <row r="31" spans="1:2">
      <c r="A31" s="22">
        <v>30</v>
      </c>
      <c r="B31" s="19" t="s">
        <v>1106</v>
      </c>
    </row>
    <row r="32" spans="1:2">
      <c r="A32" s="22">
        <v>31</v>
      </c>
      <c r="B32" s="26" t="s">
        <v>1107</v>
      </c>
    </row>
    <row r="33" spans="1:2">
      <c r="A33" s="22">
        <v>32</v>
      </c>
      <c r="B33" s="1" t="s">
        <v>1108</v>
      </c>
    </row>
    <row r="34" spans="1:2">
      <c r="A34" s="31">
        <v>-3</v>
      </c>
      <c r="B34" s="25" t="s">
        <v>1431</v>
      </c>
    </row>
  </sheetData>
  <pageMargins left="0.7" right="0.7" top="0.75" bottom="0.75" header="0.3" footer="0.3"/>
  <pageSetup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defaultColWidth="8.85546875" defaultRowHeight="15"/>
  <cols>
    <col min="2" max="2" width="58.140625" customWidth="1"/>
  </cols>
  <sheetData>
    <row r="1" spans="1:2">
      <c r="A1" s="24" t="s">
        <v>1064</v>
      </c>
      <c r="B1" s="23" t="s">
        <v>1065</v>
      </c>
    </row>
    <row r="2" spans="1:2">
      <c r="A2" s="22">
        <v>1</v>
      </c>
      <c r="B2" s="1" t="s">
        <v>1109</v>
      </c>
    </row>
    <row r="3" spans="1:2">
      <c r="A3" s="22">
        <v>2</v>
      </c>
      <c r="B3" s="1" t="s">
        <v>1110</v>
      </c>
    </row>
    <row r="4" spans="1:2">
      <c r="A4" s="22">
        <v>3</v>
      </c>
      <c r="B4" s="1" t="s">
        <v>1111</v>
      </c>
    </row>
    <row r="5" spans="1:2">
      <c r="A5" s="22">
        <v>4</v>
      </c>
      <c r="B5" s="1" t="s">
        <v>1112</v>
      </c>
    </row>
    <row r="6" spans="1:2">
      <c r="A6" s="22">
        <v>5</v>
      </c>
      <c r="B6" s="1" t="s">
        <v>1113</v>
      </c>
    </row>
    <row r="7" spans="1:2">
      <c r="A7" s="22">
        <v>6</v>
      </c>
      <c r="B7" s="1" t="s">
        <v>1114</v>
      </c>
    </row>
    <row r="8" spans="1:2">
      <c r="A8" s="22">
        <v>7</v>
      </c>
      <c r="B8" s="1" t="s">
        <v>1115</v>
      </c>
    </row>
    <row r="9" spans="1:2">
      <c r="A9" s="22">
        <v>8</v>
      </c>
      <c r="B9" s="1" t="s">
        <v>1116</v>
      </c>
    </row>
    <row r="10" spans="1:2">
      <c r="A10" s="22">
        <v>9</v>
      </c>
      <c r="B10" s="1" t="s">
        <v>1117</v>
      </c>
    </row>
    <row r="11" spans="1:2">
      <c r="A11" s="22">
        <v>10</v>
      </c>
      <c r="B11" s="1" t="s">
        <v>1118</v>
      </c>
    </row>
    <row r="12" spans="1:2">
      <c r="A12" s="22">
        <v>96</v>
      </c>
      <c r="B12" s="1" t="s">
        <v>877</v>
      </c>
    </row>
    <row r="13" spans="1:2">
      <c r="A13" s="31">
        <v>-2</v>
      </c>
      <c r="B13" s="1" t="s">
        <v>1430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EFA0FAD8848C469D6423654F37A4F6" ma:contentTypeVersion="9" ma:contentTypeDescription="Create a new document." ma:contentTypeScope="" ma:versionID="ba9f2753b34ab695a8c622778f6f3c28">
  <xsd:schema xmlns:xsd="http://www.w3.org/2001/XMLSchema" xmlns:xs="http://www.w3.org/2001/XMLSchema" xmlns:p="http://schemas.microsoft.com/office/2006/metadata/properties" xmlns:ns2="7c59b8bc-962c-4b2f-8183-a6b73013cab8" xmlns:ns3="accde978-98c2-4bfa-ad25-7ac594f50a78" targetNamespace="http://schemas.microsoft.com/office/2006/metadata/properties" ma:root="true" ma:fieldsID="077fb3a12cdb078d649544fcbebb17b8" ns2:_="" ns3:_="">
    <xsd:import namespace="7c59b8bc-962c-4b2f-8183-a6b73013cab8"/>
    <xsd:import namespace="accde978-98c2-4bfa-ad25-7ac594f50a7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9b8bc-962c-4b2f-8183-a6b73013cab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cde978-98c2-4bfa-ad25-7ac594f50a7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DBD097-24CF-4568-B827-CA9884B1C0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59b8bc-962c-4b2f-8183-a6b73013cab8"/>
    <ds:schemaRef ds:uri="accde978-98c2-4bfa-ad25-7ac594f50a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433F68-7BAA-42A2-B084-EA8DB2F1B979}">
  <ds:schemaRefs>
    <ds:schemaRef ds:uri="7c59b8bc-962c-4b2f-8183-a6b73013cab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ccde978-98c2-4bfa-ad25-7ac594f50a78"/>
    <ds:schemaRef ds:uri="http://www.w3.org/XML/1998/namespace"/>
    <ds:schemaRef ds:uri="http://purl.org/dc/dcmitype/"/>
  </ds:schemaRefs>
</ds:datastoreItem>
</file>

<file path=customXml/itemProps3.xml><?xml version="1.0" encoding="utf-8"?>
<ds:datastoreItem xmlns:ds="http://schemas.openxmlformats.org/officeDocument/2006/customXml" ds:itemID="{1E88A35C-7B3D-40CA-8B61-5EA78FF65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INDIA</vt:lpstr>
      <vt:lpstr>brand name</vt:lpstr>
      <vt:lpstr>Institution</vt:lpstr>
      <vt:lpstr>Channel</vt:lpstr>
      <vt:lpstr>Activity</vt:lpstr>
      <vt:lpstr>Other</vt:lpstr>
      <vt:lpstr>vDG4</vt:lpstr>
      <vt:lpstr>vDL2</vt:lpstr>
      <vt:lpstr>vDL1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Beatrice Cheronoh</dc:creator>
  <cp:keywords/>
  <dc:description/>
  <cp:lastModifiedBy>Xiaoyan Hu</cp:lastModifiedBy>
  <cp:revision/>
  <dcterms:created xsi:type="dcterms:W3CDTF">2014-06-04T14:14:28Z</dcterms:created>
  <dcterms:modified xsi:type="dcterms:W3CDTF">2019-01-29T18:19:48Z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0x01010009EFA0FAD8848C469D6423654F37A4F6</vt:lpwstr>
  </property>
</Properties>
</file>