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data/shapefiles-master/india/parliament/"/>
    </mc:Choice>
  </mc:AlternateContent>
  <xr:revisionPtr revIDLastSave="10" documentId="8_{B8B38F34-FC27-B742-8AE9-5C08016AB76F}" xr6:coauthVersionLast="47" xr6:coauthVersionMax="47" xr10:uidLastSave="{224B15AD-0293-9343-9E51-76C430BE61CF}"/>
  <bookViews>
    <workbookView xWindow="0" yWindow="500" windowWidth="28800" windowHeight="15500" xr2:uid="{8C6BC295-E399-4678-8422-20F320AF47AD}"/>
  </bookViews>
  <sheets>
    <sheet name="DFD" sheetId="4" r:id="rId1"/>
    <sheet name="OMDP (2)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4" l="1"/>
  <c r="O25" i="4" s="1"/>
  <c r="J13" i="4"/>
  <c r="E16" i="4"/>
  <c r="J26" i="4"/>
  <c r="L1" i="4"/>
  <c r="M3" i="4"/>
  <c r="M2" i="4"/>
  <c r="L5" i="4"/>
  <c r="L4" i="4"/>
  <c r="M4" i="4" s="1"/>
  <c r="L3" i="4"/>
  <c r="L2" i="4"/>
  <c r="K5" i="4"/>
  <c r="J5" i="4"/>
  <c r="J25" i="4"/>
  <c r="M5" i="4" l="1"/>
  <c r="O37" i="4"/>
  <c r="O12" i="4"/>
  <c r="J37" i="4"/>
  <c r="J12" i="4"/>
  <c r="J14" i="4" s="1"/>
  <c r="O16" i="4"/>
  <c r="J16" i="4"/>
  <c r="O28" i="4" l="1"/>
  <c r="J28" i="4"/>
  <c r="E28" i="4"/>
  <c r="O14" i="4"/>
  <c r="J23" i="4"/>
  <c r="O23" i="4"/>
  <c r="J15" i="4"/>
  <c r="O15" i="4"/>
  <c r="J24" i="4"/>
  <c r="O24" i="4"/>
  <c r="O17" i="4" l="1"/>
  <c r="J17" i="4"/>
  <c r="J19" i="4" s="1"/>
  <c r="J20" i="4" s="1"/>
  <c r="O18" i="4"/>
  <c r="O19" i="4"/>
  <c r="O20" i="4" s="1"/>
  <c r="O26" i="4"/>
  <c r="O29" i="4"/>
  <c r="O27" i="4"/>
  <c r="E14" i="4"/>
  <c r="K23" i="4" l="1"/>
  <c r="J18" i="4"/>
  <c r="O30" i="4"/>
  <c r="E37" i="4"/>
  <c r="E15" i="4"/>
  <c r="J30" i="4"/>
  <c r="J29" i="4"/>
  <c r="J27" i="4"/>
  <c r="E29" i="4"/>
  <c r="E37" i="5"/>
  <c r="E29" i="5"/>
  <c r="E28" i="5"/>
  <c r="E27" i="5"/>
  <c r="E26" i="5"/>
  <c r="E25" i="5"/>
  <c r="E24" i="5"/>
  <c r="E30" i="5" s="1"/>
  <c r="E23" i="5"/>
  <c r="E16" i="5"/>
  <c r="E15" i="5"/>
  <c r="E14" i="5"/>
  <c r="E17" i="5" s="1"/>
  <c r="E27" i="4"/>
  <c r="P26" i="4" l="1"/>
  <c r="O36" i="4"/>
  <c r="P36" i="4" s="1"/>
  <c r="O38" i="4"/>
  <c r="P38" i="4" s="1"/>
  <c r="O35" i="4"/>
  <c r="P25" i="4"/>
  <c r="P37" i="4"/>
  <c r="P28" i="4"/>
  <c r="P24" i="4"/>
  <c r="P22" i="4"/>
  <c r="O31" i="4"/>
  <c r="P27" i="4"/>
  <c r="P23" i="4"/>
  <c r="P29" i="4"/>
  <c r="P30" i="4"/>
  <c r="E17" i="4"/>
  <c r="E18" i="4" s="1"/>
  <c r="E30" i="4"/>
  <c r="E19" i="5"/>
  <c r="E20" i="5" s="1"/>
  <c r="F28" i="5" s="1"/>
  <c r="E18" i="5"/>
  <c r="P31" i="4" l="1"/>
  <c r="O32" i="4"/>
  <c r="O34" i="4"/>
  <c r="P34" i="4" s="1"/>
  <c r="P35" i="4"/>
  <c r="K29" i="4"/>
  <c r="K27" i="4"/>
  <c r="K26" i="4"/>
  <c r="K30" i="4"/>
  <c r="K28" i="4"/>
  <c r="K25" i="4"/>
  <c r="K24" i="4"/>
  <c r="K22" i="4"/>
  <c r="K37" i="4"/>
  <c r="J31" i="4"/>
  <c r="J38" i="4"/>
  <c r="K38" i="4" s="1"/>
  <c r="J36" i="4"/>
  <c r="K36" i="4" s="1"/>
  <c r="J35" i="4"/>
  <c r="K35" i="4" s="1"/>
  <c r="E19" i="4"/>
  <c r="E20" i="4" s="1"/>
  <c r="F24" i="4" s="1"/>
  <c r="F29" i="5"/>
  <c r="F30" i="5"/>
  <c r="F22" i="5"/>
  <c r="E38" i="5"/>
  <c r="E36" i="5"/>
  <c r="F36" i="5" s="1"/>
  <c r="E35" i="5"/>
  <c r="E31" i="5"/>
  <c r="F26" i="5"/>
  <c r="F24" i="5"/>
  <c r="F37" i="5"/>
  <c r="F23" i="5"/>
  <c r="F27" i="5"/>
  <c r="F25" i="5"/>
  <c r="P32" i="4" l="1"/>
  <c r="O33" i="4"/>
  <c r="O39" i="4" s="1"/>
  <c r="J32" i="4"/>
  <c r="K31" i="4"/>
  <c r="J34" i="4"/>
  <c r="F28" i="4"/>
  <c r="F27" i="4"/>
  <c r="F26" i="4"/>
  <c r="F29" i="4"/>
  <c r="E38" i="4"/>
  <c r="F38" i="4" s="1"/>
  <c r="F22" i="4"/>
  <c r="F37" i="4"/>
  <c r="E35" i="4"/>
  <c r="F35" i="4" s="1"/>
  <c r="E36" i="4"/>
  <c r="F36" i="4" s="1"/>
  <c r="F25" i="4"/>
  <c r="E31" i="4"/>
  <c r="F31" i="4" s="1"/>
  <c r="F30" i="4"/>
  <c r="F23" i="4"/>
  <c r="F31" i="5"/>
  <c r="E32" i="5"/>
  <c r="E34" i="5"/>
  <c r="F34" i="5" s="1"/>
  <c r="F35" i="5"/>
  <c r="P33" i="4" l="1"/>
  <c r="K32" i="4"/>
  <c r="J33" i="4"/>
  <c r="K34" i="4"/>
  <c r="E34" i="4"/>
  <c r="F34" i="4" s="1"/>
  <c r="E32" i="4"/>
  <c r="F32" i="4" s="1"/>
  <c r="F32" i="5"/>
  <c r="E33" i="5"/>
  <c r="P39" i="4" l="1"/>
  <c r="K33" i="4"/>
  <c r="J39" i="4"/>
  <c r="E33" i="4"/>
  <c r="F33" i="4" s="1"/>
  <c r="F33" i="5"/>
  <c r="E39" i="5"/>
  <c r="F38" i="5"/>
  <c r="O41" i="4" l="1"/>
  <c r="P41" i="4" s="1"/>
  <c r="O40" i="4"/>
  <c r="P40" i="4" s="1"/>
  <c r="K39" i="4"/>
  <c r="E39" i="4"/>
  <c r="E41" i="5"/>
  <c r="F41" i="5" s="1"/>
  <c r="E40" i="5"/>
  <c r="F40" i="5" s="1"/>
  <c r="F39" i="5"/>
  <c r="J41" i="4" l="1"/>
  <c r="K41" i="4" s="1"/>
  <c r="J40" i="4"/>
  <c r="K40" i="4" s="1"/>
  <c r="O42" i="4"/>
  <c r="P42" i="4" s="1"/>
  <c r="P9" i="4" s="1"/>
  <c r="F39" i="4"/>
  <c r="E42" i="5"/>
  <c r="F42" i="5" s="1"/>
  <c r="F9" i="5" s="1"/>
  <c r="E41" i="4" l="1"/>
  <c r="F41" i="4" s="1"/>
  <c r="E40" i="4"/>
  <c r="F40" i="4" s="1"/>
  <c r="J42" i="4"/>
  <c r="K42" i="4" s="1"/>
  <c r="K9" i="4" s="1"/>
  <c r="E42" i="4" l="1"/>
  <c r="F42" i="4" s="1"/>
  <c r="F9" i="4" s="1"/>
</calcChain>
</file>

<file path=xl/sharedStrings.xml><?xml version="1.0" encoding="utf-8"?>
<sst xmlns="http://schemas.openxmlformats.org/spreadsheetml/2006/main" count="263" uniqueCount="135">
  <si>
    <t>INDIAN INSTITUTE OF MANAGEMENT VISAKHAPATNAM</t>
  </si>
  <si>
    <t xml:space="preserve">Title of the Program: </t>
  </si>
  <si>
    <t>Program Code:</t>
  </si>
  <si>
    <t xml:space="preserve">Program Schedule: From (date) - To (date) </t>
  </si>
  <si>
    <t>No.</t>
  </si>
  <si>
    <t>Income</t>
  </si>
  <si>
    <t>Budgeted
Figures (Indicative)</t>
  </si>
  <si>
    <t>%</t>
  </si>
  <si>
    <t>No. of Sessions</t>
  </si>
  <si>
    <t>No. of Participants</t>
  </si>
  <si>
    <t>Total Program Income</t>
  </si>
  <si>
    <t>Direct Expenditure</t>
  </si>
  <si>
    <t>B1</t>
  </si>
  <si>
    <t>B2</t>
  </si>
  <si>
    <t>B3</t>
  </si>
  <si>
    <t>B4</t>
  </si>
  <si>
    <t>B5</t>
  </si>
  <si>
    <t>B6</t>
  </si>
  <si>
    <t>(B)</t>
  </si>
  <si>
    <t>(C)</t>
  </si>
  <si>
    <t>(B+C)</t>
  </si>
  <si>
    <t>(D)</t>
  </si>
  <si>
    <t>(E)</t>
  </si>
  <si>
    <t>Date</t>
  </si>
  <si>
    <r>
      <rPr>
        <b/>
        <sz val="11"/>
        <rFont val="Calibri"/>
        <family val="2"/>
      </rPr>
      <t>Marketing &amp; Advertising</t>
    </r>
    <r>
      <rPr>
        <sz val="11"/>
        <rFont val="Calibri"/>
        <family val="2"/>
      </rPr>
      <t xml:space="preserve"> </t>
    </r>
  </si>
  <si>
    <r>
      <t>Logistics &amp; Exposure Visits</t>
    </r>
    <r>
      <rPr>
        <sz val="11"/>
        <rFont val="Calibri"/>
        <family val="2"/>
      </rPr>
      <t xml:space="preserve">  </t>
    </r>
  </si>
  <si>
    <t>Accommodation &amp; Food at Hotel (for Resident Participants)</t>
  </si>
  <si>
    <t>Program Fees per Participant - Excluding GST</t>
  </si>
  <si>
    <t>Food &amp; Refreshments</t>
  </si>
  <si>
    <t>[Honararium @Rs.6,000/- per hour among all invloved faculty (proportionate to number of hours taught)]</t>
  </si>
  <si>
    <t>No of Days</t>
  </si>
  <si>
    <t>Campus Immersion (no of days)</t>
  </si>
  <si>
    <t>Institute's Share = Transferred to Corpus [Min 15% of A]</t>
  </si>
  <si>
    <t>Total  Expenditure (&lt;=85% of A)</t>
  </si>
  <si>
    <t>Check</t>
  </si>
  <si>
    <t>(E1)</t>
  </si>
  <si>
    <t>(E2)</t>
  </si>
  <si>
    <t>Remarks</t>
  </si>
  <si>
    <t>(Typically &lt;=5% of B1 to B6)</t>
  </si>
  <si>
    <t>Check: (C) = Includes Establishment, Admn. &amp; General Expenses</t>
  </si>
  <si>
    <t>OMDP - Cost Sheet</t>
  </si>
  <si>
    <t>Not applicable in case of OMDPs</t>
  </si>
  <si>
    <t>Program Director's (PD) Incentive</t>
  </si>
  <si>
    <t>Program Co-Director's (PCD) Incentive</t>
  </si>
  <si>
    <t>Contingencies</t>
  </si>
  <si>
    <t>B7</t>
  </si>
  <si>
    <t>Cells where the values may be changed</t>
  </si>
  <si>
    <t>Cells which will be checked &amp; approved</t>
  </si>
  <si>
    <t>Cells which will calculate values automatically</t>
  </si>
  <si>
    <t xml:space="preserve">Program Faculty(s)                 Chair (EEP)                 Superintendent (F&amp;A)                                    Consultant (F&amp;A) </t>
  </si>
  <si>
    <r>
      <t>Visiting / Guest Faculty Charges/</t>
    </r>
    <r>
      <rPr>
        <b/>
        <sz val="11"/>
        <color rgb="FFFF0000"/>
        <rFont val="Calibri"/>
        <family val="2"/>
      </rPr>
      <t>Inaugural &amp; Valedictory speakers</t>
    </r>
  </si>
  <si>
    <r>
      <t xml:space="preserve">Other Program-specific Direct Expenses  </t>
    </r>
    <r>
      <rPr>
        <b/>
        <sz val="11"/>
        <color rgb="FFFF0000"/>
        <rFont val="Calibri"/>
        <family val="2"/>
      </rPr>
      <t>(Courier Charges)</t>
    </r>
  </si>
  <si>
    <t>A1</t>
  </si>
  <si>
    <t>A2</t>
  </si>
  <si>
    <t>Total Direct Expenditure
(Typically &lt;= 60% of A2)</t>
  </si>
  <si>
    <t xml:space="preserve">2% staff incentive pool </t>
  </si>
  <si>
    <t>Total Indirect Expenditure (25% of A2)</t>
  </si>
  <si>
    <t>Surplus [D = A - (B+C)] -- Min 15% of A2</t>
  </si>
  <si>
    <t>F</t>
  </si>
  <si>
    <t>(G)</t>
  </si>
  <si>
    <t>1 session is of 90 mintues</t>
  </si>
  <si>
    <t xml:space="preserve">Post Graduate Certificate in Digital Marketing &amp; Growth </t>
  </si>
  <si>
    <t>Net Total Program Income</t>
  </si>
  <si>
    <t>Campus Immersion share to IIMV</t>
  </si>
  <si>
    <t>2500 pp for local visit &amp; 10000 pd for 2 buses for 3 days</t>
  </si>
  <si>
    <t>Rs. 5000/- per student</t>
  </si>
  <si>
    <t>Photopgrapher (2 occassions @ each Rs.1500/-) and banner (4 standees @ each Rs. 1800/-), Inauguration &amp; Valedictory Chief Guests (2 Ties Rs. 3000/-,   2 bouquets Rs.200/- @ 2 days), Honorarium/ Gift for guest faculties</t>
  </si>
  <si>
    <t>Involved Faculty &amp; Staff Honorarium</t>
  </si>
  <si>
    <t>A3</t>
  </si>
  <si>
    <t>A4</t>
  </si>
  <si>
    <t>A5</t>
  </si>
  <si>
    <t>A</t>
  </si>
  <si>
    <t>3 days in IIMV Campus &amp; 15,000 PP</t>
  </si>
  <si>
    <t>500 pppd for lunch and other refreshments</t>
  </si>
  <si>
    <t>Study Material</t>
  </si>
  <si>
    <t>A6</t>
  </si>
  <si>
    <t>Other Program-specific Direct Expenses (b) - Case Studies/Books/Simulation</t>
  </si>
  <si>
    <t>Fixed as per contract with Jaro</t>
  </si>
  <si>
    <t>Dean (Administration)                                              Coordinator(A&amp;R)                                     Director</t>
  </si>
  <si>
    <t>Rs. 160000 - Program fee, Rs. 15000 CI (3 days), Rs. 5000 course pack</t>
  </si>
  <si>
    <t>40% share to Jaro</t>
  </si>
  <si>
    <t>60% of revenue as per contract with Jaro</t>
  </si>
  <si>
    <t>2800 pppd (including breakfast + dinner), 
3+1 day</t>
  </si>
  <si>
    <t>program kit, certificates, photos, IT charges etc
Rs. 2,000 pp</t>
  </si>
  <si>
    <t>3% of A</t>
  </si>
  <si>
    <t xml:space="preserve">2% of A </t>
  </si>
  <si>
    <t>1% of A for Staff Incentive Pool</t>
  </si>
  <si>
    <t>(H1)</t>
  </si>
  <si>
    <t>(H2)</t>
  </si>
  <si>
    <t>Incremental Surplus = Program Faculty</t>
  </si>
  <si>
    <t>Incremental Surplus = PD &amp; PCD</t>
  </si>
  <si>
    <t>Institute's Share = Net to Corpus [Min 15% of A]</t>
  </si>
  <si>
    <t>60% of remaining IS
i.e., 60%*40%*(G-25%*A)</t>
  </si>
  <si>
    <t>40% of remaining IS
i.e., 40%*40%*(G-25%*A)
2:1 between PD &amp; PCD</t>
  </si>
  <si>
    <t>Marketing Partner  Share (40%)</t>
  </si>
  <si>
    <t>IIMV Share (60%)</t>
  </si>
  <si>
    <t>IIMV Share (60%) + CI Share+ Study Material</t>
  </si>
  <si>
    <t xml:space="preserve">Program Directors:     </t>
  </si>
  <si>
    <t>(I)</t>
  </si>
  <si>
    <t>Prof. Amit Shankar and Prof. Priyavrat Sanyal</t>
  </si>
  <si>
    <t>Feb'23-March'24</t>
  </si>
  <si>
    <t>Marketing Partner  Share (45%)</t>
  </si>
  <si>
    <t>IIMV Share (55%)</t>
  </si>
  <si>
    <t>45% share to Uptop</t>
  </si>
  <si>
    <t>55% of revenue as per contract with Uptop</t>
  </si>
  <si>
    <t>IIMV Share (55%) + CI Share + Study Material</t>
  </si>
  <si>
    <t>No. of Hours</t>
  </si>
  <si>
    <t>No Campus Immersion</t>
  </si>
  <si>
    <t>NA</t>
  </si>
  <si>
    <t xml:space="preserve">Staff incentive pool </t>
  </si>
  <si>
    <t>Out of which 20 for CI</t>
  </si>
  <si>
    <t>No CI</t>
  </si>
  <si>
    <t>CI for 20 candidates</t>
  </si>
  <si>
    <t>CI for 45 candidates</t>
  </si>
  <si>
    <r>
      <rPr>
        <b/>
        <sz val="11"/>
        <rFont val="Calibri"/>
        <family val="2"/>
        <scheme val="minor"/>
      </rPr>
      <t>Marketing &amp; Advertising</t>
    </r>
    <r>
      <rPr>
        <sz val="11"/>
        <rFont val="Calibri"/>
        <family val="2"/>
        <scheme val="minor"/>
      </rPr>
      <t xml:space="preserve"> </t>
    </r>
  </si>
  <si>
    <r>
      <t>Visiting / Guest Faculty Charges/</t>
    </r>
    <r>
      <rPr>
        <b/>
        <sz val="11"/>
        <color rgb="FFFF0000"/>
        <rFont val="Calibri"/>
        <family val="2"/>
        <scheme val="minor"/>
      </rPr>
      <t>Inaugural &amp; Valedictory speakers</t>
    </r>
  </si>
  <si>
    <r>
      <t>Logistics &amp; Exposure Visits</t>
    </r>
    <r>
      <rPr>
        <sz val="11"/>
        <rFont val="Calibri"/>
        <family val="2"/>
        <scheme val="minor"/>
      </rPr>
      <t xml:space="preserve">  </t>
    </r>
  </si>
  <si>
    <r>
      <t xml:space="preserve">Other Program-specific Direct Expenses  </t>
    </r>
    <r>
      <rPr>
        <b/>
        <sz val="11"/>
        <color rgb="FFFF0000"/>
        <rFont val="Calibri"/>
        <family val="2"/>
        <scheme val="minor"/>
      </rPr>
      <t>(Courier Charges)</t>
    </r>
  </si>
  <si>
    <t>10000 pd per bus for 2 buses pd for 2 days</t>
  </si>
  <si>
    <t>0 days in IIMV Campus &amp; 15,000 PP</t>
  </si>
  <si>
    <t>2 days in IIMV Campus &amp; 15,000 PP</t>
  </si>
  <si>
    <t>75000 for 25 &amp; 90000 for 20 candidates</t>
  </si>
  <si>
    <t>Photopgrapher (2 occassions @ each Rs.1500/-) and banner (4 standees @ each Rs. 1800/-)</t>
  </si>
  <si>
    <t>10000 pd per bus for 1 bus pd for 2 days</t>
  </si>
  <si>
    <t>Executive Certificate Program in Financial Risk Management</t>
  </si>
  <si>
    <t>Rs. 3000/- per student</t>
  </si>
  <si>
    <t>Rs. 75000 - Program fee, 0 CI , Rs. 5000 study material &amp; kit cost+courier charges</t>
  </si>
  <si>
    <t>Rs.75000 - Program fee, Rs. 15000 CI (2 days), Rs. 5000 study material &amp; kit cost+couriesr charges</t>
  </si>
  <si>
    <t xml:space="preserve">70 hours * 6000 </t>
  </si>
  <si>
    <t>Rs. 75000 - Program fee, Rs. 15000 CI (2 days), Rs. 5000 study material &amp; kit cost+Courier Charges</t>
  </si>
  <si>
    <t>3300 pppd (including breakfast + dinner), 
2+1 day</t>
  </si>
  <si>
    <t xml:space="preserve">Program Faculty(s)                                  Sr Superintendent (F&amp;A)                                    Consultant (F&amp;A) </t>
  </si>
  <si>
    <t>Chair (EEP)</t>
  </si>
  <si>
    <t>Prof. Kalyan Kolukuluri</t>
  </si>
  <si>
    <t>128 Hours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</si>
</sst>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6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name val="Arial"/>
      <family val="2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vertical="center"/>
    </xf>
    <xf numFmtId="3" fontId="3" fillId="6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164" fontId="1" fillId="0" borderId="0" xfId="1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3" fontId="2" fillId="7" borderId="1" xfId="0" applyNumberFormat="1" applyFont="1" applyFill="1" applyBorder="1" applyAlignment="1">
      <alignment vertical="center"/>
    </xf>
    <xf numFmtId="3" fontId="11" fillId="4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3" fillId="7" borderId="1" xfId="2" applyNumberFormat="1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165" fontId="3" fillId="6" borderId="1" xfId="2" applyNumberFormat="1" applyFont="1" applyFill="1" applyBorder="1" applyAlignment="1">
      <alignment horizontal="right" vertical="center"/>
    </xf>
    <xf numFmtId="165" fontId="3" fillId="6" borderId="1" xfId="2" applyNumberFormat="1" applyFont="1" applyFill="1" applyBorder="1" applyAlignment="1">
      <alignment vertical="center"/>
    </xf>
    <xf numFmtId="165" fontId="2" fillId="3" borderId="1" xfId="2" applyNumberFormat="1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vertical="center"/>
    </xf>
    <xf numFmtId="165" fontId="2" fillId="7" borderId="1" xfId="2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7" borderId="9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3" fontId="0" fillId="0" borderId="0" xfId="0" applyNumberFormat="1" applyAlignment="1">
      <alignment vertical="center"/>
    </xf>
    <xf numFmtId="166" fontId="17" fillId="0" borderId="0" xfId="1" applyNumberFormat="1" applyFont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1" applyFont="1" applyAlignment="1">
      <alignment vertical="center" wrapText="1"/>
    </xf>
    <xf numFmtId="167" fontId="3" fillId="0" borderId="9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7" borderId="9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13" fillId="6" borderId="1" xfId="0" applyNumberFormat="1" applyFont="1" applyFill="1" applyBorder="1" applyAlignment="1">
      <alignment horizontal="center" vertical="center"/>
    </xf>
    <xf numFmtId="3" fontId="13" fillId="6" borderId="3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" fontId="15" fillId="4" borderId="1" xfId="0" applyNumberFormat="1" applyFont="1" applyFill="1" applyBorder="1" applyAlignment="1">
      <alignment horizontal="center" vertical="center"/>
    </xf>
    <xf numFmtId="3" fontId="15" fillId="4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5106-7E20-4B80-93F4-8E96826E333A}">
  <dimension ref="B1:R53"/>
  <sheetViews>
    <sheetView tabSelected="1" topLeftCell="A25" zoomScale="124" zoomScaleNormal="124" workbookViewId="0">
      <selection activeCell="E27" sqref="E27"/>
    </sheetView>
  </sheetViews>
  <sheetFormatPr baseColWidth="10" defaultColWidth="8.83203125" defaultRowHeight="15" x14ac:dyDescent="0.2"/>
  <cols>
    <col min="1" max="1" width="3.5" style="1" customWidth="1"/>
    <col min="2" max="2" width="5.33203125" style="3" customWidth="1"/>
    <col min="3" max="3" width="16.83203125" style="3" customWidth="1"/>
    <col min="4" max="4" width="36.33203125" style="9" customWidth="1"/>
    <col min="5" max="5" width="10.6640625" style="11" bestFit="1" customWidth="1"/>
    <col min="6" max="6" width="6.33203125" style="11" bestFit="1" customWidth="1"/>
    <col min="7" max="7" width="16.6640625" style="1" customWidth="1"/>
    <col min="8" max="8" width="16.1640625" style="1" customWidth="1"/>
    <col min="9" max="9" width="2" style="1" customWidth="1"/>
    <col min="10" max="10" width="10.5" style="11" bestFit="1" customWidth="1"/>
    <col min="11" max="11" width="6.33203125" style="11" bestFit="1" customWidth="1"/>
    <col min="12" max="12" width="16.6640625" style="1" customWidth="1"/>
    <col min="13" max="13" width="16.1640625" style="1" customWidth="1"/>
    <col min="14" max="14" width="1.6640625" style="1" customWidth="1"/>
    <col min="15" max="15" width="10.5" style="11" bestFit="1" customWidth="1"/>
    <col min="16" max="16" width="6.33203125" style="11" bestFit="1" customWidth="1"/>
    <col min="17" max="17" width="16.6640625" style="48" customWidth="1"/>
    <col min="18" max="18" width="16.1640625" style="48" customWidth="1"/>
    <col min="19" max="16384" width="8.83203125" style="1"/>
  </cols>
  <sheetData>
    <row r="1" spans="2:18" ht="15" customHeight="1" x14ac:dyDescent="0.2">
      <c r="B1" s="70" t="s">
        <v>0</v>
      </c>
      <c r="C1" s="71"/>
      <c r="D1" s="71"/>
      <c r="E1" s="71"/>
      <c r="F1" s="71"/>
      <c r="G1" s="39"/>
      <c r="H1" s="40"/>
      <c r="J1" s="1"/>
      <c r="K1" s="1"/>
      <c r="L1" s="1">
        <f>80000*55%</f>
        <v>44000</v>
      </c>
      <c r="O1" s="1"/>
      <c r="P1" s="1"/>
      <c r="Q1" s="1"/>
      <c r="R1" s="1"/>
    </row>
    <row r="2" spans="2:18" ht="21" customHeight="1" x14ac:dyDescent="0.2">
      <c r="B2" s="72" t="s">
        <v>40</v>
      </c>
      <c r="C2" s="73"/>
      <c r="D2" s="73"/>
      <c r="E2" s="73"/>
      <c r="F2" s="73"/>
      <c r="G2" s="74" t="s">
        <v>37</v>
      </c>
      <c r="H2" s="75"/>
      <c r="J2" s="1">
        <v>21000</v>
      </c>
      <c r="K2" s="1">
        <v>5000</v>
      </c>
      <c r="L2" s="1">
        <f>J2*55%</f>
        <v>11550.000000000002</v>
      </c>
      <c r="M2" s="1">
        <f>J2-L2</f>
        <v>9449.9999999999982</v>
      </c>
      <c r="O2" s="1"/>
      <c r="P2" s="1"/>
      <c r="Q2" s="1"/>
      <c r="R2" s="1"/>
    </row>
    <row r="3" spans="2:18" x14ac:dyDescent="0.2">
      <c r="B3" s="22" t="s">
        <v>1</v>
      </c>
      <c r="C3" s="2"/>
      <c r="D3" s="76" t="s">
        <v>124</v>
      </c>
      <c r="E3" s="77"/>
      <c r="F3" s="78"/>
      <c r="G3" s="62"/>
      <c r="H3" s="63"/>
      <c r="J3" s="1">
        <v>27000</v>
      </c>
      <c r="K3" s="1"/>
      <c r="L3" s="1">
        <f t="shared" ref="L3:L4" si="0">J3*55%</f>
        <v>14850.000000000002</v>
      </c>
      <c r="M3" s="1">
        <f t="shared" ref="M3:M4" si="1">J3-L3</f>
        <v>12149.999999999998</v>
      </c>
      <c r="O3" s="1"/>
      <c r="P3" s="1"/>
      <c r="Q3" s="1"/>
      <c r="R3" s="1"/>
    </row>
    <row r="4" spans="2:18" x14ac:dyDescent="0.2">
      <c r="B4" s="22" t="s">
        <v>2</v>
      </c>
      <c r="C4" s="2"/>
      <c r="D4" s="81"/>
      <c r="E4" s="82"/>
      <c r="F4" s="83"/>
      <c r="G4" s="87" t="s">
        <v>46</v>
      </c>
      <c r="H4" s="88"/>
      <c r="J4" s="1">
        <v>27000</v>
      </c>
      <c r="K4" s="1"/>
      <c r="L4" s="1">
        <f t="shared" si="0"/>
        <v>14850.000000000002</v>
      </c>
      <c r="M4" s="1">
        <f t="shared" si="1"/>
        <v>12149.999999999998</v>
      </c>
      <c r="O4" s="1"/>
      <c r="P4" s="1"/>
      <c r="Q4" s="1"/>
      <c r="R4" s="1"/>
    </row>
    <row r="5" spans="2:18" x14ac:dyDescent="0.2">
      <c r="B5" s="22" t="s">
        <v>97</v>
      </c>
      <c r="C5" s="2"/>
      <c r="D5" s="81" t="s">
        <v>133</v>
      </c>
      <c r="E5" s="82"/>
      <c r="F5" s="83"/>
      <c r="G5" s="84" t="s">
        <v>47</v>
      </c>
      <c r="H5" s="85"/>
      <c r="J5" s="1">
        <f>SUM(J2:J4)</f>
        <v>75000</v>
      </c>
      <c r="K5" s="1">
        <f>SUM(K2:K4)</f>
        <v>5000</v>
      </c>
      <c r="L5" s="1">
        <f>SUM(L2:L4)</f>
        <v>41250.000000000007</v>
      </c>
      <c r="M5" s="1">
        <f>SUM(M2:M4)</f>
        <v>33749.999999999993</v>
      </c>
      <c r="O5" s="1"/>
      <c r="P5" s="1"/>
      <c r="Q5" s="1"/>
      <c r="R5" s="1"/>
    </row>
    <row r="6" spans="2:18" x14ac:dyDescent="0.2">
      <c r="B6" s="86" t="s">
        <v>3</v>
      </c>
      <c r="C6" s="57"/>
      <c r="D6" s="81" t="s">
        <v>134</v>
      </c>
      <c r="E6" s="82"/>
      <c r="F6" s="83"/>
      <c r="G6" s="79" t="s">
        <v>48</v>
      </c>
      <c r="H6" s="80"/>
      <c r="J6" s="1"/>
      <c r="K6" s="1"/>
      <c r="O6" s="1"/>
      <c r="P6" s="1"/>
      <c r="Q6" s="1"/>
      <c r="R6" s="1"/>
    </row>
    <row r="7" spans="2:18" x14ac:dyDescent="0.2">
      <c r="B7" s="86"/>
      <c r="C7" s="57"/>
      <c r="D7" s="51">
        <v>45466</v>
      </c>
      <c r="E7" s="46"/>
      <c r="F7" s="47"/>
      <c r="G7" s="62"/>
      <c r="H7" s="63"/>
      <c r="J7" s="46"/>
      <c r="K7" s="47"/>
      <c r="L7" s="62"/>
      <c r="M7" s="63"/>
      <c r="O7" s="46"/>
      <c r="P7" s="47"/>
      <c r="Q7" s="89"/>
      <c r="R7" s="90"/>
    </row>
    <row r="8" spans="2:18" s="3" customFormat="1" ht="32" x14ac:dyDescent="0.2">
      <c r="B8" s="23" t="s">
        <v>4</v>
      </c>
      <c r="C8" s="4"/>
      <c r="D8" s="4" t="s">
        <v>5</v>
      </c>
      <c r="E8" s="4" t="s">
        <v>111</v>
      </c>
      <c r="F8" s="28" t="s">
        <v>7</v>
      </c>
      <c r="G8" s="62"/>
      <c r="H8" s="63"/>
      <c r="J8" s="4" t="s">
        <v>112</v>
      </c>
      <c r="K8" s="28" t="s">
        <v>7</v>
      </c>
      <c r="L8" s="62"/>
      <c r="M8" s="63"/>
      <c r="O8" s="4" t="s">
        <v>113</v>
      </c>
      <c r="P8" s="28" t="s">
        <v>7</v>
      </c>
      <c r="Q8" s="89"/>
      <c r="R8" s="90"/>
    </row>
    <row r="9" spans="2:18" x14ac:dyDescent="0.2">
      <c r="B9" s="24">
        <v>1</v>
      </c>
      <c r="C9" s="57" t="s">
        <v>30</v>
      </c>
      <c r="D9" s="57"/>
      <c r="E9" s="29"/>
      <c r="F9" s="30">
        <f>F42</f>
        <v>0.38535857461024497</v>
      </c>
      <c r="G9" s="68" t="s">
        <v>41</v>
      </c>
      <c r="H9" s="69"/>
      <c r="J9" s="29"/>
      <c r="K9" s="30">
        <f>K42</f>
        <v>0.26122519685039369</v>
      </c>
      <c r="L9" s="68" t="s">
        <v>41</v>
      </c>
      <c r="M9" s="69"/>
      <c r="O9" s="29"/>
      <c r="P9" s="30">
        <f>P42</f>
        <v>0.21990476190476191</v>
      </c>
      <c r="Q9" s="68" t="s">
        <v>41</v>
      </c>
      <c r="R9" s="69"/>
    </row>
    <row r="10" spans="2:18" x14ac:dyDescent="0.2">
      <c r="B10" s="24">
        <v>2</v>
      </c>
      <c r="C10" s="57" t="s">
        <v>106</v>
      </c>
      <c r="D10" s="57"/>
      <c r="E10" s="5">
        <v>128</v>
      </c>
      <c r="F10" s="31"/>
      <c r="G10" s="68" t="s">
        <v>107</v>
      </c>
      <c r="H10" s="69"/>
      <c r="J10" s="5">
        <v>70</v>
      </c>
      <c r="K10" s="31"/>
      <c r="L10" s="68"/>
      <c r="M10" s="69"/>
      <c r="O10" s="5">
        <v>70</v>
      </c>
      <c r="P10" s="31"/>
      <c r="Q10" s="68"/>
      <c r="R10" s="69"/>
    </row>
    <row r="11" spans="2:18" x14ac:dyDescent="0.2">
      <c r="B11" s="24">
        <v>3</v>
      </c>
      <c r="C11" s="57" t="s">
        <v>31</v>
      </c>
      <c r="D11" s="57"/>
      <c r="E11" s="5">
        <v>2</v>
      </c>
      <c r="F11" s="30"/>
      <c r="G11" s="62"/>
      <c r="H11" s="63"/>
      <c r="J11" s="5">
        <v>2</v>
      </c>
      <c r="K11" s="30"/>
      <c r="L11" s="62"/>
      <c r="M11" s="63"/>
      <c r="O11" s="5">
        <v>2</v>
      </c>
      <c r="P11" s="30"/>
      <c r="Q11" s="89"/>
      <c r="R11" s="90"/>
    </row>
    <row r="12" spans="2:18" ht="44.25" customHeight="1" x14ac:dyDescent="0.2">
      <c r="B12" s="24">
        <v>4</v>
      </c>
      <c r="C12" s="57" t="s">
        <v>27</v>
      </c>
      <c r="D12" s="57"/>
      <c r="E12" s="21">
        <v>200000</v>
      </c>
      <c r="F12" s="31"/>
      <c r="G12" s="66" t="s">
        <v>126</v>
      </c>
      <c r="H12" s="67"/>
      <c r="I12" s="19"/>
      <c r="J12" s="21">
        <f>75000+5000+15000</f>
        <v>95000</v>
      </c>
      <c r="K12" s="31"/>
      <c r="L12" s="66" t="s">
        <v>127</v>
      </c>
      <c r="M12" s="67"/>
      <c r="O12" s="21">
        <f>75000+5000+15000</f>
        <v>95000</v>
      </c>
      <c r="P12" s="31"/>
      <c r="Q12" s="66" t="s">
        <v>129</v>
      </c>
      <c r="R12" s="67"/>
    </row>
    <row r="13" spans="2:18" ht="15" customHeight="1" x14ac:dyDescent="0.2">
      <c r="B13" s="24">
        <v>5</v>
      </c>
      <c r="C13" s="57" t="s">
        <v>9</v>
      </c>
      <c r="D13" s="57"/>
      <c r="E13" s="6">
        <v>45</v>
      </c>
      <c r="F13" s="31"/>
      <c r="G13" s="66"/>
      <c r="H13" s="67"/>
      <c r="J13" s="6">
        <f>E13</f>
        <v>45</v>
      </c>
      <c r="K13" s="31"/>
      <c r="L13" s="66" t="s">
        <v>110</v>
      </c>
      <c r="M13" s="67"/>
      <c r="O13" s="6">
        <f>E13</f>
        <v>45</v>
      </c>
      <c r="P13" s="31"/>
      <c r="Q13" s="66" t="s">
        <v>113</v>
      </c>
      <c r="R13" s="67"/>
    </row>
    <row r="14" spans="2:18" x14ac:dyDescent="0.2">
      <c r="B14" s="25" t="s">
        <v>52</v>
      </c>
      <c r="C14" s="55" t="s">
        <v>10</v>
      </c>
      <c r="D14" s="55"/>
      <c r="E14" s="20">
        <f>E12*E13</f>
        <v>9000000</v>
      </c>
      <c r="F14" s="32"/>
      <c r="G14" s="66"/>
      <c r="H14" s="67"/>
      <c r="J14" s="20">
        <f>(J12-15000)*25+J12*20</f>
        <v>3900000</v>
      </c>
      <c r="K14" s="32"/>
      <c r="L14" s="66" t="s">
        <v>121</v>
      </c>
      <c r="M14" s="67"/>
      <c r="O14" s="20">
        <f>O12*O13</f>
        <v>4275000</v>
      </c>
      <c r="P14" s="32"/>
      <c r="Q14" s="66"/>
      <c r="R14" s="67"/>
    </row>
    <row r="15" spans="2:18" ht="15" customHeight="1" x14ac:dyDescent="0.2">
      <c r="B15" s="25" t="s">
        <v>53</v>
      </c>
      <c r="C15" s="64" t="s">
        <v>63</v>
      </c>
      <c r="D15" s="65"/>
      <c r="E15" s="20">
        <f>0*E13*E11</f>
        <v>0</v>
      </c>
      <c r="F15" s="32"/>
      <c r="G15" s="66" t="s">
        <v>119</v>
      </c>
      <c r="H15" s="67"/>
      <c r="I15" s="45"/>
      <c r="J15" s="20">
        <f>15000*20</f>
        <v>300000</v>
      </c>
      <c r="K15" s="32"/>
      <c r="L15" s="66" t="s">
        <v>120</v>
      </c>
      <c r="M15" s="67"/>
      <c r="O15" s="20">
        <f>15000*O13</f>
        <v>675000</v>
      </c>
      <c r="P15" s="32"/>
      <c r="Q15" s="66" t="s">
        <v>120</v>
      </c>
      <c r="R15" s="67"/>
    </row>
    <row r="16" spans="2:18" ht="16" x14ac:dyDescent="0.2">
      <c r="B16" s="25" t="s">
        <v>68</v>
      </c>
      <c r="C16" s="42" t="s">
        <v>74</v>
      </c>
      <c r="D16" s="43"/>
      <c r="E16" s="20">
        <f>5000*E13</f>
        <v>225000</v>
      </c>
      <c r="F16" s="32"/>
      <c r="G16" s="52" t="s">
        <v>65</v>
      </c>
      <c r="H16" s="56"/>
      <c r="J16" s="20">
        <f>5000*J13</f>
        <v>225000</v>
      </c>
      <c r="K16" s="32"/>
      <c r="L16" s="52" t="s">
        <v>65</v>
      </c>
      <c r="M16" s="56"/>
      <c r="O16" s="20">
        <f>5000*O13</f>
        <v>225000</v>
      </c>
      <c r="P16" s="32"/>
      <c r="Q16" s="52" t="s">
        <v>65</v>
      </c>
      <c r="R16" s="56"/>
    </row>
    <row r="17" spans="2:18" x14ac:dyDescent="0.2">
      <c r="B17" s="25" t="s">
        <v>69</v>
      </c>
      <c r="C17" s="64" t="s">
        <v>62</v>
      </c>
      <c r="D17" s="65"/>
      <c r="E17" s="20">
        <f>E14-E15-E16</f>
        <v>8775000</v>
      </c>
      <c r="F17" s="32"/>
      <c r="G17" s="66"/>
      <c r="H17" s="67"/>
      <c r="J17" s="20">
        <f>J14-J15-J16</f>
        <v>3375000</v>
      </c>
      <c r="K17" s="32"/>
      <c r="L17" s="66"/>
      <c r="M17" s="67"/>
      <c r="O17" s="20">
        <f>O14-O15-O16</f>
        <v>3375000</v>
      </c>
      <c r="P17" s="32"/>
      <c r="Q17" s="66"/>
      <c r="R17" s="67"/>
    </row>
    <row r="18" spans="2:18" x14ac:dyDescent="0.2">
      <c r="B18" s="25" t="s">
        <v>70</v>
      </c>
      <c r="C18" s="55" t="s">
        <v>101</v>
      </c>
      <c r="D18" s="55"/>
      <c r="E18" s="20">
        <f>E17*45%</f>
        <v>3948750</v>
      </c>
      <c r="F18" s="32"/>
      <c r="G18" s="66" t="s">
        <v>103</v>
      </c>
      <c r="H18" s="67"/>
      <c r="J18" s="20">
        <f>J17*45%</f>
        <v>1518750</v>
      </c>
      <c r="K18" s="32"/>
      <c r="L18" s="66" t="s">
        <v>103</v>
      </c>
      <c r="M18" s="67"/>
      <c r="O18" s="20">
        <f>O17*45%</f>
        <v>1518750</v>
      </c>
      <c r="P18" s="32"/>
      <c r="Q18" s="66" t="s">
        <v>103</v>
      </c>
      <c r="R18" s="67"/>
    </row>
    <row r="19" spans="2:18" ht="15" customHeight="1" x14ac:dyDescent="0.2">
      <c r="B19" s="25" t="s">
        <v>75</v>
      </c>
      <c r="C19" s="55" t="s">
        <v>102</v>
      </c>
      <c r="D19" s="55"/>
      <c r="E19" s="20">
        <f>E17*55%</f>
        <v>4826250</v>
      </c>
      <c r="F19" s="32"/>
      <c r="G19" s="66" t="s">
        <v>104</v>
      </c>
      <c r="H19" s="67"/>
      <c r="J19" s="20">
        <f>J17*55%</f>
        <v>1856250.0000000002</v>
      </c>
      <c r="K19" s="32"/>
      <c r="L19" s="66" t="s">
        <v>104</v>
      </c>
      <c r="M19" s="67"/>
      <c r="O19" s="20">
        <f>O17*55%</f>
        <v>1856250.0000000002</v>
      </c>
      <c r="P19" s="32"/>
      <c r="Q19" s="66" t="s">
        <v>104</v>
      </c>
      <c r="R19" s="67"/>
    </row>
    <row r="20" spans="2:18" x14ac:dyDescent="0.2">
      <c r="B20" s="25" t="s">
        <v>71</v>
      </c>
      <c r="C20" s="55" t="s">
        <v>105</v>
      </c>
      <c r="D20" s="55"/>
      <c r="E20" s="20">
        <f>E19+E16+E15</f>
        <v>5051250</v>
      </c>
      <c r="F20" s="32"/>
      <c r="G20" s="66"/>
      <c r="H20" s="67"/>
      <c r="J20" s="20">
        <f>J19+J16+J15</f>
        <v>2381250</v>
      </c>
      <c r="K20" s="32"/>
      <c r="L20" s="66"/>
      <c r="M20" s="67"/>
      <c r="O20" s="20">
        <f>O19+O16+O15</f>
        <v>2756250</v>
      </c>
      <c r="P20" s="32"/>
      <c r="Q20" s="66"/>
      <c r="R20" s="67"/>
    </row>
    <row r="21" spans="2:18" x14ac:dyDescent="0.2">
      <c r="B21" s="26"/>
      <c r="C21" s="61" t="s">
        <v>11</v>
      </c>
      <c r="D21" s="61"/>
      <c r="E21" s="7"/>
      <c r="F21" s="33"/>
      <c r="G21" s="62"/>
      <c r="H21" s="63"/>
      <c r="J21" s="7"/>
      <c r="K21" s="33"/>
      <c r="L21" s="62"/>
      <c r="M21" s="63"/>
      <c r="O21" s="7"/>
      <c r="P21" s="33"/>
      <c r="Q21" s="89"/>
      <c r="R21" s="90"/>
    </row>
    <row r="22" spans="2:18" ht="25.25" customHeight="1" x14ac:dyDescent="0.2">
      <c r="B22" s="24" t="s">
        <v>12</v>
      </c>
      <c r="C22" s="57" t="s">
        <v>114</v>
      </c>
      <c r="D22" s="57"/>
      <c r="E22" s="29">
        <v>0</v>
      </c>
      <c r="F22" s="34">
        <f>E22/E20</f>
        <v>0</v>
      </c>
      <c r="G22" s="52"/>
      <c r="H22" s="56"/>
      <c r="J22" s="29">
        <v>0</v>
      </c>
      <c r="K22" s="34">
        <f>J22/J20</f>
        <v>0</v>
      </c>
      <c r="L22" s="52"/>
      <c r="M22" s="56"/>
      <c r="O22" s="29">
        <v>0</v>
      </c>
      <c r="P22" s="34">
        <f>O22/O20</f>
        <v>0</v>
      </c>
      <c r="Q22" s="52"/>
      <c r="R22" s="56"/>
    </row>
    <row r="23" spans="2:18" ht="38.25" customHeight="1" x14ac:dyDescent="0.2">
      <c r="B23" s="24" t="s">
        <v>13</v>
      </c>
      <c r="C23" s="58" t="s">
        <v>115</v>
      </c>
      <c r="D23" s="58"/>
      <c r="E23" s="29">
        <v>0</v>
      </c>
      <c r="F23" s="34">
        <f>E23/E20</f>
        <v>0</v>
      </c>
      <c r="G23" s="52" t="s">
        <v>108</v>
      </c>
      <c r="H23" s="56"/>
      <c r="J23" s="29">
        <f>2*1500+4*1800+10000</f>
        <v>20200</v>
      </c>
      <c r="K23" s="34">
        <f>J23/J20</f>
        <v>8.4829396325459324E-3</v>
      </c>
      <c r="L23" s="52" t="s">
        <v>122</v>
      </c>
      <c r="M23" s="56"/>
      <c r="O23" s="29">
        <f>2*1500+4*1800+10000</f>
        <v>20200</v>
      </c>
      <c r="P23" s="34">
        <f>O23/O20</f>
        <v>7.328798185941043E-3</v>
      </c>
      <c r="Q23" s="52" t="s">
        <v>122</v>
      </c>
      <c r="R23" s="56"/>
    </row>
    <row r="24" spans="2:18" ht="25.25" customHeight="1" x14ac:dyDescent="0.2">
      <c r="B24" s="24" t="s">
        <v>14</v>
      </c>
      <c r="C24" s="58" t="s">
        <v>116</v>
      </c>
      <c r="D24" s="58"/>
      <c r="E24" s="29">
        <v>0</v>
      </c>
      <c r="F24" s="35">
        <f>E24/E20</f>
        <v>0</v>
      </c>
      <c r="G24" s="52" t="s">
        <v>108</v>
      </c>
      <c r="H24" s="56"/>
      <c r="I24" s="44"/>
      <c r="J24" s="29">
        <f>10000*1*2</f>
        <v>20000</v>
      </c>
      <c r="K24" s="35">
        <f>J24/J20</f>
        <v>8.3989501312335957E-3</v>
      </c>
      <c r="L24" s="52" t="s">
        <v>123</v>
      </c>
      <c r="M24" s="56"/>
      <c r="O24" s="29">
        <f>10000*2*2</f>
        <v>40000</v>
      </c>
      <c r="P24" s="35">
        <f>O24/O20</f>
        <v>1.4512471655328799E-2</v>
      </c>
      <c r="Q24" s="52" t="s">
        <v>118</v>
      </c>
      <c r="R24" s="56"/>
    </row>
    <row r="25" spans="2:18" ht="25.25" customHeight="1" x14ac:dyDescent="0.2">
      <c r="B25" s="24" t="s">
        <v>15</v>
      </c>
      <c r="C25" s="58" t="s">
        <v>26</v>
      </c>
      <c r="D25" s="58"/>
      <c r="E25" s="29">
        <v>0</v>
      </c>
      <c r="F25" s="35">
        <f>E25/E20</f>
        <v>0</v>
      </c>
      <c r="G25" s="52" t="s">
        <v>108</v>
      </c>
      <c r="H25" s="56"/>
      <c r="J25" s="29">
        <f>20*(J11+1)*3300</f>
        <v>198000</v>
      </c>
      <c r="K25" s="35">
        <f>J25/J20</f>
        <v>8.31496062992126E-2</v>
      </c>
      <c r="L25" s="52" t="s">
        <v>130</v>
      </c>
      <c r="M25" s="56"/>
      <c r="O25" s="29">
        <f>O13*(O11+1)*3300</f>
        <v>445500</v>
      </c>
      <c r="P25" s="35">
        <f>O25/O20</f>
        <v>0.16163265306122448</v>
      </c>
      <c r="Q25" s="52" t="s">
        <v>130</v>
      </c>
      <c r="R25" s="56"/>
    </row>
    <row r="26" spans="2:18" ht="25.25" customHeight="1" x14ac:dyDescent="0.2">
      <c r="B26" s="24" t="s">
        <v>16</v>
      </c>
      <c r="C26" s="58" t="s">
        <v>28</v>
      </c>
      <c r="D26" s="58"/>
      <c r="E26" s="29">
        <v>0</v>
      </c>
      <c r="F26" s="35">
        <f>E26/E20</f>
        <v>0</v>
      </c>
      <c r="G26" s="52" t="s">
        <v>108</v>
      </c>
      <c r="H26" s="56"/>
      <c r="J26" s="29">
        <f>(20+10)*J11*500</f>
        <v>30000</v>
      </c>
      <c r="K26" s="35">
        <f>J26/J20</f>
        <v>1.2598425196850394E-2</v>
      </c>
      <c r="L26" s="52" t="s">
        <v>73</v>
      </c>
      <c r="M26" s="56"/>
      <c r="O26" s="29">
        <f>(45+10)*O11*500</f>
        <v>55000</v>
      </c>
      <c r="P26" s="35">
        <f>O26/O20</f>
        <v>1.9954648526077097E-2</v>
      </c>
      <c r="Q26" s="52" t="s">
        <v>73</v>
      </c>
      <c r="R26" s="56"/>
    </row>
    <row r="27" spans="2:18" ht="25.25" customHeight="1" x14ac:dyDescent="0.2">
      <c r="B27" s="24" t="s">
        <v>17</v>
      </c>
      <c r="C27" s="58" t="s">
        <v>117</v>
      </c>
      <c r="D27" s="57"/>
      <c r="E27" s="29">
        <f>2000*E13</f>
        <v>90000</v>
      </c>
      <c r="F27" s="35">
        <f>E27/E20</f>
        <v>1.7817371937639197E-2</v>
      </c>
      <c r="G27" s="52" t="s">
        <v>83</v>
      </c>
      <c r="H27" s="56"/>
      <c r="J27" s="29">
        <f>2000*J13</f>
        <v>90000</v>
      </c>
      <c r="K27" s="35">
        <f>J27/J20</f>
        <v>3.7795275590551181E-2</v>
      </c>
      <c r="L27" s="52" t="s">
        <v>83</v>
      </c>
      <c r="M27" s="56"/>
      <c r="O27" s="29">
        <f>2000*O13</f>
        <v>90000</v>
      </c>
      <c r="P27" s="35">
        <f>O27/O20</f>
        <v>3.2653061224489799E-2</v>
      </c>
      <c r="Q27" s="52" t="s">
        <v>83</v>
      </c>
      <c r="R27" s="56"/>
    </row>
    <row r="28" spans="2:18" ht="25.25" customHeight="1" x14ac:dyDescent="0.2">
      <c r="B28" s="24" t="s">
        <v>45</v>
      </c>
      <c r="C28" s="58" t="s">
        <v>76</v>
      </c>
      <c r="D28" s="57"/>
      <c r="E28" s="29">
        <f>3000*E13</f>
        <v>135000</v>
      </c>
      <c r="F28" s="35">
        <f>E28/E20</f>
        <v>2.6726057906458798E-2</v>
      </c>
      <c r="G28" s="52" t="s">
        <v>125</v>
      </c>
      <c r="H28" s="56"/>
      <c r="J28" s="29">
        <f>3000*J13</f>
        <v>135000</v>
      </c>
      <c r="K28" s="35">
        <f>J28/J20</f>
        <v>5.6692913385826771E-2</v>
      </c>
      <c r="L28" s="52" t="s">
        <v>125</v>
      </c>
      <c r="M28" s="56"/>
      <c r="O28" s="29">
        <f>3000*O13</f>
        <v>135000</v>
      </c>
      <c r="P28" s="35">
        <f>O28/O20</f>
        <v>4.8979591836734691E-2</v>
      </c>
      <c r="Q28" s="52" t="s">
        <v>125</v>
      </c>
      <c r="R28" s="56"/>
    </row>
    <row r="29" spans="2:18" ht="25.25" customHeight="1" x14ac:dyDescent="0.2">
      <c r="B29" s="24" t="s">
        <v>45</v>
      </c>
      <c r="C29" s="58" t="s">
        <v>44</v>
      </c>
      <c r="D29" s="58"/>
      <c r="E29" s="29">
        <f>E13*2000</f>
        <v>90000</v>
      </c>
      <c r="F29" s="35">
        <f>E29/E20</f>
        <v>1.7817371937639197E-2</v>
      </c>
      <c r="G29" s="52" t="s">
        <v>38</v>
      </c>
      <c r="H29" s="56"/>
      <c r="J29" s="29">
        <f>J13*2000</f>
        <v>90000</v>
      </c>
      <c r="K29" s="35">
        <f>J29/J20</f>
        <v>3.7795275590551181E-2</v>
      </c>
      <c r="L29" s="52" t="s">
        <v>38</v>
      </c>
      <c r="M29" s="56"/>
      <c r="O29" s="29">
        <f>O13*2000</f>
        <v>90000</v>
      </c>
      <c r="P29" s="35">
        <f>O29/O20</f>
        <v>3.2653061224489799E-2</v>
      </c>
      <c r="Q29" s="52" t="s">
        <v>38</v>
      </c>
      <c r="R29" s="56"/>
    </row>
    <row r="30" spans="2:18" ht="30" customHeight="1" x14ac:dyDescent="0.2">
      <c r="B30" s="25" t="s">
        <v>18</v>
      </c>
      <c r="C30" s="55" t="s">
        <v>54</v>
      </c>
      <c r="D30" s="55"/>
      <c r="E30" s="20">
        <f>SUM(E22:E29)</f>
        <v>315000</v>
      </c>
      <c r="F30" s="36">
        <f>E30/E20</f>
        <v>6.2360801781737196E-2</v>
      </c>
      <c r="G30" s="52"/>
      <c r="H30" s="56"/>
      <c r="J30" s="20">
        <f>SUM(J22:J29)</f>
        <v>583200</v>
      </c>
      <c r="K30" s="36">
        <f>J30/J20</f>
        <v>0.24491338582677166</v>
      </c>
      <c r="L30" s="52"/>
      <c r="M30" s="56"/>
      <c r="O30" s="20">
        <f>SUM(O22:O29)</f>
        <v>875700</v>
      </c>
      <c r="P30" s="36">
        <f>O30/O20</f>
        <v>0.31771428571428573</v>
      </c>
      <c r="Q30" s="52"/>
      <c r="R30" s="56"/>
    </row>
    <row r="31" spans="2:18" ht="25.25" customHeight="1" x14ac:dyDescent="0.2">
      <c r="B31" s="27" t="s">
        <v>19</v>
      </c>
      <c r="C31" s="59" t="s">
        <v>56</v>
      </c>
      <c r="D31" s="59"/>
      <c r="E31" s="21">
        <f>E20*0.25</f>
        <v>1262812.5</v>
      </c>
      <c r="F31" s="37">
        <f>E31/E20</f>
        <v>0.25</v>
      </c>
      <c r="G31" s="52" t="s">
        <v>39</v>
      </c>
      <c r="H31" s="56" t="s">
        <v>34</v>
      </c>
      <c r="J31" s="21">
        <f>J20*0.25</f>
        <v>595312.5</v>
      </c>
      <c r="K31" s="37">
        <f>J31/J20</f>
        <v>0.25</v>
      </c>
      <c r="L31" s="52" t="s">
        <v>39</v>
      </c>
      <c r="M31" s="56" t="s">
        <v>34</v>
      </c>
      <c r="O31" s="21">
        <f>O20*0.25</f>
        <v>689062.5</v>
      </c>
      <c r="P31" s="37">
        <f>O31/O20</f>
        <v>0.25</v>
      </c>
      <c r="Q31" s="52" t="s">
        <v>39</v>
      </c>
      <c r="R31" s="56" t="s">
        <v>34</v>
      </c>
    </row>
    <row r="32" spans="2:18" x14ac:dyDescent="0.2">
      <c r="B32" s="25" t="s">
        <v>20</v>
      </c>
      <c r="C32" s="55" t="s">
        <v>33</v>
      </c>
      <c r="D32" s="55"/>
      <c r="E32" s="20">
        <f>E30+E31</f>
        <v>1577812.5</v>
      </c>
      <c r="F32" s="38">
        <f>E32/E20</f>
        <v>0.3123608017817372</v>
      </c>
      <c r="G32" s="52"/>
      <c r="H32" s="56"/>
      <c r="J32" s="20">
        <f>J30+J31</f>
        <v>1178512.5</v>
      </c>
      <c r="K32" s="38">
        <f>J32/J20</f>
        <v>0.49491338582677163</v>
      </c>
      <c r="L32" s="52"/>
      <c r="M32" s="56"/>
      <c r="O32" s="20">
        <f>O30+O31</f>
        <v>1564762.5</v>
      </c>
      <c r="P32" s="38">
        <f>O32/O20</f>
        <v>0.56771428571428573</v>
      </c>
      <c r="Q32" s="52"/>
      <c r="R32" s="56"/>
    </row>
    <row r="33" spans="2:18" x14ac:dyDescent="0.2">
      <c r="B33" s="27" t="s">
        <v>21</v>
      </c>
      <c r="C33" s="59" t="s">
        <v>57</v>
      </c>
      <c r="D33" s="59"/>
      <c r="E33" s="21">
        <f>E20-E32</f>
        <v>3473437.5</v>
      </c>
      <c r="F33" s="37">
        <f>E33/E20</f>
        <v>0.6876391982182628</v>
      </c>
      <c r="G33" s="52" t="s">
        <v>34</v>
      </c>
      <c r="H33" s="56"/>
      <c r="J33" s="21">
        <f>J20-J32</f>
        <v>1202737.5</v>
      </c>
      <c r="K33" s="37">
        <f>J33/J20</f>
        <v>0.50508661417322831</v>
      </c>
      <c r="L33" s="52" t="s">
        <v>34</v>
      </c>
      <c r="M33" s="56"/>
      <c r="O33" s="21">
        <f>O20-O32</f>
        <v>1191487.5</v>
      </c>
      <c r="P33" s="37">
        <f>O33/O20</f>
        <v>0.43228571428571427</v>
      </c>
      <c r="Q33" s="52" t="s">
        <v>34</v>
      </c>
      <c r="R33" s="56"/>
    </row>
    <row r="34" spans="2:18" x14ac:dyDescent="0.2">
      <c r="B34" s="25" t="s">
        <v>22</v>
      </c>
      <c r="C34" s="55" t="s">
        <v>67</v>
      </c>
      <c r="D34" s="55"/>
      <c r="E34" s="20">
        <f>SUM(E35:E38)</f>
        <v>1071075</v>
      </c>
      <c r="F34" s="38">
        <f>E34/E20</f>
        <v>0.21204157386785449</v>
      </c>
      <c r="G34" s="52"/>
      <c r="H34" s="56"/>
      <c r="J34" s="20">
        <f>SUM(J35:J38)</f>
        <v>562875</v>
      </c>
      <c r="K34" s="38">
        <f>J34/J20</f>
        <v>0.23637795275590551</v>
      </c>
      <c r="L34" s="52"/>
      <c r="M34" s="56"/>
      <c r="O34" s="20">
        <f>SUM(O35:O38)</f>
        <v>585375</v>
      </c>
      <c r="P34" s="38">
        <f>O34/O20</f>
        <v>0.21238095238095239</v>
      </c>
      <c r="Q34" s="52"/>
      <c r="R34" s="56"/>
    </row>
    <row r="35" spans="2:18" ht="26.25" customHeight="1" x14ac:dyDescent="0.2">
      <c r="B35" s="24" t="s">
        <v>35</v>
      </c>
      <c r="C35" s="57" t="s">
        <v>42</v>
      </c>
      <c r="D35" s="57"/>
      <c r="E35" s="8">
        <f>E20*3%</f>
        <v>151537.5</v>
      </c>
      <c r="F35" s="35">
        <f>E35/E20</f>
        <v>0.03</v>
      </c>
      <c r="G35" s="52" t="s">
        <v>84</v>
      </c>
      <c r="H35" s="56"/>
      <c r="J35" s="8">
        <f>J20*3%</f>
        <v>71437.5</v>
      </c>
      <c r="K35" s="35">
        <f>J35/J20</f>
        <v>0.03</v>
      </c>
      <c r="L35" s="52" t="s">
        <v>84</v>
      </c>
      <c r="M35" s="56"/>
      <c r="O35" s="8">
        <f>O20*3%</f>
        <v>82687.5</v>
      </c>
      <c r="P35" s="35">
        <f>O35/O20</f>
        <v>0.03</v>
      </c>
      <c r="Q35" s="52" t="s">
        <v>84</v>
      </c>
      <c r="R35" s="56"/>
    </row>
    <row r="36" spans="2:18" x14ac:dyDescent="0.2">
      <c r="B36" s="24" t="s">
        <v>36</v>
      </c>
      <c r="C36" s="57" t="s">
        <v>43</v>
      </c>
      <c r="D36" s="57"/>
      <c r="E36" s="8">
        <f>E20*2%</f>
        <v>101025</v>
      </c>
      <c r="F36" s="35">
        <f>E36/E20</f>
        <v>0.02</v>
      </c>
      <c r="G36" s="52" t="s">
        <v>85</v>
      </c>
      <c r="H36" s="56"/>
      <c r="J36" s="8">
        <f>J20*2%</f>
        <v>47625</v>
      </c>
      <c r="K36" s="35">
        <f>J36/J20</f>
        <v>0.02</v>
      </c>
      <c r="L36" s="52" t="s">
        <v>85</v>
      </c>
      <c r="M36" s="56"/>
      <c r="O36" s="8">
        <f>O20*2%</f>
        <v>55125</v>
      </c>
      <c r="P36" s="35">
        <f>O36/O20</f>
        <v>0.02</v>
      </c>
      <c r="Q36" s="52" t="s">
        <v>85</v>
      </c>
      <c r="R36" s="56"/>
    </row>
    <row r="37" spans="2:18" ht="22.5" customHeight="1" x14ac:dyDescent="0.2">
      <c r="B37" s="24"/>
      <c r="C37" s="52" t="s">
        <v>29</v>
      </c>
      <c r="D37" s="52"/>
      <c r="E37" s="8">
        <f>E10*6000</f>
        <v>768000</v>
      </c>
      <c r="F37" s="35">
        <f>E37/E20</f>
        <v>0.1520415738678545</v>
      </c>
      <c r="G37" s="53"/>
      <c r="H37" s="54"/>
      <c r="J37" s="8">
        <f>J10*6000</f>
        <v>420000</v>
      </c>
      <c r="K37" s="35">
        <f>J37/J20</f>
        <v>0.17637795275590551</v>
      </c>
      <c r="L37" s="53" t="s">
        <v>128</v>
      </c>
      <c r="M37" s="54"/>
      <c r="O37" s="8">
        <f>O10*6000</f>
        <v>420000</v>
      </c>
      <c r="P37" s="35">
        <f>O37/O20</f>
        <v>0.15238095238095239</v>
      </c>
      <c r="Q37" s="53"/>
      <c r="R37" s="54"/>
    </row>
    <row r="38" spans="2:18" ht="15.75" customHeight="1" thickBot="1" x14ac:dyDescent="0.25">
      <c r="B38" s="41" t="s">
        <v>58</v>
      </c>
      <c r="C38" s="60" t="s">
        <v>109</v>
      </c>
      <c r="D38" s="60"/>
      <c r="E38" s="8">
        <f>E20*1%</f>
        <v>50512.5</v>
      </c>
      <c r="F38" s="35">
        <f>E38/E20</f>
        <v>0.01</v>
      </c>
      <c r="G38" s="52" t="s">
        <v>86</v>
      </c>
      <c r="H38" s="56"/>
      <c r="J38" s="8">
        <f>J20*1%</f>
        <v>23812.5</v>
      </c>
      <c r="K38" s="35">
        <f>J38/J20</f>
        <v>0.01</v>
      </c>
      <c r="L38" s="52" t="s">
        <v>86</v>
      </c>
      <c r="M38" s="56"/>
      <c r="O38" s="8">
        <f>O20*1%</f>
        <v>27562.5</v>
      </c>
      <c r="P38" s="35">
        <f>O38/O20</f>
        <v>0.01</v>
      </c>
      <c r="Q38" s="52" t="s">
        <v>86</v>
      </c>
      <c r="R38" s="56"/>
    </row>
    <row r="39" spans="2:18" x14ac:dyDescent="0.2">
      <c r="B39" s="27" t="s">
        <v>59</v>
      </c>
      <c r="C39" s="59" t="s">
        <v>32</v>
      </c>
      <c r="D39" s="59"/>
      <c r="E39" s="21">
        <f>E33-E34</f>
        <v>2402362.5</v>
      </c>
      <c r="F39" s="37">
        <f>E39/E20</f>
        <v>0.47559762435040831</v>
      </c>
      <c r="G39" s="52" t="s">
        <v>34</v>
      </c>
      <c r="H39" s="56"/>
      <c r="J39" s="21">
        <f>J33-J34</f>
        <v>639862.5</v>
      </c>
      <c r="K39" s="37">
        <f>J39/J20</f>
        <v>0.26870866141732286</v>
      </c>
      <c r="L39" s="52" t="s">
        <v>34</v>
      </c>
      <c r="M39" s="56"/>
      <c r="O39" s="21">
        <f>O33-O34</f>
        <v>606112.5</v>
      </c>
      <c r="P39" s="37">
        <f>O39/O20</f>
        <v>0.21990476190476191</v>
      </c>
      <c r="Q39" s="52" t="s">
        <v>34</v>
      </c>
      <c r="R39" s="56"/>
    </row>
    <row r="40" spans="2:18" ht="26.25" customHeight="1" x14ac:dyDescent="0.2">
      <c r="B40" s="24" t="s">
        <v>87</v>
      </c>
      <c r="C40" s="57" t="s">
        <v>89</v>
      </c>
      <c r="D40" s="57"/>
      <c r="E40" s="8">
        <f>IF(F39&gt;0.25,60%*40%*(E39-25%*E20),0)</f>
        <v>273492</v>
      </c>
      <c r="F40" s="35">
        <f>+E40/E20</f>
        <v>5.4143429844097993E-2</v>
      </c>
      <c r="G40" s="52" t="s">
        <v>92</v>
      </c>
      <c r="H40" s="56"/>
      <c r="J40" s="8">
        <f>IF(K39&gt;0.25,60%*40%*(J39-25%*J20),0)</f>
        <v>10692</v>
      </c>
      <c r="K40" s="35">
        <f>J40/J20</f>
        <v>4.4900787401574802E-3</v>
      </c>
      <c r="L40" s="52" t="s">
        <v>92</v>
      </c>
      <c r="M40" s="56"/>
      <c r="O40" s="8">
        <f>IF(P39&gt;0.25,60%*40%*(O39-25%*O20),0)</f>
        <v>0</v>
      </c>
      <c r="P40" s="35">
        <f>+O40/O20</f>
        <v>0</v>
      </c>
      <c r="Q40" s="52" t="s">
        <v>92</v>
      </c>
      <c r="R40" s="56"/>
    </row>
    <row r="41" spans="2:18" ht="35.25" customHeight="1" x14ac:dyDescent="0.2">
      <c r="B41" s="24" t="s">
        <v>88</v>
      </c>
      <c r="C41" s="57" t="s">
        <v>90</v>
      </c>
      <c r="D41" s="57"/>
      <c r="E41" s="8">
        <f>IF(F39&gt;0.25,40%*40%*(E39-E20*25%),0)</f>
        <v>182328.00000000003</v>
      </c>
      <c r="F41" s="35">
        <f>+E41/E20</f>
        <v>3.6095619896065335E-2</v>
      </c>
      <c r="G41" s="52" t="s">
        <v>93</v>
      </c>
      <c r="H41" s="56"/>
      <c r="J41" s="8">
        <f>IF(K39&gt;0.25,40%*40%*(J39-J20*25%),0)</f>
        <v>7128.0000000000018</v>
      </c>
      <c r="K41" s="35">
        <f>+J41/J20</f>
        <v>2.9933858267716545E-3</v>
      </c>
      <c r="L41" s="52" t="s">
        <v>93</v>
      </c>
      <c r="M41" s="56"/>
      <c r="O41" s="8">
        <f>IF(P39&gt;0.25,40%*40%*(O39-O20*25%),0)</f>
        <v>0</v>
      </c>
      <c r="P41" s="35">
        <f>+O41/O20</f>
        <v>0</v>
      </c>
      <c r="Q41" s="52" t="s">
        <v>93</v>
      </c>
      <c r="R41" s="56"/>
    </row>
    <row r="42" spans="2:18" x14ac:dyDescent="0.2">
      <c r="B42" s="27" t="s">
        <v>98</v>
      </c>
      <c r="C42" s="59" t="s">
        <v>91</v>
      </c>
      <c r="D42" s="59"/>
      <c r="E42" s="21">
        <f>E39-E40-E41</f>
        <v>1946542.5</v>
      </c>
      <c r="F42" s="37">
        <f>E42/E20</f>
        <v>0.38535857461024497</v>
      </c>
      <c r="G42" s="52"/>
      <c r="H42" s="56"/>
      <c r="J42" s="21">
        <f>J39-J40-J41</f>
        <v>622042.5</v>
      </c>
      <c r="K42" s="37">
        <f>J42/J20</f>
        <v>0.26122519685039369</v>
      </c>
      <c r="L42" s="52"/>
      <c r="M42" s="56"/>
      <c r="O42" s="21">
        <f>O39-O40-O41</f>
        <v>606112.5</v>
      </c>
      <c r="P42" s="37">
        <f>O42/O20</f>
        <v>0.21990476190476191</v>
      </c>
      <c r="Q42" s="52"/>
      <c r="R42" s="56"/>
    </row>
    <row r="43" spans="2:18" x14ac:dyDescent="0.2">
      <c r="E43" s="50"/>
      <c r="J43" s="50"/>
      <c r="O43" s="50"/>
    </row>
    <row r="47" spans="2:18" s="15" customFormat="1" x14ac:dyDescent="0.2">
      <c r="B47" s="12" t="s">
        <v>131</v>
      </c>
      <c r="C47" s="12"/>
      <c r="D47" s="13"/>
      <c r="E47" s="14"/>
      <c r="F47" s="14"/>
      <c r="J47" s="14"/>
      <c r="K47" s="14"/>
      <c r="O47" s="14"/>
      <c r="P47" s="14"/>
      <c r="Q47" s="49"/>
      <c r="R47" s="49"/>
    </row>
    <row r="48" spans="2:18" s="15" customFormat="1" x14ac:dyDescent="0.2">
      <c r="B48" s="16" t="s">
        <v>23</v>
      </c>
      <c r="C48" s="12"/>
      <c r="D48" s="13"/>
      <c r="E48" s="14"/>
      <c r="F48" s="14"/>
      <c r="J48" s="14"/>
      <c r="K48" s="14"/>
      <c r="O48" s="14"/>
      <c r="P48" s="14"/>
      <c r="Q48" s="49"/>
      <c r="R48" s="49"/>
    </row>
    <row r="49" spans="2:17" x14ac:dyDescent="0.2">
      <c r="B49" s="12"/>
      <c r="C49" s="12"/>
      <c r="D49" s="13"/>
      <c r="E49" s="14"/>
      <c r="F49" s="14"/>
      <c r="G49" s="15"/>
      <c r="J49" s="14"/>
      <c r="K49" s="14"/>
      <c r="L49" s="15"/>
      <c r="O49" s="14"/>
      <c r="P49" s="14"/>
      <c r="Q49" s="49"/>
    </row>
    <row r="50" spans="2:17" x14ac:dyDescent="0.2">
      <c r="B50" s="12"/>
      <c r="C50" s="12"/>
      <c r="D50" s="13"/>
      <c r="E50" s="14"/>
      <c r="F50" s="14"/>
      <c r="G50" s="15"/>
      <c r="J50" s="14"/>
      <c r="K50" s="14"/>
      <c r="L50" s="15"/>
      <c r="O50" s="14"/>
      <c r="P50" s="14"/>
      <c r="Q50" s="49"/>
    </row>
    <row r="51" spans="2:17" x14ac:dyDescent="0.2">
      <c r="B51" s="12"/>
      <c r="C51" s="12"/>
      <c r="D51" s="13"/>
      <c r="E51" s="14"/>
      <c r="F51" s="14"/>
      <c r="G51" s="15"/>
      <c r="J51" s="14"/>
      <c r="K51" s="14"/>
      <c r="L51" s="15"/>
      <c r="O51" s="14"/>
      <c r="P51" s="14"/>
      <c r="Q51" s="49"/>
    </row>
    <row r="52" spans="2:17" x14ac:dyDescent="0.2">
      <c r="B52" s="12" t="s">
        <v>132</v>
      </c>
      <c r="C52" s="12"/>
      <c r="D52" s="13"/>
      <c r="E52" s="14"/>
      <c r="F52" s="14"/>
      <c r="G52" s="15"/>
      <c r="J52" s="14"/>
      <c r="K52" s="14"/>
      <c r="L52" s="15"/>
      <c r="O52" s="14"/>
      <c r="P52" s="14"/>
      <c r="Q52" s="49"/>
    </row>
    <row r="53" spans="2:17" x14ac:dyDescent="0.2">
      <c r="B53" s="16" t="s">
        <v>23</v>
      </c>
      <c r="C53" s="16"/>
      <c r="D53" s="17"/>
      <c r="E53" s="18"/>
      <c r="F53" s="18"/>
      <c r="G53" s="15"/>
      <c r="J53" s="18"/>
      <c r="K53" s="18"/>
      <c r="L53" s="15"/>
      <c r="O53" s="18"/>
      <c r="P53" s="18"/>
      <c r="Q53" s="49"/>
    </row>
  </sheetData>
  <mergeCells count="153">
    <mergeCell ref="Q42:R42"/>
    <mergeCell ref="Q37:R37"/>
    <mergeCell ref="Q38:R38"/>
    <mergeCell ref="Q39:R39"/>
    <mergeCell ref="Q40:R40"/>
    <mergeCell ref="Q41:R41"/>
    <mergeCell ref="Q32:R32"/>
    <mergeCell ref="Q33:R33"/>
    <mergeCell ref="Q34:R34"/>
    <mergeCell ref="Q35:R35"/>
    <mergeCell ref="Q36:R36"/>
    <mergeCell ref="Q27:R27"/>
    <mergeCell ref="Q28:R28"/>
    <mergeCell ref="Q29:R29"/>
    <mergeCell ref="Q30:R30"/>
    <mergeCell ref="Q31:R31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L42:M42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L37:M37"/>
    <mergeCell ref="L38:M38"/>
    <mergeCell ref="L39:M39"/>
    <mergeCell ref="L40:M40"/>
    <mergeCell ref="L41:M41"/>
    <mergeCell ref="L32:M32"/>
    <mergeCell ref="L33:M33"/>
    <mergeCell ref="L34:M34"/>
    <mergeCell ref="L35:M35"/>
    <mergeCell ref="L36:M36"/>
    <mergeCell ref="L27:M27"/>
    <mergeCell ref="L28:M28"/>
    <mergeCell ref="L29:M29"/>
    <mergeCell ref="L30:M30"/>
    <mergeCell ref="L31:M31"/>
    <mergeCell ref="L22:M22"/>
    <mergeCell ref="L23:M23"/>
    <mergeCell ref="L24:M24"/>
    <mergeCell ref="L25:M25"/>
    <mergeCell ref="L26:M26"/>
    <mergeCell ref="L17:M17"/>
    <mergeCell ref="L18:M18"/>
    <mergeCell ref="L19:M19"/>
    <mergeCell ref="L20:M20"/>
    <mergeCell ref="L21:M21"/>
    <mergeCell ref="L12:M12"/>
    <mergeCell ref="L13:M13"/>
    <mergeCell ref="L14:M14"/>
    <mergeCell ref="L15:M15"/>
    <mergeCell ref="L16:M16"/>
    <mergeCell ref="L7:M7"/>
    <mergeCell ref="L8:M8"/>
    <mergeCell ref="L9:M9"/>
    <mergeCell ref="L10:M10"/>
    <mergeCell ref="L11:M11"/>
    <mergeCell ref="D5:F5"/>
    <mergeCell ref="G5:H5"/>
    <mergeCell ref="B6:C7"/>
    <mergeCell ref="D4:F4"/>
    <mergeCell ref="G4:H4"/>
    <mergeCell ref="B1:F1"/>
    <mergeCell ref="B2:F2"/>
    <mergeCell ref="G2:H2"/>
    <mergeCell ref="D3:F3"/>
    <mergeCell ref="G3:H3"/>
    <mergeCell ref="G8:H8"/>
    <mergeCell ref="G6:H6"/>
    <mergeCell ref="G7:H7"/>
    <mergeCell ref="G13:H13"/>
    <mergeCell ref="D6:F6"/>
    <mergeCell ref="C14:D14"/>
    <mergeCell ref="G14:H14"/>
    <mergeCell ref="C12:D12"/>
    <mergeCell ref="G12:H12"/>
    <mergeCell ref="C13:D13"/>
    <mergeCell ref="C9:D9"/>
    <mergeCell ref="G9:H9"/>
    <mergeCell ref="C10:D10"/>
    <mergeCell ref="G10:H10"/>
    <mergeCell ref="C11:D11"/>
    <mergeCell ref="G11:H11"/>
    <mergeCell ref="C21:D21"/>
    <mergeCell ref="G21:H21"/>
    <mergeCell ref="C15:D15"/>
    <mergeCell ref="C17:D17"/>
    <mergeCell ref="G15:H15"/>
    <mergeCell ref="G17:H17"/>
    <mergeCell ref="G20:H20"/>
    <mergeCell ref="C20:D20"/>
    <mergeCell ref="C18:D18"/>
    <mergeCell ref="C19:D19"/>
    <mergeCell ref="G18:H18"/>
    <mergeCell ref="G19:H19"/>
    <mergeCell ref="G16:H16"/>
    <mergeCell ref="C42:D42"/>
    <mergeCell ref="G42:H42"/>
    <mergeCell ref="C40:D40"/>
    <mergeCell ref="G40:H40"/>
    <mergeCell ref="C39:D39"/>
    <mergeCell ref="G39:H39"/>
    <mergeCell ref="C41:D41"/>
    <mergeCell ref="G41:H41"/>
    <mergeCell ref="C29:D29"/>
    <mergeCell ref="G29:H29"/>
    <mergeCell ref="C38:D38"/>
    <mergeCell ref="G38:H38"/>
    <mergeCell ref="C33:D33"/>
    <mergeCell ref="G33:H33"/>
    <mergeCell ref="C34:D34"/>
    <mergeCell ref="G34:H34"/>
    <mergeCell ref="C35:D35"/>
    <mergeCell ref="C31:D31"/>
    <mergeCell ref="C32:D32"/>
    <mergeCell ref="G32:H32"/>
    <mergeCell ref="G31:H31"/>
    <mergeCell ref="G35:H35"/>
    <mergeCell ref="C36:D36"/>
    <mergeCell ref="G36:H36"/>
    <mergeCell ref="C37:D37"/>
    <mergeCell ref="G37:H37"/>
    <mergeCell ref="C30:D30"/>
    <mergeCell ref="G30:H30"/>
    <mergeCell ref="G27:H27"/>
    <mergeCell ref="C22:D22"/>
    <mergeCell ref="G22:H22"/>
    <mergeCell ref="C24:D24"/>
    <mergeCell ref="G24:H24"/>
    <mergeCell ref="C23:D23"/>
    <mergeCell ref="G23:H23"/>
    <mergeCell ref="C25:D25"/>
    <mergeCell ref="G25:H25"/>
    <mergeCell ref="C26:D26"/>
    <mergeCell ref="C28:D28"/>
    <mergeCell ref="G28:H28"/>
    <mergeCell ref="G26:H26"/>
    <mergeCell ref="C27:D27"/>
  </mergeCells>
  <dataValidations count="1">
    <dataValidation operator="equal" allowBlank="1" showInputMessage="1" showErrorMessage="1" error="Auto Calculated" promptTitle="Calculated" sqref="E9:F12 J9:K12 O9:P12" xr:uid="{4816C2D2-AF4E-472B-B606-5D75203F1C2F}"/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44C6-8BE0-4D30-B141-38E3AEF39E35}">
  <sheetPr>
    <pageSetUpPr fitToPage="1"/>
  </sheetPr>
  <dimension ref="B1:I53"/>
  <sheetViews>
    <sheetView topLeftCell="A39" workbookViewId="0">
      <selection activeCell="J7" sqref="J7"/>
    </sheetView>
  </sheetViews>
  <sheetFormatPr baseColWidth="10" defaultColWidth="8.83203125" defaultRowHeight="15" x14ac:dyDescent="0.2"/>
  <cols>
    <col min="1" max="1" width="3.5" style="1" customWidth="1"/>
    <col min="2" max="2" width="5.33203125" style="3" customWidth="1"/>
    <col min="3" max="3" width="16.83203125" style="3" customWidth="1"/>
    <col min="4" max="4" width="36.33203125" style="9" customWidth="1"/>
    <col min="5" max="5" width="11.1640625" style="11" bestFit="1" customWidth="1"/>
    <col min="6" max="6" width="7.83203125" style="11" bestFit="1" customWidth="1"/>
    <col min="7" max="7" width="16.6640625" style="1" customWidth="1"/>
    <col min="8" max="8" width="16.1640625" style="1" customWidth="1"/>
    <col min="9" max="9" width="3" style="1" customWidth="1"/>
    <col min="10" max="16384" width="8.83203125" style="1"/>
  </cols>
  <sheetData>
    <row r="1" spans="2:9" x14ac:dyDescent="0.2">
      <c r="B1" s="70" t="s">
        <v>0</v>
      </c>
      <c r="C1" s="71"/>
      <c r="D1" s="71"/>
      <c r="E1" s="71"/>
      <c r="F1" s="71"/>
      <c r="G1" s="39"/>
      <c r="H1" s="40"/>
    </row>
    <row r="2" spans="2:9" ht="21" customHeight="1" x14ac:dyDescent="0.2">
      <c r="B2" s="72" t="s">
        <v>40</v>
      </c>
      <c r="C2" s="73"/>
      <c r="D2" s="73"/>
      <c r="E2" s="73"/>
      <c r="F2" s="73"/>
      <c r="G2" s="74" t="s">
        <v>37</v>
      </c>
      <c r="H2" s="75"/>
    </row>
    <row r="3" spans="2:9" x14ac:dyDescent="0.2">
      <c r="B3" s="22" t="s">
        <v>1</v>
      </c>
      <c r="C3" s="2"/>
      <c r="D3" s="96" t="s">
        <v>61</v>
      </c>
      <c r="E3" s="96"/>
      <c r="F3" s="96"/>
      <c r="G3" s="62"/>
      <c r="H3" s="63"/>
    </row>
    <row r="4" spans="2:9" x14ac:dyDescent="0.2">
      <c r="B4" s="22" t="s">
        <v>2</v>
      </c>
      <c r="C4" s="2"/>
      <c r="D4" s="96"/>
      <c r="E4" s="96"/>
      <c r="F4" s="96"/>
      <c r="G4" s="87" t="s">
        <v>46</v>
      </c>
      <c r="H4" s="88"/>
    </row>
    <row r="5" spans="2:9" x14ac:dyDescent="0.2">
      <c r="B5" s="22" t="s">
        <v>97</v>
      </c>
      <c r="C5" s="2"/>
      <c r="D5" s="95" t="s">
        <v>99</v>
      </c>
      <c r="E5" s="95"/>
      <c r="F5" s="95"/>
      <c r="G5" s="84" t="s">
        <v>47</v>
      </c>
      <c r="H5" s="85"/>
    </row>
    <row r="6" spans="2:9" x14ac:dyDescent="0.2">
      <c r="B6" s="86" t="s">
        <v>3</v>
      </c>
      <c r="C6" s="57"/>
      <c r="D6" s="96" t="s">
        <v>100</v>
      </c>
      <c r="E6" s="96"/>
      <c r="F6" s="96"/>
      <c r="G6" s="79" t="s">
        <v>48</v>
      </c>
      <c r="H6" s="80"/>
    </row>
    <row r="7" spans="2:9" x14ac:dyDescent="0.2">
      <c r="B7" s="86"/>
      <c r="C7" s="57"/>
      <c r="D7" s="96"/>
      <c r="E7" s="96"/>
      <c r="F7" s="96"/>
      <c r="G7" s="62"/>
      <c r="H7" s="63"/>
    </row>
    <row r="8" spans="2:9" s="3" customFormat="1" ht="48" x14ac:dyDescent="0.2">
      <c r="B8" s="23" t="s">
        <v>4</v>
      </c>
      <c r="C8" s="4"/>
      <c r="D8" s="4" t="s">
        <v>5</v>
      </c>
      <c r="E8" s="4" t="s">
        <v>6</v>
      </c>
      <c r="F8" s="28" t="s">
        <v>7</v>
      </c>
      <c r="G8" s="62"/>
      <c r="H8" s="63"/>
    </row>
    <row r="9" spans="2:9" x14ac:dyDescent="0.2">
      <c r="B9" s="24">
        <v>1</v>
      </c>
      <c r="C9" s="57" t="s">
        <v>30</v>
      </c>
      <c r="D9" s="57"/>
      <c r="E9" s="29"/>
      <c r="F9" s="30">
        <f>F42</f>
        <v>0.31117830109335576</v>
      </c>
      <c r="G9" s="68" t="s">
        <v>41</v>
      </c>
      <c r="H9" s="69"/>
    </row>
    <row r="10" spans="2:9" x14ac:dyDescent="0.2">
      <c r="B10" s="24">
        <v>2</v>
      </c>
      <c r="C10" s="57" t="s">
        <v>8</v>
      </c>
      <c r="D10" s="57"/>
      <c r="E10" s="5">
        <v>100</v>
      </c>
      <c r="F10" s="31"/>
      <c r="G10" s="68" t="s">
        <v>60</v>
      </c>
      <c r="H10" s="69"/>
    </row>
    <row r="11" spans="2:9" x14ac:dyDescent="0.2">
      <c r="B11" s="24">
        <v>3</v>
      </c>
      <c r="C11" s="57" t="s">
        <v>31</v>
      </c>
      <c r="D11" s="57"/>
      <c r="E11" s="5">
        <v>3</v>
      </c>
      <c r="F11" s="30"/>
      <c r="G11" s="62"/>
      <c r="H11" s="63"/>
    </row>
    <row r="12" spans="2:9" ht="27" customHeight="1" x14ac:dyDescent="0.2">
      <c r="B12" s="24">
        <v>4</v>
      </c>
      <c r="C12" s="57" t="s">
        <v>27</v>
      </c>
      <c r="D12" s="57"/>
      <c r="E12" s="21">
        <v>180000</v>
      </c>
      <c r="F12" s="31"/>
      <c r="G12" s="66" t="s">
        <v>79</v>
      </c>
      <c r="H12" s="67"/>
      <c r="I12" s="19"/>
    </row>
    <row r="13" spans="2:9" ht="15" customHeight="1" x14ac:dyDescent="0.2">
      <c r="B13" s="24">
        <v>5</v>
      </c>
      <c r="C13" s="57" t="s">
        <v>9</v>
      </c>
      <c r="D13" s="57"/>
      <c r="E13" s="6">
        <v>82</v>
      </c>
      <c r="F13" s="31"/>
      <c r="G13" s="66" t="s">
        <v>77</v>
      </c>
      <c r="H13" s="67"/>
    </row>
    <row r="14" spans="2:9" x14ac:dyDescent="0.2">
      <c r="B14" s="25" t="s">
        <v>52</v>
      </c>
      <c r="C14" s="55" t="s">
        <v>10</v>
      </c>
      <c r="D14" s="55"/>
      <c r="E14" s="20">
        <f>E12*E13</f>
        <v>14760000</v>
      </c>
      <c r="F14" s="32"/>
      <c r="G14" s="66"/>
      <c r="H14" s="67"/>
    </row>
    <row r="15" spans="2:9" ht="15" customHeight="1" x14ac:dyDescent="0.2">
      <c r="B15" s="25" t="s">
        <v>53</v>
      </c>
      <c r="C15" s="64" t="s">
        <v>63</v>
      </c>
      <c r="D15" s="65"/>
      <c r="E15" s="20">
        <f>15000*E13</f>
        <v>1230000</v>
      </c>
      <c r="F15" s="32"/>
      <c r="G15" s="66" t="s">
        <v>72</v>
      </c>
      <c r="H15" s="67"/>
      <c r="I15" s="45"/>
    </row>
    <row r="16" spans="2:9" ht="16" x14ac:dyDescent="0.2">
      <c r="B16" s="25" t="s">
        <v>68</v>
      </c>
      <c r="C16" s="42" t="s">
        <v>74</v>
      </c>
      <c r="D16" s="43"/>
      <c r="E16" s="20">
        <f>5000*E13</f>
        <v>410000</v>
      </c>
      <c r="F16" s="32"/>
      <c r="G16" s="52" t="s">
        <v>65</v>
      </c>
      <c r="H16" s="56"/>
    </row>
    <row r="17" spans="2:9" x14ac:dyDescent="0.2">
      <c r="B17" s="25" t="s">
        <v>69</v>
      </c>
      <c r="C17" s="64" t="s">
        <v>62</v>
      </c>
      <c r="D17" s="65"/>
      <c r="E17" s="20">
        <f>E14-E15-E16</f>
        <v>13120000</v>
      </c>
      <c r="F17" s="32"/>
      <c r="G17" s="66"/>
      <c r="H17" s="67"/>
    </row>
    <row r="18" spans="2:9" x14ac:dyDescent="0.2">
      <c r="B18" s="25" t="s">
        <v>70</v>
      </c>
      <c r="C18" s="55" t="s">
        <v>94</v>
      </c>
      <c r="D18" s="55"/>
      <c r="E18" s="20">
        <f>E17*40%</f>
        <v>5248000</v>
      </c>
      <c r="F18" s="32"/>
      <c r="G18" s="66" t="s">
        <v>80</v>
      </c>
      <c r="H18" s="67"/>
    </row>
    <row r="19" spans="2:9" ht="15" customHeight="1" x14ac:dyDescent="0.2">
      <c r="B19" s="25" t="s">
        <v>75</v>
      </c>
      <c r="C19" s="55" t="s">
        <v>95</v>
      </c>
      <c r="D19" s="55"/>
      <c r="E19" s="20">
        <f>E17*60%</f>
        <v>7872000</v>
      </c>
      <c r="F19" s="32"/>
      <c r="G19" s="66" t="s">
        <v>81</v>
      </c>
      <c r="H19" s="67"/>
    </row>
    <row r="20" spans="2:9" x14ac:dyDescent="0.2">
      <c r="B20" s="25" t="s">
        <v>71</v>
      </c>
      <c r="C20" s="55" t="s">
        <v>96</v>
      </c>
      <c r="D20" s="55"/>
      <c r="E20" s="20">
        <f>E19+E15+E16</f>
        <v>9512000</v>
      </c>
      <c r="F20" s="32"/>
      <c r="G20" s="66"/>
      <c r="H20" s="67"/>
    </row>
    <row r="21" spans="2:9" x14ac:dyDescent="0.2">
      <c r="B21" s="26"/>
      <c r="C21" s="61" t="s">
        <v>11</v>
      </c>
      <c r="D21" s="61"/>
      <c r="E21" s="7"/>
      <c r="F21" s="33"/>
      <c r="G21" s="62"/>
      <c r="H21" s="63"/>
    </row>
    <row r="22" spans="2:9" ht="25.25" customHeight="1" x14ac:dyDescent="0.2">
      <c r="B22" s="24" t="s">
        <v>12</v>
      </c>
      <c r="C22" s="92" t="s">
        <v>24</v>
      </c>
      <c r="D22" s="92"/>
      <c r="E22" s="29">
        <v>0</v>
      </c>
      <c r="F22" s="34">
        <f>E22/E20</f>
        <v>0</v>
      </c>
      <c r="G22" s="93"/>
      <c r="H22" s="94"/>
    </row>
    <row r="23" spans="2:9" ht="38.25" customHeight="1" x14ac:dyDescent="0.2">
      <c r="B23" s="24" t="s">
        <v>13</v>
      </c>
      <c r="C23" s="91" t="s">
        <v>50</v>
      </c>
      <c r="D23" s="91"/>
      <c r="E23" s="29">
        <f>2*1500+4*1800+2*3000+2*200*2+23000</f>
        <v>40000</v>
      </c>
      <c r="F23" s="34">
        <f>E23/E20</f>
        <v>4.2052144659377629E-3</v>
      </c>
      <c r="G23" s="93" t="s">
        <v>66</v>
      </c>
      <c r="H23" s="94"/>
    </row>
    <row r="24" spans="2:9" ht="25.25" customHeight="1" x14ac:dyDescent="0.2">
      <c r="B24" s="24" t="s">
        <v>14</v>
      </c>
      <c r="C24" s="58" t="s">
        <v>25</v>
      </c>
      <c r="D24" s="58"/>
      <c r="E24" s="29">
        <f>2500*E13+10000*3</f>
        <v>235000</v>
      </c>
      <c r="F24" s="35">
        <f>E24/E20</f>
        <v>2.4705634987384355E-2</v>
      </c>
      <c r="G24" s="93" t="s">
        <v>64</v>
      </c>
      <c r="H24" s="94"/>
      <c r="I24" s="44"/>
    </row>
    <row r="25" spans="2:9" ht="25.25" customHeight="1" x14ac:dyDescent="0.2">
      <c r="B25" s="24" t="s">
        <v>15</v>
      </c>
      <c r="C25" s="58" t="s">
        <v>26</v>
      </c>
      <c r="D25" s="58"/>
      <c r="E25" s="29">
        <f>E13*(E11+1)*2800</f>
        <v>918400</v>
      </c>
      <c r="F25" s="35">
        <f>E25/E20</f>
        <v>9.6551724137931033E-2</v>
      </c>
      <c r="G25" s="93" t="s">
        <v>82</v>
      </c>
      <c r="H25" s="94"/>
    </row>
    <row r="26" spans="2:9" ht="25.25" customHeight="1" x14ac:dyDescent="0.2">
      <c r="B26" s="24" t="s">
        <v>16</v>
      </c>
      <c r="C26" s="58" t="s">
        <v>28</v>
      </c>
      <c r="D26" s="58"/>
      <c r="E26" s="29">
        <f>(E13+10)*E11*500</f>
        <v>138000</v>
      </c>
      <c r="F26" s="35">
        <f>E26/E20</f>
        <v>1.4507989907485282E-2</v>
      </c>
      <c r="G26" s="52" t="s">
        <v>73</v>
      </c>
      <c r="H26" s="56"/>
    </row>
    <row r="27" spans="2:9" ht="25.25" customHeight="1" x14ac:dyDescent="0.2">
      <c r="B27" s="24" t="s">
        <v>17</v>
      </c>
      <c r="C27" s="91" t="s">
        <v>51</v>
      </c>
      <c r="D27" s="92"/>
      <c r="E27" s="29">
        <f>2000*E13</f>
        <v>164000</v>
      </c>
      <c r="F27" s="35">
        <f>E27/E20</f>
        <v>1.7241379310344827E-2</v>
      </c>
      <c r="G27" s="52" t="s">
        <v>83</v>
      </c>
      <c r="H27" s="56"/>
    </row>
    <row r="28" spans="2:9" ht="25.25" customHeight="1" x14ac:dyDescent="0.2">
      <c r="B28" s="24" t="s">
        <v>45</v>
      </c>
      <c r="C28" s="91" t="s">
        <v>76</v>
      </c>
      <c r="D28" s="92"/>
      <c r="E28" s="29">
        <f>5000*E13</f>
        <v>410000</v>
      </c>
      <c r="F28" s="35">
        <f>E28/E20</f>
        <v>4.3103448275862072E-2</v>
      </c>
      <c r="G28" s="52" t="s">
        <v>65</v>
      </c>
      <c r="H28" s="56"/>
    </row>
    <row r="29" spans="2:9" ht="25.25" customHeight="1" x14ac:dyDescent="0.2">
      <c r="B29" s="24" t="s">
        <v>45</v>
      </c>
      <c r="C29" s="58" t="s">
        <v>44</v>
      </c>
      <c r="D29" s="58"/>
      <c r="E29" s="29">
        <f>E13*5000</f>
        <v>410000</v>
      </c>
      <c r="F29" s="35">
        <f>E29/E20</f>
        <v>4.3103448275862072E-2</v>
      </c>
      <c r="G29" s="52" t="s">
        <v>38</v>
      </c>
      <c r="H29" s="56"/>
    </row>
    <row r="30" spans="2:9" ht="30" customHeight="1" x14ac:dyDescent="0.2">
      <c r="B30" s="25" t="s">
        <v>18</v>
      </c>
      <c r="C30" s="55" t="s">
        <v>54</v>
      </c>
      <c r="D30" s="55"/>
      <c r="E30" s="20">
        <f>SUM(E22:E29)</f>
        <v>2315400</v>
      </c>
      <c r="F30" s="36">
        <f>E30/E20</f>
        <v>0.24341883936080741</v>
      </c>
      <c r="G30" s="52"/>
      <c r="H30" s="56"/>
    </row>
    <row r="31" spans="2:9" ht="25.25" customHeight="1" x14ac:dyDescent="0.2">
      <c r="B31" s="27" t="s">
        <v>19</v>
      </c>
      <c r="C31" s="59" t="s">
        <v>56</v>
      </c>
      <c r="D31" s="59"/>
      <c r="E31" s="21">
        <f>E20*0.25</f>
        <v>2378000</v>
      </c>
      <c r="F31" s="37">
        <f>E31/E20</f>
        <v>0.25</v>
      </c>
      <c r="G31" s="52" t="s">
        <v>39</v>
      </c>
      <c r="H31" s="56" t="s">
        <v>34</v>
      </c>
    </row>
    <row r="32" spans="2:9" x14ac:dyDescent="0.2">
      <c r="B32" s="25" t="s">
        <v>20</v>
      </c>
      <c r="C32" s="55" t="s">
        <v>33</v>
      </c>
      <c r="D32" s="55"/>
      <c r="E32" s="20">
        <f>E30+E31</f>
        <v>4693400</v>
      </c>
      <c r="F32" s="38">
        <f>E32/E20</f>
        <v>0.49341883936080738</v>
      </c>
      <c r="G32" s="52"/>
      <c r="H32" s="56"/>
    </row>
    <row r="33" spans="2:8" x14ac:dyDescent="0.2">
      <c r="B33" s="27" t="s">
        <v>21</v>
      </c>
      <c r="C33" s="59" t="s">
        <v>57</v>
      </c>
      <c r="D33" s="59"/>
      <c r="E33" s="21">
        <f>E20-E32</f>
        <v>4818600</v>
      </c>
      <c r="F33" s="37">
        <f>E33/E20</f>
        <v>0.50658116063919256</v>
      </c>
      <c r="G33" s="52" t="s">
        <v>34</v>
      </c>
      <c r="H33" s="56"/>
    </row>
    <row r="34" spans="2:8" x14ac:dyDescent="0.2">
      <c r="B34" s="25" t="s">
        <v>22</v>
      </c>
      <c r="C34" s="55" t="s">
        <v>67</v>
      </c>
      <c r="D34" s="55"/>
      <c r="E34" s="20">
        <f>SUM(E35:E38)</f>
        <v>1470720</v>
      </c>
      <c r="F34" s="38">
        <f>E34/E20</f>
        <v>0.15461732548359966</v>
      </c>
      <c r="G34" s="52"/>
      <c r="H34" s="56"/>
    </row>
    <row r="35" spans="2:8" ht="26.25" customHeight="1" x14ac:dyDescent="0.2">
      <c r="B35" s="24" t="s">
        <v>35</v>
      </c>
      <c r="C35" s="57" t="s">
        <v>42</v>
      </c>
      <c r="D35" s="57"/>
      <c r="E35" s="8">
        <f>E20*3%</f>
        <v>285360</v>
      </c>
      <c r="F35" s="35">
        <f>E35/E20</f>
        <v>0.03</v>
      </c>
      <c r="G35" s="52" t="s">
        <v>84</v>
      </c>
      <c r="H35" s="56"/>
    </row>
    <row r="36" spans="2:8" x14ac:dyDescent="0.2">
      <c r="B36" s="24" t="s">
        <v>36</v>
      </c>
      <c r="C36" s="57" t="s">
        <v>43</v>
      </c>
      <c r="D36" s="57"/>
      <c r="E36" s="8">
        <f>E20*2%</f>
        <v>190240</v>
      </c>
      <c r="F36" s="35">
        <f>E36/E20</f>
        <v>0.02</v>
      </c>
      <c r="G36" s="52" t="s">
        <v>85</v>
      </c>
      <c r="H36" s="56"/>
    </row>
    <row r="37" spans="2:8" ht="22.5" customHeight="1" x14ac:dyDescent="0.2">
      <c r="B37" s="24"/>
      <c r="C37" s="52" t="s">
        <v>29</v>
      </c>
      <c r="D37" s="52"/>
      <c r="E37" s="8">
        <f>E10*9000</f>
        <v>900000</v>
      </c>
      <c r="F37" s="35">
        <f>E37/E20</f>
        <v>9.4617325483599662E-2</v>
      </c>
      <c r="G37" s="53"/>
      <c r="H37" s="54"/>
    </row>
    <row r="38" spans="2:8" ht="15.75" customHeight="1" thickBot="1" x14ac:dyDescent="0.25">
      <c r="B38" s="41" t="s">
        <v>58</v>
      </c>
      <c r="C38" s="60" t="s">
        <v>55</v>
      </c>
      <c r="D38" s="60"/>
      <c r="E38" s="8">
        <f>E20*1%</f>
        <v>95120</v>
      </c>
      <c r="F38" s="35">
        <f>E38/E33</f>
        <v>1.974017349437596E-2</v>
      </c>
      <c r="G38" s="52" t="s">
        <v>86</v>
      </c>
      <c r="H38" s="56"/>
    </row>
    <row r="39" spans="2:8" x14ac:dyDescent="0.2">
      <c r="B39" s="27" t="s">
        <v>59</v>
      </c>
      <c r="C39" s="59" t="s">
        <v>32</v>
      </c>
      <c r="D39" s="59"/>
      <c r="E39" s="21">
        <f>E33-E34</f>
        <v>3347880</v>
      </c>
      <c r="F39" s="37">
        <f>E39/E20</f>
        <v>0.35196383515559293</v>
      </c>
      <c r="G39" s="52" t="s">
        <v>34</v>
      </c>
      <c r="H39" s="56"/>
    </row>
    <row r="40" spans="2:8" ht="26.25" customHeight="1" x14ac:dyDescent="0.2">
      <c r="B40" s="24" t="s">
        <v>87</v>
      </c>
      <c r="C40" s="57" t="s">
        <v>89</v>
      </c>
      <c r="D40" s="57"/>
      <c r="E40" s="8">
        <f>60%*40%*(E39-E20*25%)</f>
        <v>232771.19999999998</v>
      </c>
      <c r="F40" s="35">
        <f>E40/E25</f>
        <v>0.25345296167247383</v>
      </c>
      <c r="G40" s="52" t="s">
        <v>92</v>
      </c>
      <c r="H40" s="56"/>
    </row>
    <row r="41" spans="2:8" ht="35.25" customHeight="1" x14ac:dyDescent="0.2">
      <c r="B41" s="24" t="s">
        <v>88</v>
      </c>
      <c r="C41" s="57" t="s">
        <v>90</v>
      </c>
      <c r="D41" s="57"/>
      <c r="E41" s="8">
        <f>40%*40%*(E39-E20*25%)</f>
        <v>155180.80000000002</v>
      </c>
      <c r="F41" s="35">
        <f>E41/E26</f>
        <v>1.1244985507246379</v>
      </c>
      <c r="G41" s="52" t="s">
        <v>93</v>
      </c>
      <c r="H41" s="56"/>
    </row>
    <row r="42" spans="2:8" x14ac:dyDescent="0.2">
      <c r="B42" s="27" t="s">
        <v>98</v>
      </c>
      <c r="C42" s="59" t="s">
        <v>91</v>
      </c>
      <c r="D42" s="59"/>
      <c r="E42" s="21">
        <f>E39-E40-E41</f>
        <v>2959928</v>
      </c>
      <c r="F42" s="37">
        <f>E42/E20</f>
        <v>0.31117830109335576</v>
      </c>
      <c r="G42" s="52"/>
      <c r="H42" s="56"/>
    </row>
    <row r="43" spans="2:8" x14ac:dyDescent="0.2">
      <c r="E43" s="10"/>
    </row>
    <row r="47" spans="2:8" s="15" customFormat="1" x14ac:dyDescent="0.2">
      <c r="B47" s="12" t="s">
        <v>49</v>
      </c>
      <c r="C47" s="12"/>
      <c r="D47" s="13"/>
      <c r="E47" s="14"/>
      <c r="F47" s="14"/>
    </row>
    <row r="48" spans="2:8" s="15" customFormat="1" x14ac:dyDescent="0.2">
      <c r="B48" s="16" t="s">
        <v>23</v>
      </c>
      <c r="C48" s="12"/>
      <c r="D48" s="13"/>
      <c r="E48" s="14"/>
      <c r="F48" s="14"/>
    </row>
    <row r="49" spans="2:7" x14ac:dyDescent="0.2">
      <c r="B49" s="12"/>
      <c r="C49" s="12"/>
      <c r="D49" s="13"/>
      <c r="E49" s="14"/>
      <c r="F49" s="14"/>
      <c r="G49" s="15"/>
    </row>
    <row r="50" spans="2:7" x14ac:dyDescent="0.2">
      <c r="B50" s="12"/>
      <c r="C50" s="12"/>
      <c r="D50" s="13"/>
      <c r="E50" s="14"/>
      <c r="F50" s="14"/>
      <c r="G50" s="15"/>
    </row>
    <row r="51" spans="2:7" x14ac:dyDescent="0.2">
      <c r="B51" s="12"/>
      <c r="C51" s="12"/>
      <c r="D51" s="13"/>
      <c r="E51" s="14"/>
      <c r="F51" s="14"/>
      <c r="G51" s="15"/>
    </row>
    <row r="52" spans="2:7" x14ac:dyDescent="0.2">
      <c r="B52" s="12" t="s">
        <v>78</v>
      </c>
      <c r="C52" s="12"/>
      <c r="D52" s="13"/>
      <c r="E52" s="14"/>
      <c r="F52" s="14"/>
      <c r="G52" s="15"/>
    </row>
    <row r="53" spans="2:7" x14ac:dyDescent="0.2">
      <c r="B53" s="16" t="s">
        <v>23</v>
      </c>
      <c r="C53" s="16"/>
      <c r="D53" s="17"/>
      <c r="E53" s="18"/>
      <c r="F53" s="18"/>
      <c r="G53" s="15"/>
    </row>
  </sheetData>
  <mergeCells count="81">
    <mergeCell ref="D4:F4"/>
    <mergeCell ref="G4:H4"/>
    <mergeCell ref="B1:F1"/>
    <mergeCell ref="B2:F2"/>
    <mergeCell ref="G2:H2"/>
    <mergeCell ref="D3:F3"/>
    <mergeCell ref="G3:H3"/>
    <mergeCell ref="C11:D11"/>
    <mergeCell ref="G11:H11"/>
    <mergeCell ref="D5:F5"/>
    <mergeCell ref="G5:H5"/>
    <mergeCell ref="B6:C7"/>
    <mergeCell ref="D6:F7"/>
    <mergeCell ref="G6:H6"/>
    <mergeCell ref="G7:H7"/>
    <mergeCell ref="G8:H8"/>
    <mergeCell ref="C9:D9"/>
    <mergeCell ref="G9:H9"/>
    <mergeCell ref="C10:D10"/>
    <mergeCell ref="G10:H10"/>
    <mergeCell ref="C18:D18"/>
    <mergeCell ref="G18:H18"/>
    <mergeCell ref="C12:D12"/>
    <mergeCell ref="G12:H12"/>
    <mergeCell ref="C13:D13"/>
    <mergeCell ref="G13:H13"/>
    <mergeCell ref="C14:D14"/>
    <mergeCell ref="G14:H14"/>
    <mergeCell ref="C15:D15"/>
    <mergeCell ref="G15:H15"/>
    <mergeCell ref="G16:H16"/>
    <mergeCell ref="C17:D17"/>
    <mergeCell ref="G17:H17"/>
    <mergeCell ref="C19:D19"/>
    <mergeCell ref="G19:H19"/>
    <mergeCell ref="C20:D20"/>
    <mergeCell ref="G20:H20"/>
    <mergeCell ref="C21:D21"/>
    <mergeCell ref="G21:H21"/>
    <mergeCell ref="C22:D22"/>
    <mergeCell ref="G22:H22"/>
    <mergeCell ref="C23:D23"/>
    <mergeCell ref="G23:H23"/>
    <mergeCell ref="C24:D24"/>
    <mergeCell ref="G24:H24"/>
    <mergeCell ref="C25:D25"/>
    <mergeCell ref="G25:H25"/>
    <mergeCell ref="C26:D26"/>
    <mergeCell ref="G26:H26"/>
    <mergeCell ref="C27:D27"/>
    <mergeCell ref="G27:H27"/>
    <mergeCell ref="C28:D28"/>
    <mergeCell ref="G28:H28"/>
    <mergeCell ref="C29:D29"/>
    <mergeCell ref="G29:H29"/>
    <mergeCell ref="C30:D30"/>
    <mergeCell ref="G30:H30"/>
    <mergeCell ref="C31:D31"/>
    <mergeCell ref="G31:H31"/>
    <mergeCell ref="C32:D32"/>
    <mergeCell ref="G32:H32"/>
    <mergeCell ref="C33:D33"/>
    <mergeCell ref="G33:H33"/>
    <mergeCell ref="C34:D34"/>
    <mergeCell ref="G34:H34"/>
    <mergeCell ref="C35:D35"/>
    <mergeCell ref="G35:H35"/>
    <mergeCell ref="C36:D36"/>
    <mergeCell ref="G36:H36"/>
    <mergeCell ref="C37:D37"/>
    <mergeCell ref="G37:H37"/>
    <mergeCell ref="C38:D38"/>
    <mergeCell ref="G38:H38"/>
    <mergeCell ref="C39:D39"/>
    <mergeCell ref="G39:H39"/>
    <mergeCell ref="C40:D40"/>
    <mergeCell ref="G40:H40"/>
    <mergeCell ref="C41:D41"/>
    <mergeCell ref="G41:H41"/>
    <mergeCell ref="C42:D42"/>
    <mergeCell ref="G42:H42"/>
  </mergeCells>
  <dataValidations count="1">
    <dataValidation operator="equal" allowBlank="1" showInputMessage="1" showErrorMessage="1" error="Auto Calculated" promptTitle="Calculated" sqref="E9:F12" xr:uid="{CCEB4950-BE47-4A4B-8434-9CEBDB093799}"/>
  </dataValidations>
  <pageMargins left="0.7" right="0.7" top="0.75" bottom="0.75" header="0.3" footer="0.3"/>
  <pageSetup scale="6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DFD</vt:lpstr>
      <vt:lpstr>OMDP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 Chakrabarti</dc:creator>
  <cp:lastModifiedBy>Kalyan Kolukuluri</cp:lastModifiedBy>
  <cp:lastPrinted>2023-05-04T11:09:05Z</cp:lastPrinted>
  <dcterms:created xsi:type="dcterms:W3CDTF">2021-03-31T08:25:09Z</dcterms:created>
  <dcterms:modified xsi:type="dcterms:W3CDTF">2024-05-24T05:12:07Z</dcterms:modified>
</cp:coreProperties>
</file>